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ca.local\wa\NREG\Data\NROSH+\Draft Work and Analysis\Lookup tool\2022_tools\"/>
    </mc:Choice>
  </mc:AlternateContent>
  <xr:revisionPtr revIDLastSave="0" documentId="8_{66884451-2C5D-4B9B-A48C-9831ED7D5F6F}" xr6:coauthVersionLast="47" xr6:coauthVersionMax="47" xr10:uidLastSave="{00000000-0000-0000-0000-000000000000}"/>
  <workbookProtection workbookAlgorithmName="SHA-512" workbookHashValue="wuKD51gz1vlMW6zW0GHMtzKH2y6yTap7RjMXitnZBU7+gniGxraYwXf02y3xmd30XNdFJJFNsY/tzYP6JWEs6g==" workbookSaltValue="oeGJl5Zsp588eZ0gV9G0LA==" workbookSpinCount="100000" lockStructure="1"/>
  <bookViews>
    <workbookView xWindow="-28920" yWindow="2430" windowWidth="29040" windowHeight="15840" tabRatio="789" xr2:uid="{D3F8C8F7-2C4E-4528-A752-A1B4779F4B60}"/>
  </bookViews>
  <sheets>
    <sheet name="Introduction and Contents" sheetId="10" r:id="rId1"/>
    <sheet name="Glossary" sheetId="11" r:id="rId2"/>
    <sheet name="Version History" sheetId="12" r:id="rId3"/>
    <sheet name="PRP LA trend tool 2015-22" sheetId="1" r:id="rId4"/>
    <sheet name="How to use the search function" sheetId="13" r:id="rId5"/>
    <sheet name="Y_1" sheetId="2" state="veryHidden" r:id="rId6"/>
    <sheet name="Y_2" sheetId="3" state="veryHidden" r:id="rId7"/>
    <sheet name="Y_3" sheetId="4" state="veryHidden" r:id="rId8"/>
    <sheet name="Y_4" sheetId="5" state="veryHidden" r:id="rId9"/>
    <sheet name="Y_5" sheetId="6" state="veryHidden" r:id="rId10"/>
    <sheet name="Y_6" sheetId="7" state="veryHidden" r:id="rId11"/>
    <sheet name="Y_7" sheetId="9" state="veryHidden" r:id="rId12"/>
    <sheet name="Y_8" sheetId="14" state="veryHidden" r:id="rId13"/>
    <sheet name="Search Box Config" sheetId="8" state="veryHidden" r:id="rId14"/>
  </sheets>
  <definedNames>
    <definedName name="validation_list">OFFSET('Search Box Config'!$D$2,,,COUNTIF('Search Box Config'!$D$2:$D$310,"?*"))</definedName>
    <definedName name="Y_1">Y_1!$B$4:$AG$322</definedName>
    <definedName name="Y_2">Y_2!$B$4:$AG$322</definedName>
    <definedName name="Y_3">Y_3!$B$4:$AG$322</definedName>
    <definedName name="Y_4">Y_4!$B$4:$AG$322</definedName>
    <definedName name="Y_5">Y_5!$B$4:$AG$322</definedName>
    <definedName name="Y_6">Y_6!$B$4:$AG$322</definedName>
    <definedName name="Y_7">Y_7!$B$4:$AG$322</definedName>
    <definedName name="Y_8">Y_8!$B$4:$AG$322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 l="1"/>
  <c r="K172" i="1"/>
  <c r="K171" i="1"/>
  <c r="K170" i="1"/>
  <c r="K169" i="1"/>
  <c r="K133" i="1"/>
  <c r="K132" i="1"/>
  <c r="K131" i="1"/>
  <c r="K130" i="1"/>
  <c r="K129" i="1"/>
  <c r="K114" i="1"/>
  <c r="K113" i="1"/>
  <c r="K97" i="1"/>
  <c r="K96" i="1"/>
  <c r="K72" i="1"/>
  <c r="K71" i="1"/>
  <c r="K70" i="1"/>
  <c r="K69" i="1"/>
  <c r="K68" i="1"/>
  <c r="K44" i="1"/>
  <c r="K43" i="1"/>
  <c r="K42" i="1"/>
  <c r="K41" i="1"/>
  <c r="K40" i="1"/>
  <c r="K25" i="1"/>
  <c r="K24" i="1"/>
  <c r="K19" i="1"/>
  <c r="K17" i="1"/>
  <c r="K16" i="1"/>
  <c r="K15" i="1"/>
  <c r="K14" i="1"/>
  <c r="K13" i="1"/>
  <c r="K12" i="1"/>
  <c r="M176" i="1"/>
  <c r="F70" i="1"/>
  <c r="J126" i="1"/>
  <c r="E4" i="1"/>
  <c r="B18" i="1" s="1"/>
  <c r="B110" i="1" s="1"/>
  <c r="J172" i="1"/>
  <c r="J171" i="1"/>
  <c r="J170" i="1"/>
  <c r="J169" i="1"/>
  <c r="J133" i="1"/>
  <c r="J132" i="1"/>
  <c r="J131" i="1"/>
  <c r="J130" i="1"/>
  <c r="J129" i="1"/>
  <c r="J114" i="1"/>
  <c r="J113" i="1"/>
  <c r="J97" i="1"/>
  <c r="J96" i="1"/>
  <c r="J72" i="1"/>
  <c r="J71" i="1"/>
  <c r="J70" i="1"/>
  <c r="J69" i="1"/>
  <c r="J68" i="1"/>
  <c r="J44" i="1"/>
  <c r="J43" i="1"/>
  <c r="J42" i="1"/>
  <c r="J41" i="1"/>
  <c r="J40" i="1"/>
  <c r="J25" i="1"/>
  <c r="J24" i="1"/>
  <c r="J19" i="1"/>
  <c r="J17" i="1"/>
  <c r="J16" i="1"/>
  <c r="J15" i="1"/>
  <c r="J14" i="1"/>
  <c r="J13" i="1"/>
  <c r="J12" i="1"/>
  <c r="K174" i="1" l="1"/>
  <c r="K26" i="1"/>
  <c r="K173" i="1"/>
  <c r="K82" i="1"/>
  <c r="K53" i="1"/>
  <c r="AG131" i="1"/>
  <c r="K103" i="1"/>
  <c r="K139" i="1"/>
  <c r="K11" i="1"/>
  <c r="K28" i="1"/>
  <c r="K54" i="1"/>
  <c r="K74" i="1"/>
  <c r="K83" i="1"/>
  <c r="AG132" i="1"/>
  <c r="K141" i="1"/>
  <c r="K29" i="1"/>
  <c r="K46" i="1"/>
  <c r="K55" i="1"/>
  <c r="K75" i="1"/>
  <c r="K84" i="1"/>
  <c r="AG133" i="1"/>
  <c r="K142" i="1"/>
  <c r="K32" i="1"/>
  <c r="K47" i="1"/>
  <c r="K56" i="1"/>
  <c r="K76" i="1"/>
  <c r="K116" i="1"/>
  <c r="AG134" i="1"/>
  <c r="K143" i="1"/>
  <c r="K18" i="1"/>
  <c r="K33" i="1"/>
  <c r="K48" i="1"/>
  <c r="K77" i="1"/>
  <c r="K117" i="1"/>
  <c r="K135" i="1"/>
  <c r="K144" i="1"/>
  <c r="K49" i="1"/>
  <c r="K78" i="1"/>
  <c r="K99" i="1"/>
  <c r="K119" i="1"/>
  <c r="K136" i="1"/>
  <c r="K145" i="1"/>
  <c r="K50" i="1"/>
  <c r="K80" i="1"/>
  <c r="K100" i="1"/>
  <c r="K120" i="1"/>
  <c r="K137" i="1"/>
  <c r="K52" i="1"/>
  <c r="K81" i="1"/>
  <c r="K102" i="1"/>
  <c r="AG130" i="1"/>
  <c r="K138" i="1"/>
  <c r="K175" i="1"/>
  <c r="B65" i="1"/>
  <c r="B64" i="1"/>
  <c r="L58" i="1"/>
  <c r="D119" i="1"/>
  <c r="E119" i="1"/>
  <c r="G119" i="1"/>
  <c r="J119" i="1"/>
  <c r="F119" i="1"/>
  <c r="H119" i="1"/>
  <c r="I119" i="1"/>
  <c r="J139" i="1"/>
  <c r="J11" i="1"/>
  <c r="J77" i="1"/>
  <c r="J46" i="1"/>
  <c r="J29" i="1"/>
  <c r="J48" i="1"/>
  <c r="J33" i="1"/>
  <c r="J136" i="1"/>
  <c r="J32" i="1"/>
  <c r="J47" i="1"/>
  <c r="J78" i="1"/>
  <c r="J116" i="1"/>
  <c r="J141" i="1"/>
  <c r="J83" i="1"/>
  <c r="J142" i="1"/>
  <c r="J18" i="1"/>
  <c r="J49" i="1"/>
  <c r="J84" i="1"/>
  <c r="J145" i="1"/>
  <c r="J52" i="1"/>
  <c r="J54" i="1"/>
  <c r="J74" i="1"/>
  <c r="J55" i="1"/>
  <c r="J75" i="1"/>
  <c r="J99" i="1"/>
  <c r="J28" i="1"/>
  <c r="J56" i="1"/>
  <c r="J76" i="1"/>
  <c r="J143" i="1"/>
  <c r="J117" i="1"/>
  <c r="J135" i="1"/>
  <c r="J144" i="1"/>
  <c r="J50" i="1"/>
  <c r="J80" i="1"/>
  <c r="J100" i="1"/>
  <c r="J120" i="1"/>
  <c r="J137" i="1"/>
  <c r="J81" i="1"/>
  <c r="J102" i="1"/>
  <c r="J138" i="1"/>
  <c r="J53" i="1"/>
  <c r="J82" i="1"/>
  <c r="J103" i="1"/>
  <c r="J174" i="1"/>
  <c r="J173" i="1"/>
  <c r="K34" i="1" l="1"/>
  <c r="AG135" i="1"/>
  <c r="K30" i="1"/>
  <c r="AF133" i="1"/>
  <c r="AF134" i="1"/>
  <c r="AF130" i="1"/>
  <c r="AF131" i="1"/>
  <c r="AF132" i="1"/>
  <c r="J175" i="1"/>
  <c r="J26" i="1"/>
  <c r="I172" i="1"/>
  <c r="I171" i="1"/>
  <c r="I170" i="1"/>
  <c r="I169" i="1"/>
  <c r="H172" i="1"/>
  <c r="H171" i="1"/>
  <c r="H170" i="1"/>
  <c r="H169" i="1"/>
  <c r="G172" i="1"/>
  <c r="G171" i="1"/>
  <c r="G170" i="1"/>
  <c r="G169" i="1"/>
  <c r="F172" i="1"/>
  <c r="F171" i="1"/>
  <c r="F170" i="1"/>
  <c r="F169" i="1"/>
  <c r="E172" i="1"/>
  <c r="E171" i="1"/>
  <c r="E170" i="1"/>
  <c r="E169" i="1"/>
  <c r="D172" i="1"/>
  <c r="D171" i="1"/>
  <c r="D170" i="1"/>
  <c r="D169" i="1"/>
  <c r="AF135" i="1" l="1"/>
  <c r="I133" i="1"/>
  <c r="I132" i="1"/>
  <c r="I131" i="1"/>
  <c r="I130" i="1"/>
  <c r="I129" i="1"/>
  <c r="H133" i="1"/>
  <c r="H132" i="1"/>
  <c r="H131" i="1"/>
  <c r="H130" i="1"/>
  <c r="H129" i="1"/>
  <c r="G133" i="1"/>
  <c r="G132" i="1"/>
  <c r="G131" i="1"/>
  <c r="G130" i="1"/>
  <c r="G129" i="1"/>
  <c r="F133" i="1"/>
  <c r="F132" i="1"/>
  <c r="F131" i="1"/>
  <c r="F130" i="1"/>
  <c r="F129" i="1"/>
  <c r="E133" i="1"/>
  <c r="E132" i="1"/>
  <c r="E131" i="1"/>
  <c r="E130" i="1"/>
  <c r="E129" i="1"/>
  <c r="D133" i="1"/>
  <c r="D132" i="1"/>
  <c r="D131" i="1"/>
  <c r="D130" i="1"/>
  <c r="D129" i="1"/>
  <c r="I114" i="1"/>
  <c r="I113" i="1"/>
  <c r="H114" i="1"/>
  <c r="H113" i="1"/>
  <c r="G114" i="1"/>
  <c r="G113" i="1"/>
  <c r="F114" i="1"/>
  <c r="F113" i="1"/>
  <c r="E114" i="1"/>
  <c r="E113" i="1"/>
  <c r="D114" i="1"/>
  <c r="D113" i="1"/>
  <c r="I97" i="1"/>
  <c r="I96" i="1"/>
  <c r="H97" i="1"/>
  <c r="H96" i="1"/>
  <c r="G97" i="1"/>
  <c r="G96" i="1"/>
  <c r="F97" i="1"/>
  <c r="F96" i="1"/>
  <c r="E97" i="1"/>
  <c r="E96" i="1"/>
  <c r="D97" i="1"/>
  <c r="D96" i="1"/>
  <c r="I72" i="1"/>
  <c r="I71" i="1"/>
  <c r="I70" i="1"/>
  <c r="I69" i="1"/>
  <c r="I68" i="1"/>
  <c r="H72" i="1"/>
  <c r="H71" i="1"/>
  <c r="H70" i="1"/>
  <c r="H69" i="1"/>
  <c r="H68" i="1"/>
  <c r="G72" i="1"/>
  <c r="G71" i="1"/>
  <c r="G70" i="1"/>
  <c r="G69" i="1"/>
  <c r="G68" i="1"/>
  <c r="F72" i="1"/>
  <c r="F71" i="1"/>
  <c r="F69" i="1"/>
  <c r="F68" i="1"/>
  <c r="E72" i="1"/>
  <c r="E71" i="1"/>
  <c r="E70" i="1"/>
  <c r="E69" i="1"/>
  <c r="E68" i="1"/>
  <c r="D72" i="1"/>
  <c r="D71" i="1"/>
  <c r="D70" i="1"/>
  <c r="D69" i="1"/>
  <c r="D68" i="1"/>
  <c r="I44" i="1"/>
  <c r="I43" i="1"/>
  <c r="I42" i="1"/>
  <c r="I41" i="1"/>
  <c r="I40" i="1"/>
  <c r="H44" i="1"/>
  <c r="H43" i="1"/>
  <c r="H42" i="1"/>
  <c r="H41" i="1"/>
  <c r="H40" i="1"/>
  <c r="G44" i="1"/>
  <c r="G43" i="1"/>
  <c r="G42" i="1"/>
  <c r="G41" i="1"/>
  <c r="G40" i="1"/>
  <c r="F44" i="1"/>
  <c r="F43" i="1"/>
  <c r="F42" i="1"/>
  <c r="F41" i="1"/>
  <c r="F40" i="1"/>
  <c r="E44" i="1"/>
  <c r="E43" i="1"/>
  <c r="E42" i="1"/>
  <c r="E41" i="1"/>
  <c r="E40" i="1"/>
  <c r="D44" i="1"/>
  <c r="D43" i="1"/>
  <c r="D42" i="1"/>
  <c r="D41" i="1"/>
  <c r="D40" i="1"/>
  <c r="V5" i="1"/>
  <c r="V4" i="1"/>
  <c r="U5" i="1"/>
  <c r="U4" i="1"/>
  <c r="N4" i="1"/>
  <c r="M4" i="1"/>
  <c r="I25" i="1"/>
  <c r="I24" i="1"/>
  <c r="H25" i="1"/>
  <c r="H24" i="1"/>
  <c r="G25" i="1"/>
  <c r="G24" i="1"/>
  <c r="F25" i="1"/>
  <c r="F24" i="1"/>
  <c r="E25" i="1"/>
  <c r="E24" i="1"/>
  <c r="D25" i="1"/>
  <c r="D24" i="1"/>
  <c r="I19" i="1"/>
  <c r="I17" i="1"/>
  <c r="I16" i="1"/>
  <c r="I15" i="1"/>
  <c r="I14" i="1"/>
  <c r="I13" i="1"/>
  <c r="I12" i="1"/>
  <c r="H19" i="1"/>
  <c r="H17" i="1"/>
  <c r="H16" i="1"/>
  <c r="H15" i="1"/>
  <c r="H14" i="1"/>
  <c r="H13" i="1"/>
  <c r="H12" i="1"/>
  <c r="G19" i="1"/>
  <c r="G17" i="1"/>
  <c r="G16" i="1"/>
  <c r="G15" i="1"/>
  <c r="G14" i="1"/>
  <c r="G13" i="1"/>
  <c r="G12" i="1"/>
  <c r="F19" i="1"/>
  <c r="F17" i="1"/>
  <c r="F16" i="1"/>
  <c r="F15" i="1"/>
  <c r="F14" i="1"/>
  <c r="F13" i="1"/>
  <c r="F12" i="1"/>
  <c r="E19" i="1"/>
  <c r="E17" i="1"/>
  <c r="E16" i="1"/>
  <c r="E15" i="1"/>
  <c r="E14" i="1"/>
  <c r="E13" i="1"/>
  <c r="E12" i="1"/>
  <c r="A2" i="8"/>
  <c r="A3" i="8" s="1"/>
  <c r="A4" i="8" s="1"/>
  <c r="AE134" i="1" l="1"/>
  <c r="AE130" i="1"/>
  <c r="AE131" i="1"/>
  <c r="AE132" i="1"/>
  <c r="AE133" i="1"/>
  <c r="A5" i="8"/>
  <c r="A6" i="8" s="1"/>
  <c r="A7" i="8" l="1"/>
  <c r="A8" i="8" s="1"/>
  <c r="A9" i="8" l="1"/>
  <c r="A10" i="8" l="1"/>
  <c r="A11" i="8" s="1"/>
  <c r="A12" i="8" l="1"/>
  <c r="A13" i="8" l="1"/>
  <c r="A14" i="8" l="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D19" i="1" l="1"/>
  <c r="D17" i="1"/>
  <c r="D16" i="1"/>
  <c r="D15" i="1"/>
  <c r="D14" i="1"/>
  <c r="D13" i="1"/>
  <c r="I175" i="1"/>
  <c r="G174" i="1"/>
  <c r="D174" i="1"/>
  <c r="B150" i="1"/>
  <c r="AB131" i="1"/>
  <c r="Z130" i="1"/>
  <c r="B128" i="1"/>
  <c r="B112" i="1"/>
  <c r="B95" i="1"/>
  <c r="B67" i="1"/>
  <c r="B39" i="1"/>
  <c r="B23" i="1"/>
  <c r="B8" i="1"/>
  <c r="K152" i="1" l="1"/>
  <c r="K151" i="1"/>
  <c r="K154" i="1"/>
  <c r="K153" i="1"/>
  <c r="J154" i="1"/>
  <c r="J153" i="1"/>
  <c r="J152" i="1"/>
  <c r="J151" i="1"/>
  <c r="I153" i="1"/>
  <c r="G153" i="1"/>
  <c r="I152" i="1"/>
  <c r="G152" i="1"/>
  <c r="I151" i="1"/>
  <c r="G151" i="1"/>
  <c r="H154" i="1"/>
  <c r="F154" i="1"/>
  <c r="H153" i="1"/>
  <c r="F153" i="1"/>
  <c r="H152" i="1"/>
  <c r="F152" i="1"/>
  <c r="H151" i="1"/>
  <c r="F151" i="1"/>
  <c r="I154" i="1"/>
  <c r="G154" i="1"/>
  <c r="E151" i="1"/>
  <c r="D154" i="1"/>
  <c r="D153" i="1"/>
  <c r="D151" i="1"/>
  <c r="E154" i="1"/>
  <c r="E153" i="1"/>
  <c r="E152" i="1"/>
  <c r="D152" i="1"/>
  <c r="I145" i="1"/>
  <c r="I136" i="1"/>
  <c r="H144" i="1"/>
  <c r="H135" i="1"/>
  <c r="G143" i="1"/>
  <c r="F142" i="1"/>
  <c r="E141" i="1"/>
  <c r="D139" i="1"/>
  <c r="H120" i="1"/>
  <c r="G117" i="1"/>
  <c r="D120" i="1"/>
  <c r="I100" i="1"/>
  <c r="F103" i="1"/>
  <c r="E100" i="1"/>
  <c r="I77" i="1"/>
  <c r="H76" i="1"/>
  <c r="G84" i="1"/>
  <c r="G75" i="1"/>
  <c r="F83" i="1"/>
  <c r="F74" i="1"/>
  <c r="E82" i="1"/>
  <c r="D81" i="1"/>
  <c r="E83" i="1"/>
  <c r="I144" i="1"/>
  <c r="I135" i="1"/>
  <c r="H143" i="1"/>
  <c r="G142" i="1"/>
  <c r="F141" i="1"/>
  <c r="E139" i="1"/>
  <c r="D138" i="1"/>
  <c r="G116" i="1"/>
  <c r="I99" i="1"/>
  <c r="F102" i="1"/>
  <c r="E99" i="1"/>
  <c r="I76" i="1"/>
  <c r="H84" i="1"/>
  <c r="H75" i="1"/>
  <c r="G83" i="1"/>
  <c r="G74" i="1"/>
  <c r="F82" i="1"/>
  <c r="E81" i="1"/>
  <c r="D80" i="1"/>
  <c r="I137" i="1"/>
  <c r="G144" i="1"/>
  <c r="F143" i="1"/>
  <c r="E102" i="1"/>
  <c r="I143" i="1"/>
  <c r="H142" i="1"/>
  <c r="G141" i="1"/>
  <c r="F139" i="1"/>
  <c r="E138" i="1"/>
  <c r="D137" i="1"/>
  <c r="I120" i="1"/>
  <c r="H117" i="1"/>
  <c r="E120" i="1"/>
  <c r="D117" i="1"/>
  <c r="G103" i="1"/>
  <c r="F100" i="1"/>
  <c r="I84" i="1"/>
  <c r="I75" i="1"/>
  <c r="H83" i="1"/>
  <c r="H74" i="1"/>
  <c r="G82" i="1"/>
  <c r="F81" i="1"/>
  <c r="E80" i="1"/>
  <c r="D78" i="1"/>
  <c r="H136" i="1"/>
  <c r="E142" i="1"/>
  <c r="D99" i="1"/>
  <c r="I78" i="1"/>
  <c r="H77" i="1"/>
  <c r="I142" i="1"/>
  <c r="H141" i="1"/>
  <c r="G139" i="1"/>
  <c r="F138" i="1"/>
  <c r="E137" i="1"/>
  <c r="D145" i="1"/>
  <c r="D136" i="1"/>
  <c r="H116" i="1"/>
  <c r="D116" i="1"/>
  <c r="G102" i="1"/>
  <c r="F99" i="1"/>
  <c r="I83" i="1"/>
  <c r="I74" i="1"/>
  <c r="H82" i="1"/>
  <c r="G81" i="1"/>
  <c r="F80" i="1"/>
  <c r="E78" i="1"/>
  <c r="D77" i="1"/>
  <c r="G135" i="1"/>
  <c r="F84" i="1"/>
  <c r="E74" i="1"/>
  <c r="I141" i="1"/>
  <c r="H139" i="1"/>
  <c r="G138" i="1"/>
  <c r="F137" i="1"/>
  <c r="E145" i="1"/>
  <c r="E136" i="1"/>
  <c r="D144" i="1"/>
  <c r="D135" i="1"/>
  <c r="I117" i="1"/>
  <c r="F120" i="1"/>
  <c r="E117" i="1"/>
  <c r="H103" i="1"/>
  <c r="G100" i="1"/>
  <c r="D103" i="1"/>
  <c r="I82" i="1"/>
  <c r="H81" i="1"/>
  <c r="G80" i="1"/>
  <c r="F78" i="1"/>
  <c r="E77" i="1"/>
  <c r="D76" i="1"/>
  <c r="H145" i="1"/>
  <c r="D141" i="1"/>
  <c r="G76" i="1"/>
  <c r="F75" i="1"/>
  <c r="D82" i="1"/>
  <c r="I139" i="1"/>
  <c r="H138" i="1"/>
  <c r="G137" i="1"/>
  <c r="F145" i="1"/>
  <c r="F136" i="1"/>
  <c r="E144" i="1"/>
  <c r="E135" i="1"/>
  <c r="D143" i="1"/>
  <c r="I116" i="1"/>
  <c r="E116" i="1"/>
  <c r="H102" i="1"/>
  <c r="G99" i="1"/>
  <c r="D102" i="1"/>
  <c r="I81" i="1"/>
  <c r="H80" i="1"/>
  <c r="G78" i="1"/>
  <c r="F77" i="1"/>
  <c r="E76" i="1"/>
  <c r="D84" i="1"/>
  <c r="D75" i="1"/>
  <c r="F116" i="1"/>
  <c r="I138" i="1"/>
  <c r="H137" i="1"/>
  <c r="G145" i="1"/>
  <c r="G136" i="1"/>
  <c r="F144" i="1"/>
  <c r="F135" i="1"/>
  <c r="E143" i="1"/>
  <c r="D142" i="1"/>
  <c r="G120" i="1"/>
  <c r="F117" i="1"/>
  <c r="I103" i="1"/>
  <c r="H100" i="1"/>
  <c r="E103" i="1"/>
  <c r="D100" i="1"/>
  <c r="I80" i="1"/>
  <c r="H78" i="1"/>
  <c r="G77" i="1"/>
  <c r="F76" i="1"/>
  <c r="E84" i="1"/>
  <c r="E75" i="1"/>
  <c r="D83" i="1"/>
  <c r="D74" i="1"/>
  <c r="I102" i="1"/>
  <c r="H99" i="1"/>
  <c r="AA131" i="1"/>
  <c r="AC132" i="1"/>
  <c r="Z134" i="1"/>
  <c r="AC131" i="1"/>
  <c r="AA134" i="1"/>
  <c r="AB130" i="1"/>
  <c r="AD131" i="1"/>
  <c r="Z133" i="1"/>
  <c r="AB134" i="1"/>
  <c r="AC130" i="1"/>
  <c r="AA133" i="1"/>
  <c r="AC134" i="1"/>
  <c r="AD132" i="1"/>
  <c r="AD130" i="1"/>
  <c r="Z132" i="1"/>
  <c r="AB133" i="1"/>
  <c r="AD134" i="1"/>
  <c r="AA130" i="1"/>
  <c r="AA132" i="1"/>
  <c r="AC133" i="1"/>
  <c r="Z131" i="1"/>
  <c r="AB132" i="1"/>
  <c r="AD133" i="1"/>
  <c r="I55" i="1"/>
  <c r="I46" i="1"/>
  <c r="H54" i="1"/>
  <c r="G53" i="1"/>
  <c r="F52" i="1"/>
  <c r="E50" i="1"/>
  <c r="D49" i="1"/>
  <c r="M5" i="1"/>
  <c r="I54" i="1"/>
  <c r="H53" i="1"/>
  <c r="G52" i="1"/>
  <c r="F50" i="1"/>
  <c r="E49" i="1"/>
  <c r="D48" i="1"/>
  <c r="I53" i="1"/>
  <c r="H52" i="1"/>
  <c r="G50" i="1"/>
  <c r="F49" i="1"/>
  <c r="E48" i="1"/>
  <c r="D56" i="1"/>
  <c r="D47" i="1"/>
  <c r="D50" i="1"/>
  <c r="I52" i="1"/>
  <c r="H50" i="1"/>
  <c r="G49" i="1"/>
  <c r="F48" i="1"/>
  <c r="E56" i="1"/>
  <c r="E47" i="1"/>
  <c r="D55" i="1"/>
  <c r="D46" i="1"/>
  <c r="I50" i="1"/>
  <c r="H49" i="1"/>
  <c r="G48" i="1"/>
  <c r="F56" i="1"/>
  <c r="F47" i="1"/>
  <c r="E55" i="1"/>
  <c r="E46" i="1"/>
  <c r="D54" i="1"/>
  <c r="I49" i="1"/>
  <c r="H48" i="1"/>
  <c r="G56" i="1"/>
  <c r="G47" i="1"/>
  <c r="F55" i="1"/>
  <c r="F46" i="1"/>
  <c r="E54" i="1"/>
  <c r="D53" i="1"/>
  <c r="N5" i="1"/>
  <c r="I56" i="1"/>
  <c r="I47" i="1"/>
  <c r="H55" i="1"/>
  <c r="H46" i="1"/>
  <c r="G54" i="1"/>
  <c r="I48" i="1"/>
  <c r="H56" i="1"/>
  <c r="H47" i="1"/>
  <c r="G55" i="1"/>
  <c r="G46" i="1"/>
  <c r="F54" i="1"/>
  <c r="E53" i="1"/>
  <c r="D52" i="1"/>
  <c r="F53" i="1"/>
  <c r="E52" i="1"/>
  <c r="H32" i="1"/>
  <c r="I28" i="1"/>
  <c r="E28" i="1"/>
  <c r="H28" i="1"/>
  <c r="I33" i="1"/>
  <c r="D29" i="1"/>
  <c r="F28" i="1"/>
  <c r="I29" i="1"/>
  <c r="G33" i="1"/>
  <c r="H29" i="1"/>
  <c r="G32" i="1"/>
  <c r="F29" i="1"/>
  <c r="E32" i="1"/>
  <c r="D28" i="1"/>
  <c r="E29" i="1"/>
  <c r="F33" i="1"/>
  <c r="G29" i="1"/>
  <c r="D33" i="1"/>
  <c r="F32" i="1"/>
  <c r="G28" i="1"/>
  <c r="D32" i="1"/>
  <c r="E33" i="1"/>
  <c r="I32" i="1"/>
  <c r="H33" i="1"/>
  <c r="I18" i="1"/>
  <c r="H18" i="1"/>
  <c r="G18" i="1"/>
  <c r="F18" i="1"/>
  <c r="E18" i="1"/>
  <c r="E11" i="1"/>
  <c r="F11" i="1"/>
  <c r="G173" i="1"/>
  <c r="F175" i="1"/>
  <c r="H173" i="1"/>
  <c r="G11" i="1"/>
  <c r="W4" i="1"/>
  <c r="W5" i="1"/>
  <c r="H26" i="1"/>
  <c r="E26" i="1"/>
  <c r="I11" i="1"/>
  <c r="F26" i="1"/>
  <c r="I26" i="1"/>
  <c r="O4" i="1"/>
  <c r="D18" i="1"/>
  <c r="D11" i="1"/>
  <c r="H174" i="1"/>
  <c r="D173" i="1"/>
  <c r="G26" i="1"/>
  <c r="I174" i="1"/>
  <c r="E173" i="1"/>
  <c r="D175" i="1"/>
  <c r="F173" i="1"/>
  <c r="E175" i="1"/>
  <c r="H11" i="1"/>
  <c r="E174" i="1"/>
  <c r="G175" i="1"/>
  <c r="I173" i="1"/>
  <c r="D26" i="1"/>
  <c r="F174" i="1"/>
  <c r="H175" i="1"/>
  <c r="K155" i="1" l="1"/>
  <c r="K156" i="1"/>
  <c r="K157" i="1"/>
  <c r="I156" i="1"/>
  <c r="J156" i="1"/>
  <c r="J155" i="1"/>
  <c r="J157" i="1"/>
  <c r="I157" i="1"/>
  <c r="J30" i="1"/>
  <c r="I155" i="1"/>
  <c r="J34" i="1"/>
  <c r="E156" i="1"/>
  <c r="H34" i="1"/>
  <c r="F155" i="1"/>
  <c r="E30" i="1"/>
  <c r="E155" i="1"/>
  <c r="G155" i="1"/>
  <c r="O5" i="1"/>
  <c r="D30" i="1"/>
  <c r="D34" i="1"/>
  <c r="B93" i="1"/>
  <c r="B92" i="1"/>
  <c r="B109" i="1"/>
  <c r="B126" i="1"/>
  <c r="B37" i="1"/>
  <c r="E157" i="1"/>
  <c r="F30" i="1"/>
  <c r="I34" i="1"/>
  <c r="D157" i="1"/>
  <c r="G156" i="1"/>
  <c r="F157" i="1"/>
  <c r="D156" i="1"/>
  <c r="D155" i="1"/>
  <c r="H155" i="1"/>
  <c r="E34" i="1"/>
  <c r="G34" i="1"/>
  <c r="H157" i="1"/>
  <c r="G30" i="1"/>
  <c r="G157" i="1"/>
  <c r="B115" i="1"/>
  <c r="B98" i="1"/>
  <c r="B27" i="1"/>
  <c r="B45" i="1"/>
  <c r="B73" i="1"/>
  <c r="B159" i="1"/>
  <c r="B134" i="1"/>
  <c r="F156" i="1"/>
  <c r="H156" i="1"/>
  <c r="I30" i="1"/>
  <c r="F34" i="1"/>
  <c r="B148" i="1"/>
  <c r="H30" i="1"/>
  <c r="K163" i="1" l="1"/>
  <c r="K162" i="1"/>
  <c r="K161" i="1"/>
  <c r="K160" i="1"/>
  <c r="J163" i="1"/>
  <c r="J162" i="1"/>
  <c r="J161" i="1"/>
  <c r="J160" i="1"/>
  <c r="I163" i="1"/>
  <c r="I162" i="1"/>
  <c r="G162" i="1"/>
  <c r="E162" i="1"/>
  <c r="G161" i="1"/>
  <c r="E161" i="1"/>
  <c r="G160" i="1"/>
  <c r="E160" i="1"/>
  <c r="F163" i="1"/>
  <c r="D163" i="1"/>
  <c r="F162" i="1"/>
  <c r="D162" i="1"/>
  <c r="F161" i="1"/>
  <c r="D161" i="1"/>
  <c r="F160" i="1"/>
  <c r="D160" i="1"/>
  <c r="G163" i="1"/>
  <c r="E163" i="1"/>
  <c r="I161" i="1"/>
  <c r="I160" i="1"/>
  <c r="H163" i="1"/>
  <c r="H162" i="1"/>
  <c r="H161" i="1"/>
  <c r="H160" i="1"/>
  <c r="K166" i="1" l="1"/>
  <c r="K165" i="1"/>
  <c r="K164" i="1"/>
  <c r="E164" i="1"/>
  <c r="G164" i="1"/>
  <c r="H164" i="1"/>
  <c r="J164" i="1"/>
  <c r="J165" i="1"/>
  <c r="F164" i="1"/>
  <c r="J166" i="1"/>
  <c r="D164" i="1"/>
  <c r="I164" i="1"/>
  <c r="E165" i="1"/>
  <c r="E166" i="1"/>
  <c r="H166" i="1"/>
  <c r="H165" i="1"/>
  <c r="G165" i="1"/>
  <c r="G166" i="1"/>
  <c r="F165" i="1"/>
  <c r="I165" i="1"/>
  <c r="D165" i="1"/>
  <c r="F166" i="1"/>
  <c r="I166" i="1"/>
  <c r="D166" i="1"/>
  <c r="D2" i="8" l="1"/>
  <c r="AD135" i="1" l="1"/>
  <c r="AB135" i="1"/>
  <c r="D5" i="8"/>
  <c r="D6" i="8" l="1"/>
  <c r="D3" i="8"/>
  <c r="D10" i="8"/>
  <c r="D7" i="8"/>
  <c r="D8" i="8"/>
  <c r="Z135" i="1"/>
  <c r="AC135" i="1"/>
  <c r="AA135" i="1"/>
  <c r="AE135" i="1"/>
  <c r="D4" i="8"/>
  <c r="D131" i="8"/>
  <c r="D296" i="8"/>
  <c r="D76" i="8"/>
  <c r="D167" i="8"/>
  <c r="D307" i="8"/>
  <c r="D89" i="8"/>
  <c r="D79" i="8"/>
  <c r="D83" i="8"/>
  <c r="D108" i="8"/>
  <c r="D50" i="8"/>
  <c r="D191" i="8"/>
  <c r="D144" i="8"/>
  <c r="D300" i="8"/>
  <c r="D277" i="8"/>
  <c r="D101" i="8"/>
  <c r="D58" i="8"/>
  <c r="D75" i="8"/>
  <c r="D17" i="8"/>
  <c r="D207" i="8"/>
  <c r="D268" i="8"/>
  <c r="D114" i="8"/>
  <c r="D222" i="8"/>
  <c r="D139" i="8"/>
  <c r="D182" i="8"/>
  <c r="D44" i="8"/>
  <c r="D138" i="8"/>
  <c r="D289" i="8"/>
  <c r="D19" i="8"/>
  <c r="D291" i="8"/>
  <c r="D172" i="8"/>
  <c r="D198" i="8"/>
  <c r="D90" i="8"/>
  <c r="D45" i="8"/>
  <c r="D165" i="8"/>
  <c r="D264" i="8"/>
  <c r="D149" i="8"/>
  <c r="D115" i="8"/>
  <c r="D190" i="8"/>
  <c r="D153" i="8"/>
  <c r="D43" i="8"/>
  <c r="D119" i="8"/>
  <c r="D242" i="8"/>
  <c r="D170" i="8"/>
  <c r="D247" i="8"/>
  <c r="D62" i="8"/>
  <c r="D275" i="8"/>
  <c r="D240" i="8"/>
  <c r="D23" i="8"/>
  <c r="D127" i="8"/>
  <c r="D185" i="8"/>
  <c r="D249" i="8"/>
  <c r="D248" i="8"/>
  <c r="D15" i="8"/>
  <c r="D183" i="8"/>
  <c r="D232" i="8"/>
  <c r="D107" i="8"/>
  <c r="D270" i="8"/>
  <c r="D81" i="8"/>
  <c r="D57" i="8"/>
  <c r="D255" i="8"/>
  <c r="D215" i="8"/>
  <c r="D229" i="8"/>
  <c r="D219" i="8"/>
  <c r="D202" i="8"/>
  <c r="D199" i="8"/>
  <c r="D309" i="8"/>
  <c r="D26" i="8"/>
  <c r="D188" i="8"/>
  <c r="D99" i="8"/>
  <c r="D156" i="8"/>
  <c r="D39" i="8"/>
  <c r="D179" i="8"/>
  <c r="D295" i="8"/>
  <c r="D195" i="8"/>
  <c r="D28" i="8"/>
  <c r="D73" i="8"/>
  <c r="D217" i="8"/>
  <c r="D142" i="8"/>
  <c r="D241" i="8"/>
  <c r="D203" i="8"/>
  <c r="D258" i="8"/>
  <c r="D163" i="8"/>
  <c r="D103" i="8"/>
  <c r="D9" i="8"/>
  <c r="D282" i="8"/>
  <c r="D158" i="8"/>
  <c r="D228" i="8"/>
  <c r="D98" i="8"/>
  <c r="D25" i="8"/>
  <c r="D168" i="8"/>
  <c r="D145" i="8"/>
  <c r="D29" i="8"/>
  <c r="D257" i="8"/>
  <c r="D186" i="8"/>
  <c r="D221" i="8"/>
  <c r="D157" i="8"/>
  <c r="D49" i="8"/>
  <c r="D95" i="8"/>
  <c r="D187" i="8"/>
  <c r="D256" i="8"/>
  <c r="D20" i="8"/>
  <c r="D181" i="8"/>
  <c r="D121" i="8"/>
  <c r="D214" i="8"/>
  <c r="D147" i="8"/>
  <c r="D77" i="8"/>
  <c r="D146" i="8"/>
  <c r="D227" i="8"/>
  <c r="D130" i="8"/>
  <c r="D310" i="8"/>
  <c r="D192" i="8"/>
  <c r="D82" i="8"/>
  <c r="D60" i="8"/>
  <c r="D91" i="8"/>
  <c r="D272" i="8"/>
  <c r="D283" i="8"/>
  <c r="D34" i="8"/>
  <c r="D93" i="8"/>
  <c r="D64" i="8"/>
  <c r="D47" i="8"/>
  <c r="D213" i="8"/>
  <c r="D134" i="8"/>
  <c r="D31" i="8"/>
  <c r="D298" i="8"/>
  <c r="D96" i="8"/>
  <c r="D11" i="8"/>
  <c r="D161" i="8"/>
  <c r="D220" i="8"/>
  <c r="D51" i="8"/>
  <c r="D164" i="8"/>
  <c r="D281" i="8"/>
  <c r="D125" i="8"/>
  <c r="D189" i="8"/>
  <c r="D305" i="8"/>
  <c r="D254" i="8"/>
  <c r="D299" i="8"/>
  <c r="D175" i="8"/>
  <c r="D65" i="8"/>
  <c r="D143" i="8"/>
  <c r="D33" i="8"/>
  <c r="D141" i="8"/>
  <c r="D285" i="8"/>
  <c r="D35" i="8"/>
  <c r="D260" i="8"/>
  <c r="D196" i="8"/>
  <c r="D140" i="8"/>
  <c r="D200" i="8"/>
  <c r="D42" i="8"/>
  <c r="D92" i="8"/>
  <c r="D245" i="8"/>
  <c r="D69" i="8"/>
  <c r="D239" i="8"/>
  <c r="D259" i="8"/>
  <c r="D303" i="8"/>
  <c r="D171" i="8"/>
  <c r="D274" i="8"/>
  <c r="D18" i="8"/>
  <c r="D100" i="8"/>
  <c r="D78" i="8"/>
  <c r="D27" i="8"/>
  <c r="D16" i="8"/>
  <c r="D12" i="8"/>
  <c r="D194" i="8"/>
  <c r="D197" i="8"/>
  <c r="D263" i="8"/>
  <c r="D216" i="8"/>
  <c r="D67" i="8"/>
  <c r="D111" i="8"/>
  <c r="D225" i="8"/>
  <c r="D244" i="8"/>
  <c r="D71" i="8"/>
  <c r="D301" i="8"/>
  <c r="D174" i="8"/>
  <c r="D276" i="8"/>
  <c r="D250" i="8"/>
  <c r="D278" i="8"/>
  <c r="D235" i="8"/>
  <c r="D94" i="8"/>
  <c r="D160" i="8"/>
  <c r="D72" i="8"/>
  <c r="D238" i="8"/>
  <c r="D133" i="8"/>
  <c r="D166" i="8"/>
  <c r="D104" i="8"/>
  <c r="D288" i="8"/>
  <c r="D21" i="8"/>
  <c r="D308" i="8"/>
  <c r="D218" i="8"/>
  <c r="D290" i="8"/>
  <c r="D116" i="8"/>
  <c r="D224" i="8"/>
  <c r="D38" i="8"/>
  <c r="D41" i="8"/>
  <c r="D105" i="8"/>
  <c r="D284" i="8"/>
  <c r="D209" i="8"/>
  <c r="D293" i="8"/>
  <c r="D211" i="8"/>
  <c r="D32" i="8"/>
  <c r="D271" i="8"/>
  <c r="D204" i="8"/>
  <c r="D129" i="8"/>
  <c r="D97" i="8"/>
  <c r="D24" i="8"/>
  <c r="D184" i="8"/>
  <c r="D37" i="8"/>
  <c r="D261" i="8"/>
  <c r="D152" i="8"/>
  <c r="D267" i="8"/>
  <c r="D56" i="8"/>
  <c r="D151" i="8"/>
  <c r="D85" i="8"/>
  <c r="D252" i="8"/>
  <c r="D30" i="8"/>
  <c r="D124" i="8"/>
  <c r="D223" i="8"/>
  <c r="D132" i="8"/>
  <c r="D36" i="8"/>
  <c r="D120" i="8"/>
  <c r="D178" i="8"/>
  <c r="D180" i="8"/>
  <c r="D280" i="8"/>
  <c r="D306" i="8"/>
  <c r="D231" i="8"/>
  <c r="D279" i="8"/>
  <c r="D84" i="8"/>
  <c r="D266" i="8"/>
  <c r="D251" i="8"/>
  <c r="D14" i="8"/>
  <c r="D201" i="8"/>
  <c r="D206" i="8"/>
  <c r="D176" i="8"/>
  <c r="D193" i="8"/>
  <c r="D122" i="8"/>
  <c r="D135" i="8"/>
  <c r="D243" i="8"/>
  <c r="D287" i="8"/>
  <c r="D253" i="8"/>
  <c r="D123" i="8"/>
  <c r="D154" i="8"/>
  <c r="D61" i="8"/>
  <c r="D106" i="8"/>
  <c r="D13" i="8"/>
  <c r="D113" i="8"/>
  <c r="D87" i="8"/>
  <c r="D173" i="8"/>
  <c r="D54" i="8"/>
  <c r="D117" i="8"/>
  <c r="D109" i="8"/>
  <c r="D292" i="8"/>
  <c r="D230" i="8"/>
  <c r="D46" i="8"/>
  <c r="D269" i="8"/>
  <c r="D304" i="8"/>
  <c r="D233" i="8"/>
  <c r="D226" i="8"/>
  <c r="D302" i="8"/>
  <c r="D68" i="8"/>
  <c r="D22" i="8"/>
  <c r="D88" i="8"/>
  <c r="D74" i="8"/>
  <c r="D155" i="8"/>
  <c r="D273" i="8"/>
  <c r="D265" i="8"/>
  <c r="D128" i="8"/>
  <c r="D86" i="8"/>
  <c r="D137" i="8"/>
  <c r="D286" i="8"/>
  <c r="D162" i="8"/>
  <c r="D80" i="8"/>
  <c r="D294" i="8"/>
  <c r="D159" i="8"/>
  <c r="D55" i="8"/>
  <c r="D212" i="8"/>
  <c r="D110" i="8"/>
  <c r="D70" i="8"/>
  <c r="D40" i="8"/>
  <c r="D63" i="8"/>
  <c r="D297" i="8"/>
  <c r="D48" i="8"/>
  <c r="D126" i="8"/>
  <c r="D177" i="8"/>
  <c r="D205" i="8"/>
  <c r="D148" i="8"/>
  <c r="D236" i="8"/>
  <c r="D169" i="8"/>
  <c r="D150" i="8"/>
  <c r="D237" i="8"/>
  <c r="D59" i="8"/>
  <c r="D52" i="8"/>
  <c r="D102" i="8"/>
  <c r="D136" i="8"/>
  <c r="D210" i="8"/>
  <c r="D234" i="8"/>
  <c r="D66" i="8"/>
  <c r="D246" i="8"/>
  <c r="D112" i="8"/>
  <c r="D262" i="8"/>
  <c r="D208" i="8"/>
  <c r="D53" i="8"/>
  <c r="D118" i="8"/>
  <c r="C2" i="8" l="1"/>
  <c r="C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Parker</author>
  </authors>
  <commentList>
    <comment ref="E3" authorId="0" shapeId="0" xr:uid="{9C8AE054-F2B4-4B25-8B54-AE1EE4A136CF}">
      <text>
        <r>
          <rPr>
            <b/>
            <sz val="9"/>
            <color indexed="81"/>
            <rFont val="Tahoma"/>
            <family val="2"/>
          </rPr>
          <t>To search for a local authority area, either click in the blank box then click the arrow to select an area name from the list of all areas, or enter a search term in the box, press enter, then click the arrow to select from matching names. To reset, use the delete key to clear the search box.</t>
        </r>
        <r>
          <rPr>
            <sz val="9"/>
            <color indexed="81"/>
            <rFont val="Tahoma"/>
            <family val="2"/>
          </rPr>
          <t xml:space="preserve">
</t>
        </r>
      </text>
    </comment>
  </commentList>
</comments>
</file>

<file path=xl/sharedStrings.xml><?xml version="1.0" encoding="utf-8"?>
<sst xmlns="http://schemas.openxmlformats.org/spreadsheetml/2006/main" count="7436" uniqueCount="822">
  <si>
    <t>Change</t>
  </si>
  <si>
    <t xml:space="preserve">Region </t>
  </si>
  <si>
    <t>PRPs operating in the LA area:</t>
  </si>
  <si>
    <t>Small PRPs in the LA area:</t>
  </si>
  <si>
    <t>PRPs operating in the region:</t>
  </si>
  <si>
    <t>Large PRPs In the LA Area:</t>
  </si>
  <si>
    <r>
      <t xml:space="preserve">Provision Type </t>
    </r>
    <r>
      <rPr>
        <sz val="8"/>
        <color theme="1"/>
        <rFont val="Arial"/>
        <family val="2"/>
      </rPr>
      <t>(including Affordable Rent units in GN, SH and HOP)</t>
    </r>
  </si>
  <si>
    <t>Low cost rental</t>
  </si>
  <si>
    <t>General needs</t>
  </si>
  <si>
    <t>General needs self contained</t>
  </si>
  <si>
    <t>General needs non self contained</t>
  </si>
  <si>
    <t>Supported housing</t>
  </si>
  <si>
    <t>Housing for older people</t>
  </si>
  <si>
    <t>Low cost home ownership (LCHO)</t>
  </si>
  <si>
    <t>Total</t>
  </si>
  <si>
    <t>England</t>
  </si>
  <si>
    <t>Decent Homes Standard (DHS)</t>
  </si>
  <si>
    <t>Total social rented stock owned (GN, SH and HOP)</t>
  </si>
  <si>
    <t>Total number of units owned which failed the DHS</t>
  </si>
  <si>
    <t>Percentage of units owned which failed the DHS</t>
  </si>
  <si>
    <t>Net rent</t>
  </si>
  <si>
    <t>Service charge^</t>
  </si>
  <si>
    <t>Gross rent^</t>
  </si>
  <si>
    <t>Unit count</t>
  </si>
  <si>
    <t xml:space="preserve">^ The average service charge relates only to the stock which has a service charge (i.e., zero service charges are not included). However, gross rent does include stock with no service charge.  The sum of the net rent and service charge presented in this table does not equal the gross rent.  </t>
  </si>
  <si>
    <t>Affordable Rent general needs</t>
  </si>
  <si>
    <t>Gross rent</t>
  </si>
  <si>
    <t>Sales by PRPs by type - Large PRPs only</t>
  </si>
  <si>
    <t>Total sales to registered providers</t>
  </si>
  <si>
    <t>Total sales to tenants</t>
  </si>
  <si>
    <t>Total sales to other</t>
  </si>
  <si>
    <t>First tranche low cost home ownership sales</t>
  </si>
  <si>
    <t>100% staircased low cost home ownership sales</t>
  </si>
  <si>
    <t>Total vacant general needs self-contained units</t>
  </si>
  <si>
    <t xml:space="preserve">General needs - self contained - owned </t>
  </si>
  <si>
    <t>Vacant and available for letting</t>
  </si>
  <si>
    <t>Vacant and not available for letting</t>
  </si>
  <si>
    <t>Total number of vacant units</t>
  </si>
  <si>
    <t>% of units vacant</t>
  </si>
  <si>
    <t>% of units vacant and available for letting</t>
  </si>
  <si>
    <t>Large PRPs only - unweighted.</t>
  </si>
  <si>
    <t>Includes intermediate rent and Affordable Rent general needs units</t>
  </si>
  <si>
    <t>Table 1</t>
  </si>
  <si>
    <t>Table 2</t>
  </si>
  <si>
    <t>Table 3</t>
  </si>
  <si>
    <t>Table 4</t>
  </si>
  <si>
    <t>Table 5</t>
  </si>
  <si>
    <t>Table 6</t>
  </si>
  <si>
    <t>Table 7</t>
  </si>
  <si>
    <t>Table 8</t>
  </si>
  <si>
    <t>LA code</t>
  </si>
  <si>
    <t>Local Authority name</t>
  </si>
  <si>
    <t>GNSC - ALL PRPS</t>
  </si>
  <si>
    <t>GNBSPs  - ALL PRPS</t>
  </si>
  <si>
    <t>SH - ALL PRPS</t>
  </si>
  <si>
    <t>HOP - ALL PRPS</t>
  </si>
  <si>
    <t>LCHO &lt;100% Equity LARGE ONLY</t>
  </si>
  <si>
    <t>All Stock - ALL PRPS (LCHO LARGE ONLY)</t>
  </si>
  <si>
    <t>Rental Stock Total - ALL PRPS</t>
  </si>
  <si>
    <t>DHS_Fails - ALL PRPS</t>
  </si>
  <si>
    <t>Average_GN_NET</t>
  </si>
  <si>
    <t>Combined_Tot_GN_All_Soc_Rent</t>
  </si>
  <si>
    <t>Service Charge</t>
  </si>
  <si>
    <t>Gross_Rent</t>
  </si>
  <si>
    <t>GN_SOCIAL RENT_UNIT_COUNT (EXCLUDES AR)</t>
  </si>
  <si>
    <t>Net Rent</t>
  </si>
  <si>
    <t>Social Rent</t>
  </si>
  <si>
    <t>Gross Rent</t>
  </si>
  <si>
    <t>Unit Count</t>
  </si>
  <si>
    <t>GN_Aff_Rnt</t>
  </si>
  <si>
    <t>Tot_GN_Aff_Rnt_Units</t>
  </si>
  <si>
    <t>AR SH/HOP - Gross Rent - LA</t>
  </si>
  <si>
    <t>AR SH/HOP - Unit Count - LA</t>
  </si>
  <si>
    <t>SBS244_LA_SBS_Tot_Sale_RP</t>
  </si>
  <si>
    <t>SBS245_LA_SBS_Tot_Sale_Ten</t>
  </si>
  <si>
    <t>SBS246_LA_SBS_Tot_Sale_Other</t>
  </si>
  <si>
    <t>CLCHO015_LA_Fst_Tran_Sale_LCHO</t>
  </si>
  <si>
    <t>CLCHO016_LA_100Perc_Stair_Sale_LCHO</t>
  </si>
  <si>
    <t>NEW Large PRP - GN SC stock</t>
  </si>
  <si>
    <t>SU065_LA_Vac_avail_GN_SC</t>
  </si>
  <si>
    <t>SU066_LA_Vac_not_avail_GN_SC</t>
  </si>
  <si>
    <t>SU067_Tot_vac_GN_SC</t>
  </si>
  <si>
    <t>East Midlands</t>
  </si>
  <si>
    <t>East of England</t>
  </si>
  <si>
    <t>London</t>
  </si>
  <si>
    <t>North East</t>
  </si>
  <si>
    <t>North West</t>
  </si>
  <si>
    <t>South East</t>
  </si>
  <si>
    <t>South West</t>
  </si>
  <si>
    <t>West Midlands</t>
  </si>
  <si>
    <t>E07000223</t>
  </si>
  <si>
    <t>Adur</t>
  </si>
  <si>
    <t>E07000026</t>
  </si>
  <si>
    <t>Allerdale</t>
  </si>
  <si>
    <t>E07000032</t>
  </si>
  <si>
    <t>Amber Valley</t>
  </si>
  <si>
    <t>E07000224</t>
  </si>
  <si>
    <t>Arun</t>
  </si>
  <si>
    <t>E07000170</t>
  </si>
  <si>
    <t>Ashfield</t>
  </si>
  <si>
    <t>E07000105</t>
  </si>
  <si>
    <t>Ashford</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</si>
  <si>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</si>
  <si>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</si>
  <si>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</si>
  <si>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</si>
  <si>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</si>
  <si>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</si>
  <si>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</si>
  <si>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</si>
  <si>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</si>
  <si>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</si>
  <si>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</si>
  <si>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</si>
  <si>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</si>
  <si>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</si>
  <si>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</si>
  <si>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</si>
  <si>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</si>
  <si>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</si>
  <si>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</si>
  <si>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</si>
  <si>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</si>
  <si>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</si>
  <si>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</si>
  <si>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</si>
  <si>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</si>
  <si>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</si>
  <si>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</si>
  <si>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</si>
  <si>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</si>
  <si>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</si>
  <si>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</si>
  <si>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</si>
  <si>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</si>
  <si>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</si>
  <si>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</si>
  <si>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</si>
  <si>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E06000058</t>
  </si>
  <si>
    <t>Bournemouth Christchurch and Poole</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</si>
  <si>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</si>
  <si>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</si>
  <si>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</si>
  <si>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</si>
  <si>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</si>
  <si>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</si>
  <si>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</si>
  <si>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</si>
  <si>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</si>
  <si>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</si>
  <si>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</si>
  <si>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</si>
  <si>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</si>
  <si>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</si>
  <si>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</si>
  <si>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</si>
  <si>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</si>
  <si>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</si>
  <si>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</si>
  <si>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</si>
  <si>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</si>
  <si>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</si>
  <si>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</si>
  <si>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</si>
  <si>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</si>
  <si>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</si>
  <si>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</si>
  <si>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</si>
  <si>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</si>
  <si>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</si>
  <si>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</si>
  <si>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</si>
  <si>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</si>
  <si>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</si>
  <si>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</si>
  <si>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</si>
  <si>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</si>
  <si>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</si>
  <si>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</si>
  <si>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</si>
  <si>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</si>
  <si>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</si>
  <si>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</si>
  <si>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</si>
  <si>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</si>
  <si>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</si>
  <si>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</si>
  <si>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</si>
  <si>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</si>
  <si>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</si>
  <si>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</si>
  <si>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</si>
  <si>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</si>
  <si>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</si>
  <si>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</si>
  <si>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</si>
  <si>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</si>
  <si>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</si>
  <si>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</si>
  <si>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</si>
  <si>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</si>
  <si>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</si>
  <si>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E07000118</t>
  </si>
  <si>
    <t>Chorley</t>
  </si>
  <si>
    <t>E09000001</t>
  </si>
  <si>
    <t>City of London</t>
  </si>
  <si>
    <t>E07000071</t>
  </si>
  <si>
    <t>Colchester</t>
  </si>
  <si>
    <t>E07000029</t>
  </si>
  <si>
    <t>Copeland</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</si>
  <si>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</si>
  <si>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</si>
  <si>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</si>
  <si>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</si>
  <si>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</si>
  <si>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</si>
  <si>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</si>
  <si>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</si>
  <si>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</si>
  <si>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</si>
  <si>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</si>
  <si>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</si>
  <si>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</si>
  <si>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</si>
  <si>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</si>
  <si>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</si>
  <si>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</si>
  <si>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</si>
  <si>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</si>
  <si>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</si>
  <si>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E06000015</t>
  </si>
  <si>
    <t>Derby</t>
  </si>
  <si>
    <t>E07000035</t>
  </si>
  <si>
    <t>Derbyshire Dales</t>
  </si>
  <si>
    <t>E08000017</t>
  </si>
  <si>
    <t>Doncaster</t>
  </si>
  <si>
    <t>E06000059</t>
  </si>
  <si>
    <t>Dorset</t>
  </si>
  <si>
    <t>E07000108</t>
  </si>
  <si>
    <t>Dover</t>
  </si>
  <si>
    <t>E08000027</t>
  </si>
  <si>
    <t>Dudley</t>
  </si>
  <si>
    <t>E09000009</t>
  </si>
  <si>
    <t>Ealing</t>
  </si>
  <si>
    <t>E07000009</t>
  </si>
  <si>
    <t>East Cambridgeshire</t>
  </si>
  <si>
    <t>E07000040</t>
  </si>
  <si>
    <t>East Devon</t>
  </si>
  <si>
    <t>E07000085</t>
  </si>
  <si>
    <t>East Hampshire</t>
  </si>
  <si>
    <t>E07000242</t>
  </si>
  <si>
    <t>East Hertfordshire</t>
  </si>
  <si>
    <t>E07000137</t>
  </si>
  <si>
    <t>East Lindsey</t>
  </si>
  <si>
    <t>E06000011</t>
  </si>
  <si>
    <t>East Riding of Yorkshire</t>
  </si>
  <si>
    <t>E07000193</t>
  </si>
  <si>
    <t>East Staffordshire</t>
  </si>
  <si>
    <t>E07000244</t>
  </si>
  <si>
    <t>East Suffolk</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</si>
  <si>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</si>
  <si>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</si>
  <si>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</si>
  <si>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</si>
  <si>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</si>
  <si>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</si>
  <si>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</si>
  <si>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</si>
  <si>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</si>
  <si>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</si>
  <si>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</si>
  <si>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</si>
  <si>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</si>
  <si>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</si>
  <si>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</si>
  <si>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</si>
  <si>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</si>
  <si>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</si>
  <si>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</si>
  <si>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</si>
  <si>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</si>
  <si>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</si>
  <si>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E07000112</t>
  </si>
  <si>
    <t>Folkestone and Hythe</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</si>
  <si>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</si>
  <si>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</si>
  <si>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</si>
  <si>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</si>
  <si>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</si>
  <si>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</si>
  <si>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</si>
  <si>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</si>
  <si>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</si>
  <si>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</si>
  <si>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</si>
  <si>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</si>
  <si>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</si>
  <si>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</si>
  <si>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</si>
  <si>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</si>
  <si>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</si>
  <si>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</si>
  <si>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</si>
  <si>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</si>
  <si>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</si>
  <si>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</si>
  <si>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</si>
  <si>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</si>
  <si>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</si>
  <si>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</si>
  <si>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</si>
  <si>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</si>
  <si>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</si>
  <si>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</si>
  <si>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</si>
  <si>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</si>
  <si>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</si>
  <si>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</si>
  <si>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</si>
  <si>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</si>
  <si>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</si>
  <si>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</si>
  <si>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</si>
  <si>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</si>
  <si>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</si>
  <si>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</si>
  <si>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</si>
  <si>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</si>
  <si>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</si>
  <si>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</si>
  <si>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</si>
  <si>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</si>
  <si>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</si>
  <si>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</si>
  <si>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</si>
  <si>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</si>
  <si>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</si>
  <si>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</si>
  <si>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</si>
  <si>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</si>
  <si>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</si>
  <si>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</si>
  <si>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</si>
  <si>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</si>
  <si>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</si>
  <si>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</si>
  <si>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</si>
  <si>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</si>
  <si>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</si>
  <si>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</si>
  <si>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</si>
  <si>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</si>
  <si>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</si>
  <si>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</si>
  <si>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</si>
  <si>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</si>
  <si>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</si>
  <si>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</si>
  <si>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</si>
  <si>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</si>
  <si>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</si>
  <si>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</si>
  <si>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</si>
  <si>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</si>
  <si>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</si>
  <si>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</si>
  <si>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</si>
  <si>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</si>
  <si>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</si>
  <si>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</si>
  <si>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</si>
  <si>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</si>
  <si>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</si>
  <si>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</si>
  <si>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</si>
  <si>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</si>
  <si>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</si>
  <si>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</si>
  <si>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</si>
  <si>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</si>
  <si>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</si>
  <si>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</si>
  <si>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</si>
  <si>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</si>
  <si>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</si>
  <si>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</si>
  <si>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</si>
  <si>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</si>
  <si>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</si>
  <si>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</si>
  <si>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</si>
  <si>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</si>
  <si>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</si>
  <si>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</si>
  <si>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</si>
  <si>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</si>
  <si>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</si>
  <si>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</si>
  <si>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</si>
  <si>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</si>
  <si>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</si>
  <si>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</si>
  <si>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</si>
  <si>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</si>
  <si>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</si>
  <si>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</si>
  <si>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</si>
  <si>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</si>
  <si>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</si>
  <si>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</si>
  <si>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</si>
  <si>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</si>
  <si>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</si>
  <si>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</si>
  <si>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</si>
  <si>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</si>
  <si>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</si>
  <si>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</si>
  <si>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</si>
  <si>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</si>
  <si>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</si>
  <si>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</si>
  <si>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</si>
  <si>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</si>
  <si>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</si>
  <si>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</si>
  <si>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</si>
  <si>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</si>
  <si>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</si>
  <si>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</si>
  <si>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</si>
  <si>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</si>
  <si>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</si>
  <si>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</si>
  <si>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</si>
  <si>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</si>
  <si>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</si>
  <si>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</si>
  <si>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</si>
  <si>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</si>
  <si>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</si>
  <si>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</si>
  <si>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</si>
  <si>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</si>
  <si>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</si>
  <si>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</si>
  <si>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</si>
  <si>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</si>
  <si>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</si>
  <si>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</si>
  <si>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</si>
  <si>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</si>
  <si>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</si>
  <si>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</si>
  <si>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</si>
  <si>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</si>
  <si>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</si>
  <si>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</si>
  <si>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</si>
  <si>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</si>
  <si>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</si>
  <si>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</si>
  <si>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</si>
  <si>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</si>
  <si>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</si>
  <si>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</si>
  <si>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</si>
  <si>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</si>
  <si>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</si>
  <si>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</si>
  <si>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</si>
  <si>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</si>
  <si>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E06000044</t>
  </si>
  <si>
    <t>Portsmouth</t>
  </si>
  <si>
    <t>E07000123</t>
  </si>
  <si>
    <t>Preston</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</si>
  <si>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</si>
  <si>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</si>
  <si>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</si>
  <si>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</si>
  <si>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</si>
  <si>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</si>
  <si>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</si>
  <si>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</si>
  <si>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</si>
  <si>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</si>
  <si>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</si>
  <si>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</si>
  <si>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</si>
  <si>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</si>
  <si>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</si>
  <si>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</si>
  <si>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</si>
  <si>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</si>
  <si>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</si>
  <si>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</si>
  <si>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</si>
  <si>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</si>
  <si>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</si>
  <si>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</si>
  <si>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</si>
  <si>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</si>
  <si>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</si>
  <si>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</si>
  <si>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</si>
  <si>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</si>
  <si>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</si>
  <si>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</si>
  <si>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</si>
  <si>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</si>
  <si>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</si>
  <si>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</si>
  <si>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</si>
  <si>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</si>
  <si>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</si>
  <si>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</si>
  <si>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</si>
  <si>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</si>
  <si>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</si>
  <si>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</si>
  <si>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</si>
  <si>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</si>
  <si>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</si>
  <si>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</si>
  <si>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</si>
  <si>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</si>
  <si>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</si>
  <si>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</si>
  <si>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</si>
  <si>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</si>
  <si>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E06000051</t>
  </si>
  <si>
    <t>Shropshire</t>
  </si>
  <si>
    <t>E06000039</t>
  </si>
  <si>
    <t>Slough</t>
  </si>
  <si>
    <t>E08000029</t>
  </si>
  <si>
    <t>Solihull</t>
  </si>
  <si>
    <t>E07000246</t>
  </si>
  <si>
    <t>Somerset West and Taunton</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</si>
  <si>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</si>
  <si>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</si>
  <si>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</si>
  <si>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</si>
  <si>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</si>
  <si>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</si>
  <si>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</si>
  <si>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</si>
  <si>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</si>
  <si>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</si>
  <si>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</si>
  <si>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</si>
  <si>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</si>
  <si>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</si>
  <si>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</si>
  <si>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</si>
  <si>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</si>
  <si>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</si>
  <si>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</si>
  <si>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</si>
  <si>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</si>
  <si>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</si>
  <si>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</si>
  <si>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</si>
  <si>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</si>
  <si>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</si>
  <si>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</si>
  <si>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</si>
  <si>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</si>
  <si>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</si>
  <si>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</si>
  <si>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</si>
  <si>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</si>
  <si>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</si>
  <si>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</si>
  <si>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</si>
  <si>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</si>
  <si>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</si>
  <si>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</si>
  <si>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</si>
  <si>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</si>
  <si>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</si>
  <si>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</si>
  <si>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</si>
  <si>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</si>
  <si>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</si>
  <si>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</si>
  <si>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</si>
  <si>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</si>
  <si>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</si>
  <si>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</si>
  <si>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</si>
  <si>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</si>
  <si>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</si>
  <si>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</si>
  <si>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</si>
  <si>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</si>
  <si>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</si>
  <si>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</si>
  <si>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</si>
  <si>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</si>
  <si>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</si>
  <si>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</si>
  <si>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</si>
  <si>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</si>
  <si>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</si>
  <si>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</si>
  <si>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</si>
  <si>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</si>
  <si>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</si>
  <si>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</si>
  <si>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</si>
  <si>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</si>
  <si>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</si>
  <si>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</si>
  <si>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</si>
  <si>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</si>
  <si>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</si>
  <si>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</si>
  <si>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</si>
  <si>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</si>
  <si>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</si>
  <si>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</si>
  <si>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</si>
  <si>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</si>
  <si>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</si>
  <si>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</si>
  <si>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</si>
  <si>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</si>
  <si>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</si>
  <si>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</si>
  <si>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</si>
  <si>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</si>
  <si>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</si>
  <si>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</si>
  <si>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</si>
  <si>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</si>
  <si>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</si>
  <si>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</si>
  <si>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</si>
  <si>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</si>
  <si>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</si>
  <si>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</si>
  <si>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</si>
  <si>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</si>
  <si>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</si>
  <si>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</si>
  <si>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</si>
  <si>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</si>
  <si>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</si>
  <si>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</si>
  <si>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</si>
  <si>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</si>
  <si>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</si>
  <si>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</si>
  <si>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</si>
  <si>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E07000216</t>
  </si>
  <si>
    <t>Waverley</t>
  </si>
  <si>
    <t>E07000065</t>
  </si>
  <si>
    <t>Wealden</t>
  </si>
  <si>
    <t>E07000241</t>
  </si>
  <si>
    <t>Welwyn Hatfield</t>
  </si>
  <si>
    <t>E06000037</t>
  </si>
  <si>
    <t>West Berkshire</t>
  </si>
  <si>
    <t>E07000047</t>
  </si>
  <si>
    <t>West Devon</t>
  </si>
  <si>
    <t>E07000127</t>
  </si>
  <si>
    <t>West Lancashire</t>
  </si>
  <si>
    <t>E07000142</t>
  </si>
  <si>
    <t>West Lindsey</t>
  </si>
  <si>
    <t>E07000181</t>
  </si>
  <si>
    <t>West Oxfordshire</t>
  </si>
  <si>
    <t>E07000245</t>
  </si>
  <si>
    <t>West Suffolk</t>
  </si>
  <si>
    <t>E09000033</t>
  </si>
  <si>
    <t>Westminster</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</si>
  <si>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</si>
  <si>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</si>
  <si>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</si>
  <si>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</si>
  <si>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</si>
  <si>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</si>
  <si>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</si>
  <si>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</si>
  <si>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</si>
  <si>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</si>
  <si>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</si>
  <si>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</si>
  <si>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</si>
  <si>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</si>
  <si>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</si>
  <si>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</si>
  <si>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</si>
  <si>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</si>
  <si>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</si>
  <si>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</si>
  <si>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</si>
  <si>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</si>
  <si>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E07000128</t>
  </si>
  <si>
    <t>Wyre</t>
  </si>
  <si>
    <t>E07000239</t>
  </si>
  <si>
    <t>Wyre Forest</t>
  </si>
  <si>
    <t>E06000014</t>
  </si>
  <si>
    <t>York</t>
  </si>
  <si>
    <t>Lookup search</t>
  </si>
  <si>
    <t>Local Authority Names</t>
  </si>
  <si>
    <t>Dynamic Range</t>
  </si>
  <si>
    <t>PRP Counts</t>
  </si>
  <si>
    <t>Region</t>
  </si>
  <si>
    <t>Row Labels</t>
  </si>
  <si>
    <t>LA Name</t>
  </si>
  <si>
    <t>2015 Large</t>
  </si>
  <si>
    <t>2015 Small</t>
  </si>
  <si>
    <t>2015 All</t>
  </si>
  <si>
    <t>Check</t>
  </si>
  <si>
    <t>Table 7 raw</t>
  </si>
  <si>
    <t>J</t>
  </si>
  <si>
    <t>K</t>
  </si>
  <si>
    <t>L</t>
  </si>
  <si>
    <t xml:space="preserve">All needs met   </t>
  </si>
  <si>
    <t>Some needs met</t>
  </si>
  <si>
    <t>No needs met</t>
  </si>
  <si>
    <t>Contents</t>
  </si>
  <si>
    <t>Section</t>
  </si>
  <si>
    <r>
      <t>Description</t>
    </r>
    <r>
      <rPr>
        <sz val="12"/>
        <rFont val="Arial"/>
        <family val="2"/>
      </rPr>
      <t xml:space="preserve"> </t>
    </r>
    <r>
      <rPr>
        <sz val="9"/>
        <rFont val="Arial"/>
        <family val="2"/>
      </rPr>
      <t>(click links below)</t>
    </r>
  </si>
  <si>
    <t>Glossary</t>
  </si>
  <si>
    <t>Total social units by provision type</t>
  </si>
  <si>
    <t>Decent Homes Standard</t>
  </si>
  <si>
    <t>General needs - average weekly rent and units</t>
  </si>
  <si>
    <t>Affordable Rent general needs - average weekly rent and units</t>
  </si>
  <si>
    <t>Affordable Rent supported housing  - average weekly rent and units</t>
  </si>
  <si>
    <t>Total vacant general needs self-contained</t>
  </si>
  <si>
    <t xml:space="preserve">Source: </t>
  </si>
  <si>
    <t>For further information please contact the Referrals and Regulatory Enquiries Team</t>
  </si>
  <si>
    <t xml:space="preserve">Telephone: 0300 1245 225 </t>
  </si>
  <si>
    <t xml:space="preserve">Email: </t>
  </si>
  <si>
    <t>enquiries@rsh.gov.uk</t>
  </si>
  <si>
    <t>Affordable Rent</t>
  </si>
  <si>
    <r>
      <t xml:space="preserve">Affordable Rent homes are those made available to households eligible for low cost rental housing at a rent level of no more than 80% (inclusive of service charges) of local market rents. Affordable Rent homes can be either newly built, acquired from other PRPs or converted from existing low cost rented homes, but only where they form part of an agreement with Homes England or the Greater London Authority. They can be either general needs or supported housing. See also </t>
    </r>
    <r>
      <rPr>
        <b/>
        <sz val="12"/>
        <color theme="1"/>
        <rFont val="Arial"/>
        <family val="2"/>
      </rPr>
      <t>London Affordable Rent</t>
    </r>
    <r>
      <rPr>
        <sz val="12"/>
        <color theme="1"/>
        <rFont val="Arial"/>
        <family val="2"/>
      </rPr>
      <t xml:space="preserve">.  </t>
    </r>
  </si>
  <si>
    <t>General needs housing</t>
  </si>
  <si>
    <t>General needs housing covers the bulk of housing stock for rent. It includes both self-contained units and non-self-contained hostel/ shared housing units and bedspaces. General needs housing is stock that is not designated for specific client groups.</t>
  </si>
  <si>
    <t xml:space="preserve">The total charged to tenants inclusive of all rent and property related service charges. </t>
  </si>
  <si>
    <t>Intermediate rent</t>
  </si>
  <si>
    <t>Large PRPs</t>
  </si>
  <si>
    <t xml:space="preserve">For the purposes of the SDR release this includes all PRPs that own 1,000 or more units of social housing and complete the ‘long SDR form’. </t>
  </si>
  <si>
    <t>London Affordable Rent</t>
  </si>
  <si>
    <t xml:space="preserve">LCHO accommodation is defined in the Housing and Regeneration Act 2008 as being that occupied or made available for occupation in accordance with shared ownership arrangements, shared equity arrangements, or shared ownership trusts; and it is made available to people whose needs are not adequately served by the commercial housing market. </t>
  </si>
  <si>
    <t xml:space="preserve">LCHO figures do not include ‘fully staircased’ properties, that is properties once occupied under relevant arrangements but where the occupier has for example acquired a 100% share of a shared ownership property or repaid an equity loan on a shared equity property in full. Fully staircased properties where the landlord has retained a freehold interest are included under ‘leasehold’ properties. </t>
  </si>
  <si>
    <t>The conditions under which LCHO properties are regarded as sold to occupiers (e.g. through being fully staircased) are more formally set out in Housing and Regeneration Act 2008.</t>
  </si>
  <si>
    <t>The term low cost rental is used in these statistics to denote any stock which meets the definition of low cost rental accommodation in the Housing and Regeneration Act 2008. It must be available for rent, with a rent below market value, and in accordance with the rules designed to ensure that it is made available to people whose needs are not adequately served by the commercial housing market.</t>
  </si>
  <si>
    <t>The rent charged to tenants excluding all service charges.</t>
  </si>
  <si>
    <t>Non-self-contained unit (bedspace)</t>
  </si>
  <si>
    <t>A non-self-contained unit will consist of an area in a hostel/ dormitory or other similar entity or a room or rooms (within a block of flats, sheltered scheme, house in multiple occupation or similar entity) which is/ are private to the tenant but which require sharing of some or all living, cooking, bathroom or toilet amenities.</t>
  </si>
  <si>
    <t>Owned stock</t>
  </si>
  <si>
    <t xml:space="preserve">An RP owns property when it: (a) holds the freehold title or a leasehold interest (of any length) in that property; and (b) is the body with a direct legal relationship with the occupants of the property (this body is often described as the landlord). </t>
  </si>
  <si>
    <t>Private registered providers (PRPs)</t>
  </si>
  <si>
    <t>Self-contained unit</t>
  </si>
  <si>
    <t>A self-contained unit is one in which all the rooms (including kitchen, bathroom and toilet) in a household’s accommodation are behind a door, which only that household can use and therefore allows that household exclusive use of them. Some self-contained units, especially flats, may have some common services such as a central boiler for heating and/ or hot water. Households which share a common entrance hall, but otherwise have all their accommodation behind their own front door are self-contained. Bedsits are considered self-contained units.</t>
  </si>
  <si>
    <t>Service charges</t>
  </si>
  <si>
    <t xml:space="preserve">Service charges are payable by some tenants in addition to rent. Service charges usually reflect additional services which may not be provided to every tenant, or which may be connected with communal facilities rather than being particular to the occupation of a dwelling. Service charges are subject to separate legal requirements and are limited to covering the cost of providing the services. </t>
  </si>
  <si>
    <t>Small PRPs</t>
  </si>
  <si>
    <t xml:space="preserve">These are PRPs that own fewer than 1,000 social housing units/ bedspaces and that complete the ‘short SDR form’. </t>
  </si>
  <si>
    <t>Social housing</t>
  </si>
  <si>
    <t>Social housing is defined in the Housing and Regeneration Act 2008 sections 68-77. The term covers low cost rental, low cost home ownership and accommodation owned by PRPs as previously defined in the Housing Act 1996.</t>
  </si>
  <si>
    <t>Social stock</t>
  </si>
  <si>
    <t xml:space="preserve">Social stock is used in these statistics to denote the total number of low cost rental and low cost home ownership units. Social stock figures do not include social leasehold units or any other stock type. Total social stock figures represent the number of self-contained units plus bedspaces.  </t>
  </si>
  <si>
    <t>Version</t>
  </si>
  <si>
    <t>Publication Date</t>
  </si>
  <si>
    <t xml:space="preserve">Changes </t>
  </si>
  <si>
    <t>Original release</t>
  </si>
  <si>
    <t>Contact</t>
  </si>
  <si>
    <t>Telephone: Referrals and Regulatory Enquires Team on 0300 1245 225</t>
  </si>
  <si>
    <t>Version: 1.0</t>
  </si>
  <si>
    <t>To select a name from the full list of all Local Authorities:</t>
  </si>
  <si>
    <t>To use the Search function:</t>
  </si>
  <si>
    <t xml:space="preserve">Select Local Authority area: </t>
  </si>
  <si>
    <t>Buckinghamshire</t>
  </si>
  <si>
    <t>Click on the blank box, then click on drop down arrow to select a name from the list of all Local Authorities.</t>
  </si>
  <si>
    <t>a)  Enter a search term in the blank box and press "Enter".</t>
  </si>
  <si>
    <t>b) Then click on the box again, then click drop down arrow to select a name from the (filtered) matching results.</t>
  </si>
  <si>
    <t>To reset, use the delete key to clear the search box contents, then click back on the box.</t>
  </si>
  <si>
    <t>E06000060</t>
  </si>
  <si>
    <r>
      <t>Formula rent</t>
    </r>
    <r>
      <rPr>
        <vertAlign val="superscript"/>
        <sz val="10"/>
        <color theme="1"/>
        <rFont val="Arial"/>
        <family val="2"/>
      </rPr>
      <t>1</t>
    </r>
  </si>
  <si>
    <r>
      <t xml:space="preserve">Click for help on the </t>
    </r>
    <r>
      <rPr>
        <b/>
        <u/>
        <sz val="10"/>
        <color theme="10"/>
        <rFont val="Arial"/>
        <family val="2"/>
      </rPr>
      <t>search function</t>
    </r>
  </si>
  <si>
    <t>Affordable Rent supported housing/housing for older people</t>
  </si>
  <si>
    <t>Exceptions/excepted units (rents)</t>
  </si>
  <si>
    <t>Units with an absolute exception from the statutory rent setting requirements set out in the Rent Policy Statement.</t>
  </si>
  <si>
    <t>Units that fully meet the definition of intermediate rent accommodation specified in the Rent Policy Statement.</t>
  </si>
  <si>
    <t xml:space="preserve">Units can only be counted as supported housing if they meet the definition of supported housing specified in the Rent Policy Statement. The fact that a tenant receives support services in their home does not make it supported housing. </t>
  </si>
  <si>
    <t>In these statistics social rent refers to all low cost rental units that are general needs or supported housing (excluding Affordable Rent and intermediate rent units). This includes units with exceptions from standard rent rules.</t>
  </si>
  <si>
    <t>Formula rent</t>
  </si>
  <si>
    <t>How to use the drop down list and Search function to select an LA name</t>
  </si>
  <si>
    <t>Supported housing/housing for older people - average weekly rent and units</t>
  </si>
  <si>
    <t>PRPs are providers of social housing in England that are registered with us and are not local authorities. This is the definition of PRPs in the Housing and Regeneration Act 2008.</t>
  </si>
  <si>
    <t>Yorkshire and the Humber</t>
  </si>
  <si>
    <t>How to use the search function</t>
  </si>
  <si>
    <r>
      <t xml:space="preserve">London Affordable Rent (LAR), was introduced in 2016 by the Mayor of London. LAR units are Affordable Rent units in London let at or below the weekly rent benchmarks set by the GLA. They are included in Affordable Rent figures in the LADR collection. For more information see </t>
    </r>
    <r>
      <rPr>
        <u/>
        <sz val="12"/>
        <color rgb="FF59468D"/>
        <rFont val="Arial"/>
        <family val="2"/>
      </rPr>
      <t>https://www.london.gov.uk/what-we-do/housing-and-land/homes-londoners-affordable-homes-programmes/homes-londoners-affordable-homes-programme-2016-2023</t>
    </r>
    <r>
      <rPr>
        <sz val="12"/>
        <color theme="1"/>
        <rFont val="Arial"/>
        <family val="2"/>
      </rPr>
      <t>.</t>
    </r>
  </si>
  <si>
    <t>Sales by PRPs by type - large PRPs only</t>
  </si>
  <si>
    <t>General needs (social rent)*</t>
  </si>
  <si>
    <t>Supported housing/housing for older people (social rent)*</t>
  </si>
  <si>
    <t>*Excludes Affordable Rent and intermediate rent, but includes other units with an exception under the Rent Policy Statement.</t>
  </si>
  <si>
    <t>PRP local authority trend tool (SDR data) 2015-2022</t>
  </si>
  <si>
    <t>In April 2021 two new local authority areas were formed from a merger of seven smaller local authority areas. For the years 2015-2021 the data presented in this tool have been aggregated and recalculated to reflect this new structure. Details of historic mergers can be found in previous tools. The new LA areas and their predecessor LA areas are;
                   North Northamptonshire was formed from a merger of Corby, East Northamptonshire, Kettering and Wellingborough.
                   West Northamptonshire was formed from a merger of Daventry, Northampton and South Northamptonshire.</t>
  </si>
  <si>
    <t>Publication date: October 2022</t>
  </si>
  <si>
    <t>PRP LA trend tool 2015-22</t>
  </si>
  <si>
    <t>Always start with a blank box (cell E3, sheet "PRP LA trend tool 2015-22").</t>
  </si>
  <si>
    <t>Return to sheet "PRP LA trend tool 2015-22"</t>
  </si>
  <si>
    <t>Statistical Data Return (SDR) 1 April to 31 March 2015-2022</t>
  </si>
  <si>
    <t>The definitions presented below are provided for clarity of terms and categories within this release. They are consistent with the manner in which data was collected in the 2021 SDR and LADR collections (based on a view ‘as at’ or ‘in the year to’ 31 March 2022). See the 2020-22 SDR and LADR guidance published as part of the individual statistics for more information.</t>
  </si>
  <si>
    <t>October 2022</t>
  </si>
  <si>
    <t>Owned stock.  Large PRPs only - unweighted.  Stock outside England is excluded.  Source: SDR 2015-2022.</t>
  </si>
  <si>
    <t>Owned stock. Stock outside England is excluded. Source: SDR 2015-2022.</t>
  </si>
  <si>
    <t>Source: SDR 2015-2022.</t>
  </si>
  <si>
    <t>1. Figures for 2015-2016 are for target rent, 2017-2020 are for social rent rate and from 2021 formula rent.</t>
  </si>
  <si>
    <t>North Northamptonshire</t>
  </si>
  <si>
    <t>West Northamptonshire</t>
  </si>
  <si>
    <t>E06000061</t>
  </si>
  <si>
    <t>E06000062</t>
  </si>
  <si>
    <t>2022 Large</t>
  </si>
  <si>
    <t>2022 Small</t>
  </si>
  <si>
    <t>2022 All</t>
  </si>
  <si>
    <t>highlighted figures are included in the chart</t>
  </si>
  <si>
    <r>
      <t xml:space="preserve">This tool collates data collected through the Statistical Data Return (SDR), to provide a summary overview of Private Registered Provider (PRP) stock at geographic levels (England, regional and local authority).  It returns a range of values, including counts of social rented units owned by type, along with average rent values for the selected areas.  It is easily printable, allowing comparisons to be made.
</t>
    </r>
    <r>
      <rPr>
        <b/>
        <sz val="12"/>
        <color theme="1"/>
        <rFont val="Arial"/>
        <family val="2"/>
      </rPr>
      <t xml:space="preserve">Select the relevant geographic areas from the drop down list in cell E3 of sheet "PRP LA trend tool 2015-22".
</t>
    </r>
    <r>
      <rPr>
        <b/>
        <sz val="12"/>
        <color rgb="FFFF0000"/>
        <rFont val="Arial"/>
        <family val="2"/>
      </rPr>
      <t xml:space="preserve">Or enter a search term in cell E3, press enter, click on cell E3 again, click arrow and select from matching names.
</t>
    </r>
    <r>
      <rPr>
        <sz val="12"/>
        <rFont val="Arial"/>
        <family val="2"/>
      </rPr>
      <t xml:space="preserve">
All figures are unweighted, as reported by the providers. </t>
    </r>
  </si>
  <si>
    <t>% of units vacant not available for letting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</si>
</sst>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0;\-#,##0.00_-;&quot;-&quot;"/>
    <numFmt numFmtId="165" formatCode="0.0%"/>
    <numFmt numFmtId="166" formatCode="&quot;£&quot;#,##0.00"/>
    <numFmt numFmtId="167" formatCode="_-* #,##0_-;\-* #,##0_-;_-* &quot;-&quot;??_-;_-@_-"/>
    <numFmt numFmtId="168" formatCode="0.0"/>
    <numFmt numFmtId="169" formatCode="[$-F800]dddd\,\ mmmm\ dd\,\ yyyy"/>
    <numFmt numFmtId="170" formatCode="mmmm\ yyyy"/>
    <numFmt numFmtId="171" formatCode="&quot;£&quot;#,##0.00;\-#,##0.00_-;&quot;-&quot;"/>
  </numFmts>
  <fonts count="6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b/>
      <sz val="28"/>
      <color rgb="FF59468D"/>
      <name val="Arial"/>
      <family val="2"/>
    </font>
    <font>
      <b/>
      <sz val="10"/>
      <color theme="1"/>
      <name val="Arial"/>
      <family val="2"/>
    </font>
    <font>
      <b/>
      <sz val="10"/>
      <color theme="3"/>
      <name val="Arial"/>
      <family val="2"/>
    </font>
    <font>
      <b/>
      <sz val="12"/>
      <color rgb="FF59468D"/>
      <name val="Arial"/>
      <family val="2"/>
    </font>
    <font>
      <sz val="12"/>
      <color rgb="FF59468D"/>
      <name val="Arial"/>
      <family val="2"/>
    </font>
    <font>
      <sz val="8"/>
      <color theme="1"/>
      <name val="Arial"/>
      <family val="2"/>
    </font>
    <font>
      <b/>
      <sz val="10"/>
      <name val="Arial"/>
      <family val="2"/>
    </font>
    <font>
      <i/>
      <sz val="8"/>
      <color theme="0" tint="-0.499984740745262"/>
      <name val="Arial"/>
      <family val="2"/>
    </font>
    <font>
      <sz val="10"/>
      <color theme="1"/>
      <name val="Arial"/>
      <family val="2"/>
    </font>
    <font>
      <sz val="10"/>
      <color theme="0" tint="-0.499984740745262"/>
      <name val="Arial"/>
      <family val="2"/>
    </font>
    <font>
      <b/>
      <sz val="10"/>
      <color rgb="FF59468D"/>
      <name val="Arial"/>
      <family val="2"/>
    </font>
    <font>
      <sz val="10"/>
      <name val="Arial"/>
      <family val="2"/>
    </font>
    <font>
      <sz val="10"/>
      <color rgb="FFE2EEF6"/>
      <name val="Arial"/>
      <family val="2"/>
    </font>
    <font>
      <sz val="10"/>
      <color theme="0"/>
      <name val="Arial"/>
      <family val="2"/>
    </font>
    <font>
      <vertAlign val="superscript"/>
      <sz val="10"/>
      <color theme="1"/>
      <name val="Arial"/>
      <family val="2"/>
    </font>
    <font>
      <b/>
      <sz val="10"/>
      <color theme="0"/>
      <name val="Arial"/>
      <family val="2"/>
    </font>
    <font>
      <sz val="8"/>
      <name val="Arial"/>
      <family val="2"/>
    </font>
    <font>
      <b/>
      <sz val="8"/>
      <color rgb="FFFF0000"/>
      <name val="Arial"/>
      <family val="2"/>
    </font>
    <font>
      <sz val="11"/>
      <color theme="0"/>
      <name val="Arial"/>
      <family val="2"/>
    </font>
    <font>
      <sz val="10"/>
      <color theme="8" tint="0.79998168889431442"/>
      <name val="Arial"/>
      <family val="2"/>
    </font>
    <font>
      <sz val="11"/>
      <color rgb="FF59468D"/>
      <name val="Arial"/>
      <family val="2"/>
    </font>
    <font>
      <sz val="11"/>
      <color theme="1"/>
      <name val="Arial"/>
      <family val="2"/>
    </font>
    <font>
      <sz val="11"/>
      <name val="Arial"/>
      <family val="2"/>
    </font>
    <font>
      <sz val="10"/>
      <color rgb="FFFF0000"/>
      <name val="Arial"/>
      <family val="2"/>
    </font>
    <font>
      <b/>
      <sz val="9"/>
      <color indexed="81"/>
      <name val="Tahoma"/>
      <family val="2"/>
    </font>
    <font>
      <sz val="9"/>
      <color indexed="81"/>
      <name val="Tahoma"/>
      <family val="2"/>
    </font>
    <font>
      <b/>
      <sz val="10"/>
      <color rgb="FFFF0000"/>
      <name val="Arial"/>
      <family val="2"/>
    </font>
    <font>
      <b/>
      <sz val="10"/>
      <color theme="8" tint="0.79998168889431442"/>
      <name val="Arial"/>
      <family val="2"/>
    </font>
    <font>
      <b/>
      <sz val="11"/>
      <color theme="1"/>
      <name val="Arial"/>
      <family val="2"/>
    </font>
    <font>
      <u/>
      <sz val="30"/>
      <color rgb="FF419331"/>
      <name val="Wingdings"/>
      <charset val="2"/>
    </font>
    <font>
      <b/>
      <sz val="30"/>
      <color rgb="FF419331"/>
      <name val="Wingdings"/>
      <charset val="2"/>
    </font>
    <font>
      <u/>
      <sz val="30"/>
      <color theme="0" tint="-0.499984740745262"/>
      <name val="Wingdings"/>
      <charset val="2"/>
    </font>
    <font>
      <b/>
      <sz val="30"/>
      <color rgb="FF00B050"/>
      <name val="Wingdings"/>
      <charset val="2"/>
    </font>
    <font>
      <u/>
      <sz val="30"/>
      <color rgb="FFC33A32"/>
      <name val="Wingdings"/>
      <charset val="2"/>
    </font>
    <font>
      <sz val="30"/>
      <color rgb="FFC33A32"/>
      <name val="Wingdings"/>
      <charset val="2"/>
    </font>
    <font>
      <b/>
      <sz val="10"/>
      <color rgb="FF419331"/>
      <name val="Arial"/>
      <family val="2"/>
    </font>
    <font>
      <b/>
      <sz val="10"/>
      <color theme="0" tint="-0.499984740745262"/>
      <name val="Arial"/>
      <family val="2"/>
    </font>
    <font>
      <b/>
      <sz val="10"/>
      <color rgb="FFC33A32"/>
      <name val="Arial"/>
      <family val="2"/>
    </font>
    <font>
      <sz val="10"/>
      <color rgb="FFC33A32"/>
      <name val="Arial"/>
      <family val="2"/>
    </font>
    <font>
      <sz val="12"/>
      <color theme="1"/>
      <name val="Arial"/>
      <family val="2"/>
    </font>
    <font>
      <b/>
      <sz val="12"/>
      <color theme="1"/>
      <name val="Arial"/>
      <family val="2"/>
    </font>
    <font>
      <b/>
      <sz val="12"/>
      <color rgb="FFFF0000"/>
      <name val="Arial"/>
      <family val="2"/>
    </font>
    <font>
      <sz val="12"/>
      <name val="Arial"/>
      <family val="2"/>
    </font>
    <font>
      <b/>
      <sz val="18"/>
      <color rgb="FF59468D"/>
      <name val="Arial"/>
      <family val="2"/>
    </font>
    <font>
      <b/>
      <sz val="12"/>
      <name val="Arial"/>
      <family val="2"/>
    </font>
    <font>
      <sz val="9"/>
      <name val="Arial"/>
      <family val="2"/>
    </font>
    <font>
      <u/>
      <sz val="12"/>
      <color theme="10"/>
      <name val="Arial"/>
      <family val="2"/>
    </font>
    <font>
      <sz val="10"/>
      <color rgb="FF59468D"/>
      <name val="Arial"/>
      <family val="2"/>
    </font>
    <font>
      <b/>
      <sz val="24"/>
      <color rgb="FF59468D"/>
      <name val="Arial"/>
      <family val="2"/>
    </font>
    <font>
      <b/>
      <sz val="18"/>
      <color theme="1"/>
      <name val="Arial"/>
      <family val="2"/>
    </font>
    <font>
      <b/>
      <sz val="14"/>
      <color indexed="9"/>
      <name val="Arial"/>
      <family val="2"/>
    </font>
    <font>
      <b/>
      <sz val="12"/>
      <color indexed="9"/>
      <name val="Arial"/>
      <family val="2"/>
    </font>
    <font>
      <b/>
      <sz val="12"/>
      <color theme="0"/>
      <name val="Arial"/>
      <family val="2"/>
    </font>
    <font>
      <b/>
      <sz val="22"/>
      <color rgb="FF59468D"/>
      <name val="Arial"/>
      <family val="2"/>
    </font>
    <font>
      <b/>
      <u/>
      <sz val="10"/>
      <color theme="10"/>
      <name val="Arial"/>
      <family val="2"/>
    </font>
    <font>
      <sz val="10"/>
      <color theme="1"/>
      <name val="Calibri"/>
      <family val="2"/>
      <scheme val="minor"/>
    </font>
    <font>
      <u/>
      <sz val="10"/>
      <color theme="10"/>
      <name val="Arial"/>
      <family val="2"/>
    </font>
    <font>
      <u/>
      <sz val="11"/>
      <color theme="10"/>
      <name val="Arial"/>
      <family val="2"/>
    </font>
    <font>
      <u/>
      <sz val="12"/>
      <color rgb="FF59468D"/>
      <name val="Arial"/>
      <family val="2"/>
    </font>
  </fonts>
  <fills count="1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bgColor indexed="64"/>
      </patternFill>
    </fill>
    <fill>
      <patternFill patternType="solid">
        <fgColor theme="9" tint="0.39997558519241921"/>
        <bgColor indexed="64"/>
      </patternFill>
    </fill>
    <fill>
      <patternFill patternType="solid">
        <fgColor rgb="FFFFFF00"/>
        <bgColor indexed="64"/>
      </patternFill>
    </fill>
    <fill>
      <patternFill patternType="solid">
        <fgColor rgb="FFEEEBF5"/>
        <bgColor indexed="64"/>
      </patternFill>
    </fill>
    <fill>
      <patternFill patternType="solid">
        <fgColor indexed="9"/>
        <bgColor indexed="64"/>
      </patternFill>
    </fill>
    <fill>
      <patternFill patternType="solid">
        <fgColor rgb="FF59468D"/>
        <bgColor indexed="64"/>
      </patternFill>
    </fill>
    <fill>
      <patternFill patternType="solid">
        <fgColor theme="9" tint="0.79998168889431442"/>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bottom/>
      <diagonal/>
    </border>
    <border>
      <left style="thin">
        <color auto="1"/>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bottom style="thin">
        <color theme="0"/>
      </bottom>
      <diagonal/>
    </border>
    <border>
      <left/>
      <right style="thin">
        <color indexed="64"/>
      </right>
      <top/>
      <bottom style="thin">
        <color theme="0"/>
      </bottom>
      <diagonal/>
    </border>
    <border>
      <left style="thin">
        <color indexed="64"/>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s>
  <cellStyleXfs count="9">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8" fillId="0" borderId="0"/>
    <xf numFmtId="0" fontId="14" fillId="0" borderId="0"/>
    <xf numFmtId="0" fontId="2" fillId="0" borderId="0"/>
    <xf numFmtId="0" fontId="4" fillId="0" borderId="0"/>
  </cellStyleXfs>
  <cellXfs count="445">
    <xf numFmtId="0" fontId="0" fillId="0" borderId="0" xfId="0"/>
    <xf numFmtId="0" fontId="0" fillId="2" borderId="0" xfId="0" applyFill="1" applyProtection="1">
      <protection hidden="1"/>
    </xf>
    <xf numFmtId="0" fontId="6" fillId="2" borderId="0" xfId="0" applyFont="1" applyFill="1" applyAlignment="1" applyProtection="1">
      <alignment horizontal="center"/>
      <protection hidden="1"/>
    </xf>
    <xf numFmtId="0" fontId="8" fillId="2" borderId="0" xfId="0" applyFont="1" applyFill="1" applyProtection="1">
      <protection hidden="1"/>
    </xf>
    <xf numFmtId="0" fontId="0" fillId="2" borderId="0" xfId="0" applyFill="1" applyAlignment="1" applyProtection="1">
      <alignment vertical="center"/>
      <protection hidden="1"/>
    </xf>
    <xf numFmtId="0" fontId="7" fillId="2" borderId="0" xfId="0" applyFont="1" applyFill="1" applyProtection="1">
      <protection hidden="1"/>
    </xf>
    <xf numFmtId="0" fontId="9" fillId="4" borderId="7" xfId="0" applyFont="1" applyFill="1" applyBorder="1" applyAlignment="1" applyProtection="1">
      <alignment vertical="top"/>
      <protection hidden="1"/>
    </xf>
    <xf numFmtId="0" fontId="9" fillId="4" borderId="8" xfId="0" applyFont="1" applyFill="1" applyBorder="1" applyAlignment="1" applyProtection="1">
      <alignment vertical="top"/>
      <protection hidden="1"/>
    </xf>
    <xf numFmtId="0" fontId="10" fillId="4" borderId="8" xfId="0" applyFont="1" applyFill="1" applyBorder="1" applyAlignment="1" applyProtection="1">
      <alignment vertical="top"/>
      <protection hidden="1"/>
    </xf>
    <xf numFmtId="0" fontId="0" fillId="4" borderId="8" xfId="0" applyFill="1" applyBorder="1" applyProtection="1">
      <protection hidden="1"/>
    </xf>
    <xf numFmtId="0" fontId="0" fillId="4" borderId="14" xfId="0" applyFill="1" applyBorder="1" applyProtection="1">
      <protection hidden="1"/>
    </xf>
    <xf numFmtId="0" fontId="0" fillId="2" borderId="0" xfId="0" quotePrefix="1" applyFill="1" applyAlignment="1" applyProtection="1">
      <alignment horizontal="right"/>
      <protection hidden="1"/>
    </xf>
    <xf numFmtId="0" fontId="10" fillId="4" borderId="0" xfId="0" applyFont="1" applyFill="1" applyAlignment="1" applyProtection="1">
      <alignment vertical="top" wrapText="1"/>
      <protection hidden="1"/>
    </xf>
    <xf numFmtId="0" fontId="0" fillId="4" borderId="0" xfId="0" applyFill="1" applyProtection="1">
      <protection hidden="1"/>
    </xf>
    <xf numFmtId="0" fontId="0" fillId="4" borderId="9" xfId="0" applyFill="1" applyBorder="1" applyProtection="1">
      <protection hidden="1"/>
    </xf>
    <xf numFmtId="0" fontId="7" fillId="4" borderId="10" xfId="0" applyFont="1" applyFill="1" applyBorder="1" applyAlignment="1" applyProtection="1">
      <alignment horizontal="left"/>
      <protection hidden="1"/>
    </xf>
    <xf numFmtId="0" fontId="12" fillId="4" borderId="0" xfId="0" applyFont="1" applyFill="1" applyAlignment="1" applyProtection="1">
      <alignment vertical="top" wrapText="1"/>
      <protection hidden="1"/>
    </xf>
    <xf numFmtId="0" fontId="12" fillId="4" borderId="9" xfId="0" applyFont="1" applyFill="1" applyBorder="1" applyAlignment="1" applyProtection="1">
      <alignment vertical="top" wrapText="1"/>
      <protection hidden="1"/>
    </xf>
    <xf numFmtId="165" fontId="0" fillId="2" borderId="0" xfId="3" applyNumberFormat="1" applyFont="1" applyFill="1" applyProtection="1">
      <protection hidden="1"/>
    </xf>
    <xf numFmtId="0" fontId="15" fillId="2" borderId="7" xfId="0" applyFont="1" applyFill="1" applyBorder="1" applyAlignment="1" applyProtection="1">
      <alignment horizontal="left" vertical="top"/>
      <protection hidden="1"/>
    </xf>
    <xf numFmtId="164" fontId="15" fillId="2" borderId="8" xfId="0" applyNumberFormat="1" applyFont="1" applyFill="1" applyBorder="1" applyAlignment="1" applyProtection="1">
      <alignment vertical="top" wrapText="1"/>
      <protection hidden="1"/>
    </xf>
    <xf numFmtId="164" fontId="15" fillId="2" borderId="14" xfId="0" applyNumberFormat="1" applyFont="1" applyFill="1" applyBorder="1" applyAlignment="1" applyProtection="1">
      <alignment vertical="top" wrapText="1"/>
      <protection hidden="1"/>
    </xf>
    <xf numFmtId="0" fontId="15" fillId="2" borderId="11" xfId="0" applyFont="1" applyFill="1" applyBorder="1" applyAlignment="1" applyProtection="1">
      <alignment horizontal="left" vertical="top"/>
      <protection hidden="1"/>
    </xf>
    <xf numFmtId="164" fontId="15" fillId="2" borderId="12" xfId="0" applyNumberFormat="1" applyFont="1" applyFill="1" applyBorder="1" applyAlignment="1" applyProtection="1">
      <alignment vertical="top" wrapText="1"/>
      <protection hidden="1"/>
    </xf>
    <xf numFmtId="164" fontId="15" fillId="2" borderId="13" xfId="0" applyNumberFormat="1" applyFont="1" applyFill="1" applyBorder="1" applyAlignment="1" applyProtection="1">
      <alignment vertical="top" wrapText="1"/>
      <protection hidden="1"/>
    </xf>
    <xf numFmtId="0" fontId="7" fillId="2" borderId="4" xfId="0" applyFont="1" applyFill="1" applyBorder="1" applyAlignment="1" applyProtection="1">
      <alignment horizontal="left" vertical="top"/>
      <protection hidden="1"/>
    </xf>
    <xf numFmtId="0" fontId="7" fillId="2" borderId="12" xfId="0" applyFont="1" applyFill="1" applyBorder="1" applyAlignment="1" applyProtection="1">
      <alignment horizontal="left" vertical="top"/>
      <protection hidden="1"/>
    </xf>
    <xf numFmtId="0" fontId="7" fillId="2" borderId="5" xfId="0" applyFont="1" applyFill="1" applyBorder="1" applyAlignment="1" applyProtection="1">
      <alignment horizontal="left" vertical="top"/>
      <protection hidden="1"/>
    </xf>
    <xf numFmtId="0" fontId="12" fillId="4" borderId="8" xfId="1" applyNumberFormat="1" applyFont="1" applyFill="1" applyBorder="1" applyAlignment="1" applyProtection="1">
      <alignment vertical="top"/>
      <protection hidden="1"/>
    </xf>
    <xf numFmtId="0" fontId="7" fillId="4" borderId="8" xfId="0" applyFont="1" applyFill="1" applyBorder="1" applyProtection="1">
      <protection hidden="1"/>
    </xf>
    <xf numFmtId="0" fontId="7" fillId="4" borderId="14" xfId="0" applyFont="1" applyFill="1" applyBorder="1" applyProtection="1">
      <protection hidden="1"/>
    </xf>
    <xf numFmtId="0" fontId="16" fillId="4" borderId="0" xfId="0" applyFont="1" applyFill="1" applyAlignment="1" applyProtection="1">
      <alignment vertical="top"/>
      <protection hidden="1"/>
    </xf>
    <xf numFmtId="0" fontId="7" fillId="4" borderId="0" xfId="0" applyFont="1" applyFill="1" applyAlignment="1" applyProtection="1">
      <alignment wrapText="1"/>
      <protection hidden="1"/>
    </xf>
    <xf numFmtId="0" fontId="7" fillId="4" borderId="9" xfId="0" applyFont="1" applyFill="1" applyBorder="1" applyAlignment="1" applyProtection="1">
      <alignment wrapText="1"/>
      <protection hidden="1"/>
    </xf>
    <xf numFmtId="0" fontId="16" fillId="2" borderId="7" xfId="0" applyFont="1" applyFill="1" applyBorder="1" applyAlignment="1" applyProtection="1">
      <alignment vertical="top"/>
      <protection hidden="1"/>
    </xf>
    <xf numFmtId="0" fontId="16" fillId="2" borderId="8" xfId="0" applyFont="1" applyFill="1" applyBorder="1" applyAlignment="1" applyProtection="1">
      <alignment vertical="top"/>
      <protection hidden="1"/>
    </xf>
    <xf numFmtId="0" fontId="17" fillId="2" borderId="7" xfId="1" applyNumberFormat="1" applyFont="1" applyFill="1" applyBorder="1" applyAlignment="1" applyProtection="1">
      <alignment horizontal="left"/>
      <protection hidden="1"/>
    </xf>
    <xf numFmtId="0" fontId="17" fillId="2" borderId="8" xfId="1" applyNumberFormat="1" applyFont="1" applyFill="1" applyBorder="1" applyAlignment="1" applyProtection="1">
      <alignment horizontal="left"/>
      <protection hidden="1"/>
    </xf>
    <xf numFmtId="164" fontId="17" fillId="2" borderId="8" xfId="1" applyNumberFormat="1" applyFont="1" applyFill="1" applyBorder="1" applyAlignment="1" applyProtection="1">
      <alignment horizontal="right" wrapText="1"/>
      <protection hidden="1"/>
    </xf>
    <xf numFmtId="164" fontId="17" fillId="2" borderId="14" xfId="1" applyNumberFormat="1" applyFont="1" applyFill="1" applyBorder="1" applyAlignment="1" applyProtection="1">
      <alignment horizontal="right" wrapText="1"/>
      <protection hidden="1"/>
    </xf>
    <xf numFmtId="0" fontId="17" fillId="2" borderId="10" xfId="1" applyNumberFormat="1" applyFont="1" applyFill="1" applyBorder="1" applyAlignment="1" applyProtection="1">
      <alignment horizontal="left"/>
      <protection hidden="1"/>
    </xf>
    <xf numFmtId="0" fontId="17" fillId="2" borderId="0" xfId="1" applyNumberFormat="1" applyFont="1" applyFill="1" applyBorder="1" applyAlignment="1" applyProtection="1">
      <alignment horizontal="left"/>
      <protection hidden="1"/>
    </xf>
    <xf numFmtId="164" fontId="17" fillId="2" borderId="0" xfId="1" applyNumberFormat="1" applyFont="1" applyFill="1" applyBorder="1" applyAlignment="1" applyProtection="1">
      <alignment horizontal="right" wrapText="1"/>
      <protection hidden="1"/>
    </xf>
    <xf numFmtId="164" fontId="17" fillId="2" borderId="9" xfId="1" applyNumberFormat="1" applyFont="1" applyFill="1" applyBorder="1" applyAlignment="1" applyProtection="1">
      <alignment horizontal="right" wrapText="1"/>
      <protection hidden="1"/>
    </xf>
    <xf numFmtId="0" fontId="17" fillId="2" borderId="11" xfId="1" applyNumberFormat="1" applyFont="1" applyFill="1" applyBorder="1" applyAlignment="1" applyProtection="1">
      <alignment horizontal="left"/>
      <protection hidden="1"/>
    </xf>
    <xf numFmtId="0" fontId="17" fillId="2" borderId="12" xfId="1" applyNumberFormat="1" applyFont="1" applyFill="1" applyBorder="1" applyAlignment="1" applyProtection="1">
      <alignment horizontal="left"/>
      <protection hidden="1"/>
    </xf>
    <xf numFmtId="165" fontId="17" fillId="2" borderId="12" xfId="3" applyNumberFormat="1" applyFont="1" applyFill="1" applyBorder="1" applyAlignment="1" applyProtection="1">
      <alignment horizontal="right" wrapText="1"/>
      <protection hidden="1"/>
    </xf>
    <xf numFmtId="165" fontId="17" fillId="2" borderId="13" xfId="3" applyNumberFormat="1" applyFont="1" applyFill="1" applyBorder="1" applyAlignment="1" applyProtection="1">
      <alignment horizontal="right" wrapText="1"/>
      <protection hidden="1"/>
    </xf>
    <xf numFmtId="0" fontId="16" fillId="2" borderId="10" xfId="0" applyFont="1" applyFill="1" applyBorder="1" applyAlignment="1" applyProtection="1">
      <alignment vertical="top"/>
      <protection hidden="1"/>
    </xf>
    <xf numFmtId="0" fontId="16" fillId="2" borderId="0" xfId="0" applyFont="1" applyFill="1" applyAlignment="1" applyProtection="1">
      <alignment vertical="top"/>
      <protection hidden="1"/>
    </xf>
    <xf numFmtId="0" fontId="0" fillId="2" borderId="7" xfId="0" applyFill="1" applyBorder="1" applyProtection="1">
      <protection hidden="1"/>
    </xf>
    <xf numFmtId="0" fontId="0" fillId="2" borderId="8" xfId="0" applyFill="1" applyBorder="1" applyProtection="1">
      <protection hidden="1"/>
    </xf>
    <xf numFmtId="0" fontId="0" fillId="2" borderId="11" xfId="0" applyFill="1" applyBorder="1" applyProtection="1">
      <protection hidden="1"/>
    </xf>
    <xf numFmtId="0" fontId="0" fillId="2" borderId="12" xfId="0" applyFill="1" applyBorder="1" applyProtection="1">
      <protection hidden="1"/>
    </xf>
    <xf numFmtId="0" fontId="9" fillId="4" borderId="7" xfId="0" applyFont="1" applyFill="1" applyBorder="1" applyAlignment="1" applyProtection="1">
      <alignment horizontal="left" vertical="top"/>
      <protection hidden="1"/>
    </xf>
    <xf numFmtId="0" fontId="9" fillId="4" borderId="8" xfId="0" applyFont="1" applyFill="1" applyBorder="1" applyAlignment="1" applyProtection="1">
      <alignment horizontal="left" vertical="top"/>
      <protection hidden="1"/>
    </xf>
    <xf numFmtId="0" fontId="10" fillId="4" borderId="8" xfId="0" applyFont="1" applyFill="1" applyBorder="1" applyAlignment="1" applyProtection="1">
      <alignment horizontal="left" vertical="top"/>
      <protection hidden="1"/>
    </xf>
    <xf numFmtId="0" fontId="10" fillId="4" borderId="14" xfId="0" applyFont="1" applyFill="1" applyBorder="1" applyAlignment="1" applyProtection="1">
      <alignment vertical="top"/>
      <protection hidden="1"/>
    </xf>
    <xf numFmtId="0" fontId="10" fillId="4" borderId="9" xfId="0" applyFont="1" applyFill="1" applyBorder="1" applyAlignment="1" applyProtection="1">
      <alignment horizontal="left" vertical="top" wrapText="1"/>
      <protection hidden="1"/>
    </xf>
    <xf numFmtId="0" fontId="18" fillId="4" borderId="10" xfId="0" applyFont="1" applyFill="1" applyBorder="1" applyAlignment="1" applyProtection="1">
      <alignment vertical="top"/>
      <protection hidden="1"/>
    </xf>
    <xf numFmtId="0" fontId="12" fillId="4" borderId="0" xfId="0" applyFont="1" applyFill="1" applyAlignment="1" applyProtection="1">
      <alignment horizontal="right" wrapText="1"/>
      <protection hidden="1"/>
    </xf>
    <xf numFmtId="0" fontId="7" fillId="4" borderId="0" xfId="2" applyNumberFormat="1" applyFont="1" applyFill="1" applyBorder="1" applyAlignment="1" applyProtection="1">
      <alignment horizontal="right" wrapText="1"/>
      <protection hidden="1"/>
    </xf>
    <xf numFmtId="0" fontId="12" fillId="4" borderId="9" xfId="0" applyFont="1" applyFill="1" applyBorder="1" applyAlignment="1" applyProtection="1">
      <alignment horizontal="right" wrapText="1"/>
      <protection hidden="1"/>
    </xf>
    <xf numFmtId="166" fontId="17" fillId="2" borderId="0" xfId="0" applyNumberFormat="1" applyFont="1" applyFill="1" applyAlignment="1" applyProtection="1">
      <alignment horizontal="right" wrapText="1"/>
      <protection hidden="1"/>
    </xf>
    <xf numFmtId="0" fontId="21" fillId="2" borderId="5" xfId="0" applyFont="1" applyFill="1" applyBorder="1" applyAlignment="1" applyProtection="1">
      <alignment vertical="top"/>
      <protection hidden="1"/>
    </xf>
    <xf numFmtId="0" fontId="22" fillId="2" borderId="10" xfId="1" applyNumberFormat="1" applyFont="1" applyFill="1" applyBorder="1" applyAlignment="1" applyProtection="1">
      <alignment horizontal="left"/>
      <protection hidden="1"/>
    </xf>
    <xf numFmtId="0" fontId="22" fillId="2" borderId="0" xfId="1" applyNumberFormat="1" applyFont="1" applyFill="1" applyBorder="1" applyAlignment="1" applyProtection="1">
      <alignment horizontal="left"/>
      <protection hidden="1"/>
    </xf>
    <xf numFmtId="0" fontId="0" fillId="2" borderId="14" xfId="0" applyFill="1" applyBorder="1" applyProtection="1">
      <protection hidden="1"/>
    </xf>
    <xf numFmtId="0" fontId="0" fillId="2" borderId="9" xfId="0" applyFill="1" applyBorder="1" applyProtection="1">
      <protection hidden="1"/>
    </xf>
    <xf numFmtId="0" fontId="22" fillId="2" borderId="9" xfId="0" applyFont="1" applyFill="1" applyBorder="1" applyAlignment="1" applyProtection="1">
      <alignment horizontal="left" vertical="top" wrapText="1"/>
      <protection hidden="1"/>
    </xf>
    <xf numFmtId="0" fontId="22" fillId="2" borderId="13" xfId="0" applyFont="1" applyFill="1" applyBorder="1" applyAlignment="1" applyProtection="1">
      <alignment horizontal="left" vertical="top" wrapText="1"/>
      <protection hidden="1"/>
    </xf>
    <xf numFmtId="0" fontId="10" fillId="4" borderId="0" xfId="0" applyFont="1" applyFill="1" applyAlignment="1" applyProtection="1">
      <alignment horizontal="left" vertical="top" wrapText="1"/>
      <protection hidden="1"/>
    </xf>
    <xf numFmtId="0" fontId="25" fillId="4" borderId="11" xfId="0" applyFont="1" applyFill="1" applyBorder="1" applyProtection="1">
      <protection hidden="1"/>
    </xf>
    <xf numFmtId="0" fontId="7" fillId="4" borderId="12" xfId="0" applyFont="1" applyFill="1" applyBorder="1" applyAlignment="1" applyProtection="1">
      <alignment wrapText="1"/>
      <protection hidden="1"/>
    </xf>
    <xf numFmtId="0" fontId="7" fillId="4" borderId="13" xfId="0" applyFont="1" applyFill="1" applyBorder="1" applyAlignment="1" applyProtection="1">
      <alignment wrapText="1"/>
      <protection hidden="1"/>
    </xf>
    <xf numFmtId="0" fontId="16" fillId="2" borderId="4" xfId="0" applyFont="1" applyFill="1" applyBorder="1" applyAlignment="1" applyProtection="1">
      <alignment vertical="top"/>
      <protection hidden="1"/>
    </xf>
    <xf numFmtId="0" fontId="16" fillId="2" borderId="5" xfId="0" applyFont="1" applyFill="1" applyBorder="1" applyAlignment="1" applyProtection="1">
      <alignment vertical="top"/>
      <protection hidden="1"/>
    </xf>
    <xf numFmtId="166" fontId="17" fillId="2" borderId="0" xfId="0" applyNumberFormat="1" applyFont="1" applyFill="1" applyAlignment="1" applyProtection="1">
      <alignment wrapText="1"/>
      <protection hidden="1"/>
    </xf>
    <xf numFmtId="0" fontId="22" fillId="2" borderId="7" xfId="1" applyNumberFormat="1" applyFont="1" applyFill="1" applyBorder="1" applyAlignment="1" applyProtection="1">
      <alignment horizontal="left"/>
      <protection hidden="1"/>
    </xf>
    <xf numFmtId="0" fontId="22" fillId="2" borderId="8" xfId="1" applyNumberFormat="1" applyFont="1" applyFill="1" applyBorder="1" applyAlignment="1" applyProtection="1">
      <alignment horizontal="left"/>
      <protection hidden="1"/>
    </xf>
    <xf numFmtId="0" fontId="26" fillId="4" borderId="0" xfId="0" applyFont="1" applyFill="1" applyAlignment="1" applyProtection="1">
      <alignment vertical="top" wrapText="1"/>
      <protection hidden="1"/>
    </xf>
    <xf numFmtId="0" fontId="26" fillId="4" borderId="9" xfId="0" applyFont="1" applyFill="1" applyBorder="1" applyAlignment="1" applyProtection="1">
      <alignment vertical="top" wrapText="1"/>
      <protection hidden="1"/>
    </xf>
    <xf numFmtId="166" fontId="17" fillId="3" borderId="8" xfId="0" applyNumberFormat="1" applyFont="1" applyFill="1" applyBorder="1" applyAlignment="1" applyProtection="1">
      <alignment wrapText="1"/>
      <protection hidden="1"/>
    </xf>
    <xf numFmtId="0" fontId="0" fillId="2" borderId="13" xfId="0" applyFill="1" applyBorder="1" applyProtection="1">
      <protection hidden="1"/>
    </xf>
    <xf numFmtId="0" fontId="27" fillId="4" borderId="0" xfId="0" applyFont="1" applyFill="1" applyAlignment="1" applyProtection="1">
      <alignment wrapText="1"/>
      <protection hidden="1"/>
    </xf>
    <xf numFmtId="0" fontId="27" fillId="4" borderId="9" xfId="0" applyFont="1" applyFill="1" applyBorder="1" applyAlignment="1" applyProtection="1">
      <alignment wrapText="1"/>
      <protection hidden="1"/>
    </xf>
    <xf numFmtId="0" fontId="7" fillId="4" borderId="8" xfId="0" applyFont="1" applyFill="1" applyBorder="1" applyAlignment="1" applyProtection="1">
      <alignment vertical="top"/>
      <protection hidden="1"/>
    </xf>
    <xf numFmtId="0" fontId="7" fillId="4" borderId="14" xfId="0" applyFont="1" applyFill="1" applyBorder="1" applyAlignment="1" applyProtection="1">
      <alignment vertical="top"/>
      <protection hidden="1"/>
    </xf>
    <xf numFmtId="0" fontId="25" fillId="4" borderId="11" xfId="0" applyFont="1" applyFill="1" applyBorder="1" applyAlignment="1" applyProtection="1">
      <alignment vertical="top" wrapText="1"/>
      <protection hidden="1"/>
    </xf>
    <xf numFmtId="0" fontId="12" fillId="4" borderId="12" xfId="0" applyFont="1" applyFill="1" applyBorder="1" applyAlignment="1" applyProtection="1">
      <alignment wrapText="1"/>
      <protection hidden="1"/>
    </xf>
    <xf numFmtId="0" fontId="12" fillId="4" borderId="13" xfId="0" applyFont="1" applyFill="1" applyBorder="1" applyAlignment="1" applyProtection="1">
      <alignment wrapText="1"/>
      <protection hidden="1"/>
    </xf>
    <xf numFmtId="0" fontId="16" fillId="2" borderId="11" xfId="0" applyFont="1" applyFill="1" applyBorder="1" applyAlignment="1" applyProtection="1">
      <alignment vertical="top"/>
      <protection hidden="1"/>
    </xf>
    <xf numFmtId="164" fontId="17" fillId="3" borderId="8" xfId="1" applyNumberFormat="1" applyFont="1" applyFill="1" applyBorder="1" applyAlignment="1" applyProtection="1">
      <alignment horizontal="right" wrapText="1"/>
      <protection hidden="1"/>
    </xf>
    <xf numFmtId="164" fontId="17" fillId="3" borderId="14" xfId="1" applyNumberFormat="1" applyFont="1" applyFill="1" applyBorder="1" applyAlignment="1" applyProtection="1">
      <alignment horizontal="right" wrapText="1"/>
      <protection hidden="1"/>
    </xf>
    <xf numFmtId="164" fontId="17" fillId="3" borderId="0" xfId="1" applyNumberFormat="1" applyFont="1" applyFill="1" applyBorder="1" applyAlignment="1" applyProtection="1">
      <alignment horizontal="right" wrapText="1"/>
      <protection hidden="1"/>
    </xf>
    <xf numFmtId="164" fontId="17" fillId="3" borderId="9" xfId="1" applyNumberFormat="1" applyFont="1" applyFill="1" applyBorder="1" applyAlignment="1" applyProtection="1">
      <alignment horizontal="right" wrapText="1"/>
      <protection hidden="1"/>
    </xf>
    <xf numFmtId="164" fontId="17" fillId="3" borderId="12" xfId="1" applyNumberFormat="1" applyFont="1" applyFill="1" applyBorder="1" applyAlignment="1" applyProtection="1">
      <alignment horizontal="right" wrapText="1"/>
      <protection hidden="1"/>
    </xf>
    <xf numFmtId="164" fontId="17" fillId="3" borderId="13" xfId="1" applyNumberFormat="1" applyFont="1" applyFill="1" applyBorder="1" applyAlignment="1" applyProtection="1">
      <alignment horizontal="right" wrapText="1"/>
      <protection hidden="1"/>
    </xf>
    <xf numFmtId="0" fontId="16" fillId="2" borderId="12" xfId="0" applyFont="1" applyFill="1" applyBorder="1" applyAlignment="1" applyProtection="1">
      <alignment vertical="top"/>
      <protection hidden="1"/>
    </xf>
    <xf numFmtId="3" fontId="17" fillId="2" borderId="8" xfId="1" applyNumberFormat="1" applyFont="1" applyFill="1" applyBorder="1" applyAlignment="1" applyProtection="1">
      <alignment horizontal="right" wrapText="1"/>
      <protection hidden="1"/>
    </xf>
    <xf numFmtId="3" fontId="17" fillId="2" borderId="14" xfId="1" applyNumberFormat="1" applyFont="1" applyFill="1" applyBorder="1" applyAlignment="1" applyProtection="1">
      <alignment horizontal="right" wrapText="1"/>
      <protection hidden="1"/>
    </xf>
    <xf numFmtId="3" fontId="17" fillId="2" borderId="0" xfId="1" applyNumberFormat="1" applyFont="1" applyFill="1" applyBorder="1" applyAlignment="1" applyProtection="1">
      <alignment horizontal="right" wrapText="1"/>
      <protection hidden="1"/>
    </xf>
    <xf numFmtId="3" fontId="17" fillId="2" borderId="9" xfId="1" applyNumberFormat="1" applyFont="1" applyFill="1" applyBorder="1" applyAlignment="1" applyProtection="1">
      <alignment horizontal="right" wrapText="1"/>
      <protection hidden="1"/>
    </xf>
    <xf numFmtId="3" fontId="17" fillId="2" borderId="12" xfId="1" applyNumberFormat="1" applyFont="1" applyFill="1" applyBorder="1" applyAlignment="1" applyProtection="1">
      <alignment horizontal="right" wrapText="1"/>
      <protection hidden="1"/>
    </xf>
    <xf numFmtId="3" fontId="17" fillId="2" borderId="13" xfId="1" applyNumberFormat="1" applyFont="1" applyFill="1" applyBorder="1" applyAlignment="1" applyProtection="1">
      <alignment horizontal="right" wrapText="1"/>
      <protection hidden="1"/>
    </xf>
    <xf numFmtId="0" fontId="9" fillId="4" borderId="14" xfId="0" applyFont="1" applyFill="1" applyBorder="1" applyAlignment="1" applyProtection="1">
      <alignment horizontal="left" vertical="top" wrapText="1"/>
      <protection hidden="1"/>
    </xf>
    <xf numFmtId="0" fontId="12" fillId="4" borderId="0" xfId="0" applyFont="1" applyFill="1" applyAlignment="1" applyProtection="1">
      <alignment wrapText="1"/>
      <protection hidden="1"/>
    </xf>
    <xf numFmtId="0" fontId="17" fillId="2" borderId="4" xfId="0" applyFont="1" applyFill="1" applyBorder="1" applyAlignment="1" applyProtection="1">
      <alignment horizontal="left" vertical="top"/>
      <protection hidden="1"/>
    </xf>
    <xf numFmtId="0" fontId="17" fillId="2" borderId="5" xfId="0" applyFont="1" applyFill="1" applyBorder="1" applyAlignment="1" applyProtection="1">
      <alignment horizontal="left" vertical="top"/>
      <protection hidden="1"/>
    </xf>
    <xf numFmtId="0" fontId="17" fillId="2" borderId="7" xfId="0" applyFont="1" applyFill="1" applyBorder="1" applyAlignment="1" applyProtection="1">
      <alignment horizontal="left"/>
      <protection hidden="1"/>
    </xf>
    <xf numFmtId="0" fontId="17" fillId="2" borderId="8" xfId="0" applyFont="1" applyFill="1" applyBorder="1" applyAlignment="1" applyProtection="1">
      <alignment horizontal="left"/>
      <protection hidden="1"/>
    </xf>
    <xf numFmtId="167" fontId="17" fillId="3" borderId="8" xfId="5" applyNumberFormat="1" applyFont="1" applyFill="1" applyBorder="1" applyAlignment="1" applyProtection="1">
      <alignment horizontal="right" wrapText="1"/>
      <protection hidden="1"/>
    </xf>
    <xf numFmtId="167" fontId="17" fillId="3" borderId="14" xfId="5" applyNumberFormat="1" applyFont="1" applyFill="1" applyBorder="1" applyAlignment="1" applyProtection="1">
      <alignment horizontal="right" wrapText="1"/>
      <protection hidden="1"/>
    </xf>
    <xf numFmtId="0" fontId="17" fillId="2" borderId="11" xfId="0" applyFont="1" applyFill="1" applyBorder="1" applyAlignment="1" applyProtection="1">
      <alignment horizontal="left"/>
      <protection hidden="1"/>
    </xf>
    <xf numFmtId="0" fontId="17" fillId="2" borderId="12" xfId="0" applyFont="1" applyFill="1" applyBorder="1" applyAlignment="1" applyProtection="1">
      <alignment horizontal="left"/>
      <protection hidden="1"/>
    </xf>
    <xf numFmtId="167" fontId="17" fillId="3" borderId="12" xfId="5" applyNumberFormat="1" applyFont="1" applyFill="1" applyBorder="1" applyAlignment="1" applyProtection="1">
      <alignment horizontal="right" wrapText="1"/>
      <protection hidden="1"/>
    </xf>
    <xf numFmtId="167" fontId="17" fillId="3" borderId="13" xfId="5" applyNumberFormat="1" applyFont="1" applyFill="1" applyBorder="1" applyAlignment="1" applyProtection="1">
      <alignment horizontal="right" wrapText="1"/>
      <protection hidden="1"/>
    </xf>
    <xf numFmtId="0" fontId="12" fillId="2" borderId="4" xfId="0" applyFont="1" applyFill="1" applyBorder="1" applyAlignment="1" applyProtection="1">
      <alignment horizontal="left"/>
      <protection hidden="1"/>
    </xf>
    <xf numFmtId="0" fontId="12" fillId="2" borderId="5" xfId="0" applyFont="1" applyFill="1" applyBorder="1" applyAlignment="1" applyProtection="1">
      <alignment horizontal="left"/>
      <protection hidden="1"/>
    </xf>
    <xf numFmtId="167" fontId="12" fillId="3" borderId="5" xfId="5" applyNumberFormat="1" applyFont="1" applyFill="1" applyBorder="1" applyAlignment="1" applyProtection="1">
      <alignment horizontal="right" wrapText="1"/>
      <protection hidden="1"/>
    </xf>
    <xf numFmtId="167" fontId="7" fillId="3" borderId="5" xfId="0" applyNumberFormat="1" applyFont="1" applyFill="1" applyBorder="1" applyAlignment="1" applyProtection="1">
      <alignment horizontal="right" wrapText="1"/>
      <protection hidden="1"/>
    </xf>
    <xf numFmtId="3" fontId="7" fillId="3" borderId="5" xfId="0" applyNumberFormat="1" applyFont="1" applyFill="1" applyBorder="1" applyAlignment="1" applyProtection="1">
      <alignment horizontal="right" wrapText="1"/>
      <protection hidden="1"/>
    </xf>
    <xf numFmtId="3" fontId="7" fillId="3" borderId="6" xfId="0" applyNumberFormat="1" applyFont="1" applyFill="1" applyBorder="1" applyAlignment="1" applyProtection="1">
      <alignment horizontal="right" wrapText="1"/>
      <protection hidden="1"/>
    </xf>
    <xf numFmtId="0" fontId="17" fillId="2" borderId="10" xfId="0" applyFont="1" applyFill="1" applyBorder="1" applyAlignment="1" applyProtection="1">
      <alignment horizontal="left"/>
      <protection hidden="1"/>
    </xf>
    <xf numFmtId="0" fontId="17" fillId="2" borderId="0" xfId="0" applyFont="1" applyFill="1" applyAlignment="1" applyProtection="1">
      <alignment horizontal="left"/>
      <protection hidden="1"/>
    </xf>
    <xf numFmtId="165" fontId="17" fillId="2" borderId="0" xfId="3" applyNumberFormat="1" applyFont="1" applyFill="1" applyBorder="1" applyAlignment="1" applyProtection="1">
      <alignment horizontal="right" wrapText="1"/>
      <protection hidden="1"/>
    </xf>
    <xf numFmtId="167" fontId="17" fillId="2" borderId="0" xfId="5" applyNumberFormat="1" applyFont="1" applyFill="1" applyAlignment="1" applyProtection="1">
      <alignment horizontal="right" wrapText="1"/>
      <protection hidden="1"/>
    </xf>
    <xf numFmtId="167" fontId="17" fillId="2" borderId="9" xfId="5" applyNumberFormat="1" applyFont="1" applyFill="1" applyBorder="1" applyAlignment="1" applyProtection="1">
      <alignment horizontal="right" wrapText="1"/>
      <protection hidden="1"/>
    </xf>
    <xf numFmtId="167" fontId="17" fillId="2" borderId="12" xfId="5" applyNumberFormat="1" applyFont="1" applyFill="1" applyBorder="1" applyAlignment="1" applyProtection="1">
      <alignment horizontal="right" wrapText="1"/>
      <protection hidden="1"/>
    </xf>
    <xf numFmtId="167" fontId="17" fillId="2" borderId="13" xfId="5" applyNumberFormat="1" applyFont="1" applyFill="1" applyBorder="1" applyAlignment="1" applyProtection="1">
      <alignment horizontal="right" wrapText="1"/>
      <protection hidden="1"/>
    </xf>
    <xf numFmtId="0" fontId="12" fillId="2" borderId="11" xfId="0" applyFont="1" applyFill="1" applyBorder="1" applyAlignment="1" applyProtection="1">
      <alignment horizontal="left"/>
      <protection hidden="1"/>
    </xf>
    <xf numFmtId="0" fontId="12" fillId="2" borderId="12" xfId="0" applyFont="1" applyFill="1" applyBorder="1" applyAlignment="1" applyProtection="1">
      <alignment horizontal="left"/>
      <protection hidden="1"/>
    </xf>
    <xf numFmtId="167" fontId="12" fillId="2" borderId="12" xfId="5" applyNumberFormat="1" applyFont="1" applyFill="1" applyBorder="1" applyAlignment="1" applyProtection="1">
      <alignment horizontal="right" wrapText="1"/>
      <protection hidden="1"/>
    </xf>
    <xf numFmtId="167" fontId="12" fillId="2" borderId="13" xfId="5" applyNumberFormat="1" applyFont="1" applyFill="1" applyBorder="1" applyAlignment="1" applyProtection="1">
      <alignment horizontal="right" wrapText="1"/>
      <protection hidden="1"/>
    </xf>
    <xf numFmtId="0" fontId="12" fillId="2" borderId="0" xfId="0" applyFont="1" applyFill="1" applyAlignment="1" applyProtection="1">
      <alignment horizontal="left"/>
      <protection hidden="1"/>
    </xf>
    <xf numFmtId="0" fontId="11" fillId="2" borderId="7" xfId="0" applyFont="1" applyFill="1" applyBorder="1" applyProtection="1">
      <protection hidden="1"/>
    </xf>
    <xf numFmtId="0" fontId="11" fillId="2" borderId="8" xfId="0" applyFont="1" applyFill="1" applyBorder="1" applyProtection="1">
      <protection hidden="1"/>
    </xf>
    <xf numFmtId="167" fontId="17" fillId="2" borderId="8" xfId="5" applyNumberFormat="1" applyFont="1" applyFill="1" applyBorder="1" applyAlignment="1" applyProtection="1">
      <alignment horizontal="center" wrapText="1"/>
      <protection hidden="1"/>
    </xf>
    <xf numFmtId="167" fontId="29" fillId="2" borderId="8" xfId="0" applyNumberFormat="1" applyFont="1" applyFill="1" applyBorder="1" applyAlignment="1" applyProtection="1">
      <alignment wrapText="1"/>
      <protection hidden="1"/>
    </xf>
    <xf numFmtId="0" fontId="29" fillId="2" borderId="8" xfId="0" applyFont="1" applyFill="1" applyBorder="1" applyAlignment="1" applyProtection="1">
      <alignment wrapText="1"/>
      <protection hidden="1"/>
    </xf>
    <xf numFmtId="0" fontId="29" fillId="2" borderId="14" xfId="0" applyFont="1" applyFill="1" applyBorder="1" applyAlignment="1" applyProtection="1">
      <alignment wrapText="1"/>
      <protection hidden="1"/>
    </xf>
    <xf numFmtId="0" fontId="19" fillId="2" borderId="0" xfId="0" applyFont="1" applyFill="1" applyProtection="1">
      <protection hidden="1"/>
    </xf>
    <xf numFmtId="0" fontId="11" fillId="2" borderId="10" xfId="0" applyFont="1" applyFill="1" applyBorder="1" applyProtection="1">
      <protection hidden="1"/>
    </xf>
    <xf numFmtId="0" fontId="11" fillId="2" borderId="0" xfId="0" applyFont="1" applyFill="1" applyProtection="1">
      <protection hidden="1"/>
    </xf>
    <xf numFmtId="167" fontId="17" fillId="2" borderId="0" xfId="5" applyNumberFormat="1" applyFont="1" applyFill="1" applyAlignment="1" applyProtection="1">
      <alignment horizontal="center" wrapText="1"/>
      <protection hidden="1"/>
    </xf>
    <xf numFmtId="167" fontId="29" fillId="2" borderId="0" xfId="0" applyNumberFormat="1" applyFont="1" applyFill="1" applyAlignment="1" applyProtection="1">
      <alignment wrapText="1"/>
      <protection hidden="1"/>
    </xf>
    <xf numFmtId="0" fontId="29" fillId="2" borderId="0" xfId="0" applyFont="1" applyFill="1" applyAlignment="1" applyProtection="1">
      <alignment wrapText="1"/>
      <protection hidden="1"/>
    </xf>
    <xf numFmtId="0" fontId="29" fillId="2" borderId="9" xfId="0" applyFont="1" applyFill="1" applyBorder="1" applyAlignment="1" applyProtection="1">
      <alignment wrapText="1"/>
      <protection hidden="1"/>
    </xf>
    <xf numFmtId="0" fontId="11" fillId="2" borderId="11" xfId="0" applyFont="1" applyFill="1" applyBorder="1" applyProtection="1">
      <protection hidden="1"/>
    </xf>
    <xf numFmtId="0" fontId="11" fillId="2" borderId="12" xfId="0" applyFont="1" applyFill="1" applyBorder="1" applyProtection="1">
      <protection hidden="1"/>
    </xf>
    <xf numFmtId="0" fontId="17" fillId="2" borderId="12" xfId="5" applyFont="1" applyFill="1" applyBorder="1" applyAlignment="1" applyProtection="1">
      <alignment horizontal="center" wrapText="1"/>
      <protection hidden="1"/>
    </xf>
    <xf numFmtId="0" fontId="29" fillId="2" borderId="12" xfId="0" applyFont="1" applyFill="1" applyBorder="1" applyAlignment="1" applyProtection="1">
      <alignment wrapText="1"/>
      <protection hidden="1"/>
    </xf>
    <xf numFmtId="0" fontId="29" fillId="2" borderId="13" xfId="0" applyFont="1" applyFill="1" applyBorder="1" applyAlignment="1" applyProtection="1">
      <alignment wrapText="1"/>
      <protection hidden="1"/>
    </xf>
    <xf numFmtId="0" fontId="32" fillId="0" borderId="0" xfId="0" applyFont="1"/>
    <xf numFmtId="0" fontId="32" fillId="5" borderId="15" xfId="0" applyFont="1" applyFill="1" applyBorder="1" applyAlignment="1">
      <alignment wrapText="1"/>
    </xf>
    <xf numFmtId="0" fontId="32" fillId="6" borderId="15" xfId="0" applyFont="1" applyFill="1" applyBorder="1" applyAlignment="1">
      <alignment wrapText="1"/>
    </xf>
    <xf numFmtId="0" fontId="32" fillId="7" borderId="15" xfId="0" applyFont="1" applyFill="1" applyBorder="1" applyAlignment="1">
      <alignment wrapText="1"/>
    </xf>
    <xf numFmtId="0" fontId="32" fillId="7" borderId="15" xfId="0" applyFont="1" applyFill="1" applyBorder="1" applyAlignment="1">
      <alignment horizontal="left" wrapText="1"/>
    </xf>
    <xf numFmtId="0" fontId="32" fillId="8" borderId="15" xfId="0" applyFont="1" applyFill="1" applyBorder="1" applyAlignment="1">
      <alignment wrapText="1"/>
    </xf>
    <xf numFmtId="0" fontId="32" fillId="9" borderId="15" xfId="0" applyFont="1" applyFill="1" applyBorder="1" applyAlignment="1">
      <alignment wrapText="1"/>
    </xf>
    <xf numFmtId="0" fontId="32" fillId="10" borderId="15" xfId="0" applyFont="1" applyFill="1" applyBorder="1" applyAlignment="1">
      <alignment wrapText="1"/>
    </xf>
    <xf numFmtId="0" fontId="32" fillId="11" borderId="15" xfId="0" applyFont="1" applyFill="1" applyBorder="1" applyAlignment="1">
      <alignment wrapText="1"/>
    </xf>
    <xf numFmtId="0" fontId="32" fillId="12" borderId="15" xfId="0" applyFont="1" applyFill="1" applyBorder="1" applyAlignment="1">
      <alignment horizontal="right" wrapText="1"/>
    </xf>
    <xf numFmtId="0" fontId="7" fillId="0" borderId="0" xfId="0" applyFont="1"/>
    <xf numFmtId="0" fontId="14" fillId="0" borderId="0" xfId="0" applyFont="1"/>
    <xf numFmtId="0" fontId="14" fillId="13" borderId="17" xfId="0" applyFont="1" applyFill="1" applyBorder="1"/>
    <xf numFmtId="0" fontId="14" fillId="5" borderId="18" xfId="0" applyFont="1" applyFill="1" applyBorder="1" applyAlignment="1">
      <alignment wrapText="1"/>
    </xf>
    <xf numFmtId="0" fontId="14" fillId="6" borderId="18" xfId="0" applyFont="1" applyFill="1" applyBorder="1" applyAlignment="1">
      <alignment wrapText="1"/>
    </xf>
    <xf numFmtId="0" fontId="14" fillId="7" borderId="18" xfId="0" applyFont="1" applyFill="1" applyBorder="1" applyAlignment="1">
      <alignment wrapText="1"/>
    </xf>
    <xf numFmtId="0" fontId="14" fillId="7" borderId="18" xfId="0" applyFont="1" applyFill="1" applyBorder="1" applyAlignment="1">
      <alignment horizontal="left" wrapText="1"/>
    </xf>
    <xf numFmtId="0" fontId="14" fillId="8" borderId="18" xfId="0" applyFont="1" applyFill="1" applyBorder="1" applyAlignment="1">
      <alignment wrapText="1"/>
    </xf>
    <xf numFmtId="0" fontId="14" fillId="9" borderId="18" xfId="0" applyFont="1" applyFill="1" applyBorder="1" applyAlignment="1">
      <alignment wrapText="1"/>
    </xf>
    <xf numFmtId="0" fontId="14" fillId="10" borderId="18" xfId="0" applyFont="1" applyFill="1" applyBorder="1" applyAlignment="1">
      <alignment wrapText="1"/>
    </xf>
    <xf numFmtId="0" fontId="14" fillId="11" borderId="18" xfId="0" applyFont="1" applyFill="1" applyBorder="1" applyAlignment="1">
      <alignment wrapText="1"/>
    </xf>
    <xf numFmtId="0" fontId="14" fillId="12" borderId="18" xfId="0" applyFont="1" applyFill="1" applyBorder="1" applyAlignment="1">
      <alignment horizontal="right" wrapText="1"/>
    </xf>
    <xf numFmtId="0" fontId="7" fillId="2" borderId="0" xfId="0" applyFont="1" applyFill="1"/>
    <xf numFmtId="0" fontId="7" fillId="0" borderId="17" xfId="0" applyFont="1" applyBorder="1"/>
    <xf numFmtId="0" fontId="0" fillId="0" borderId="17" xfId="0" applyBorder="1"/>
    <xf numFmtId="0" fontId="33" fillId="0" borderId="17" xfId="0" applyFont="1" applyBorder="1" applyAlignment="1" applyProtection="1">
      <alignment vertical="top" wrapText="1"/>
      <protection hidden="1"/>
    </xf>
    <xf numFmtId="0" fontId="12" fillId="0" borderId="17" xfId="0" applyFont="1" applyBorder="1" applyProtection="1">
      <protection hidden="1"/>
    </xf>
    <xf numFmtId="0" fontId="12" fillId="0" borderId="17" xfId="0" applyFont="1" applyBorder="1"/>
    <xf numFmtId="0" fontId="0" fillId="0" borderId="17" xfId="0" applyBorder="1" applyAlignment="1" applyProtection="1">
      <alignment horizontal="left"/>
      <protection hidden="1"/>
    </xf>
    <xf numFmtId="9" fontId="17" fillId="0" borderId="17" xfId="3" applyFont="1" applyFill="1" applyBorder="1" applyAlignment="1" applyProtection="1">
      <alignment horizontal="right" wrapText="1"/>
      <protection hidden="1"/>
    </xf>
    <xf numFmtId="9" fontId="0" fillId="0" borderId="17" xfId="0" applyNumberFormat="1" applyBorder="1"/>
    <xf numFmtId="0" fontId="27" fillId="0" borderId="0" xfId="0" applyFont="1" applyFill="1" applyBorder="1"/>
    <xf numFmtId="0" fontId="7" fillId="0" borderId="0" xfId="0" applyFont="1" applyFill="1" applyBorder="1"/>
    <xf numFmtId="0" fontId="27" fillId="0" borderId="0" xfId="0" applyFont="1" applyFill="1" applyBorder="1" applyAlignment="1">
      <alignment horizontal="left"/>
    </xf>
    <xf numFmtId="0" fontId="7" fillId="5" borderId="17" xfId="0" applyFont="1" applyFill="1" applyBorder="1"/>
    <xf numFmtId="0" fontId="7" fillId="8" borderId="17" xfId="0" applyFont="1" applyFill="1" applyBorder="1"/>
    <xf numFmtId="0" fontId="34" fillId="8" borderId="17" xfId="0" applyFont="1" applyFill="1" applyBorder="1"/>
    <xf numFmtId="0" fontId="14" fillId="2" borderId="10" xfId="0" applyFont="1" applyFill="1" applyBorder="1" applyAlignment="1" applyProtection="1">
      <alignment horizontal="left"/>
      <protection hidden="1"/>
    </xf>
    <xf numFmtId="0" fontId="14" fillId="2" borderId="0" xfId="0" applyFont="1" applyFill="1" applyAlignment="1" applyProtection="1">
      <alignment horizontal="left"/>
      <protection hidden="1"/>
    </xf>
    <xf numFmtId="165" fontId="14" fillId="2" borderId="0" xfId="3" applyNumberFormat="1" applyFont="1" applyFill="1" applyBorder="1" applyAlignment="1" applyProtection="1">
      <alignment horizontal="right" wrapText="1"/>
      <protection hidden="1"/>
    </xf>
    <xf numFmtId="165" fontId="14" fillId="2" borderId="9" xfId="3" applyNumberFormat="1" applyFont="1" applyFill="1" applyBorder="1" applyAlignment="1" applyProtection="1">
      <alignment horizontal="right" wrapText="1"/>
      <protection hidden="1"/>
    </xf>
    <xf numFmtId="0" fontId="16" fillId="4" borderId="5" xfId="0" applyFont="1" applyFill="1" applyBorder="1" applyAlignment="1" applyProtection="1">
      <alignment horizontal="right"/>
      <protection hidden="1"/>
    </xf>
    <xf numFmtId="0" fontId="16" fillId="4" borderId="6" xfId="0" applyFont="1" applyFill="1" applyBorder="1" applyAlignment="1" applyProtection="1">
      <alignment horizontal="right"/>
      <protection hidden="1"/>
    </xf>
    <xf numFmtId="0" fontId="0" fillId="2" borderId="0" xfId="0" applyFill="1"/>
    <xf numFmtId="0" fontId="35" fillId="0" borderId="0" xfId="4" applyFont="1" applyFill="1"/>
    <xf numFmtId="0" fontId="36" fillId="2" borderId="0" xfId="0" applyFont="1" applyFill="1" applyAlignment="1">
      <alignment horizontal="center" vertical="center" readingOrder="1"/>
    </xf>
    <xf numFmtId="0" fontId="37" fillId="0" borderId="0" xfId="4" applyFont="1" applyFill="1"/>
    <xf numFmtId="0" fontId="38" fillId="2" borderId="0" xfId="0" applyFont="1" applyFill="1" applyAlignment="1">
      <alignment horizontal="center" vertical="center" readingOrder="1"/>
    </xf>
    <xf numFmtId="0" fontId="39" fillId="0" borderId="0" xfId="4" applyFont="1" applyFill="1"/>
    <xf numFmtId="0" fontId="40" fillId="2" borderId="0" xfId="0" applyFont="1" applyFill="1"/>
    <xf numFmtId="0" fontId="41" fillId="2" borderId="0" xfId="0" applyFont="1" applyFill="1" applyAlignment="1">
      <alignment horizontal="center"/>
    </xf>
    <xf numFmtId="0" fontId="42" fillId="2" borderId="0" xfId="0" applyFont="1" applyFill="1" applyAlignment="1">
      <alignment horizontal="center"/>
    </xf>
    <xf numFmtId="0" fontId="7" fillId="2" borderId="0" xfId="0" applyFont="1" applyFill="1" applyAlignment="1">
      <alignment horizontal="center"/>
    </xf>
    <xf numFmtId="0" fontId="43" fillId="2" borderId="0" xfId="0" applyFont="1" applyFill="1" applyAlignment="1">
      <alignment horizontal="center"/>
    </xf>
    <xf numFmtId="0" fontId="44" fillId="2" borderId="0" xfId="0" applyFont="1" applyFill="1"/>
    <xf numFmtId="0" fontId="6" fillId="2" borderId="0" xfId="0" applyFont="1" applyFill="1"/>
    <xf numFmtId="0" fontId="50" fillId="2" borderId="0" xfId="0" applyFont="1" applyFill="1" applyAlignment="1">
      <alignment horizontal="left" vertical="center"/>
    </xf>
    <xf numFmtId="0" fontId="50" fillId="2" borderId="0" xfId="0" applyFont="1" applyFill="1" applyAlignment="1">
      <alignment vertical="center"/>
    </xf>
    <xf numFmtId="0" fontId="50" fillId="2" borderId="0" xfId="0" applyFont="1" applyFill="1"/>
    <xf numFmtId="0" fontId="45" fillId="2" borderId="0" xfId="0" applyFont="1" applyFill="1"/>
    <xf numFmtId="0" fontId="0" fillId="0" borderId="0" xfId="0"/>
    <xf numFmtId="0" fontId="45" fillId="2" borderId="0" xfId="0" applyFont="1" applyFill="1" applyAlignment="1">
      <alignment horizontal="center"/>
    </xf>
    <xf numFmtId="0" fontId="52" fillId="2" borderId="0" xfId="4" applyFont="1" applyFill="1"/>
    <xf numFmtId="0" fontId="14" fillId="2" borderId="7" xfId="0" applyFont="1" applyFill="1" applyBorder="1" applyAlignment="1" applyProtection="1">
      <alignment vertical="center"/>
      <protection hidden="1"/>
    </xf>
    <xf numFmtId="0" fontId="14" fillId="2" borderId="11" xfId="0" applyFont="1" applyFill="1" applyBorder="1" applyAlignment="1" applyProtection="1">
      <alignment vertical="center"/>
      <protection hidden="1"/>
    </xf>
    <xf numFmtId="0" fontId="14" fillId="2" borderId="10" xfId="0" applyFont="1" applyFill="1" applyBorder="1" applyAlignment="1" applyProtection="1">
      <alignment vertical="center"/>
      <protection hidden="1"/>
    </xf>
    <xf numFmtId="0" fontId="14" fillId="4" borderId="4" xfId="0" applyFont="1" applyFill="1" applyBorder="1" applyProtection="1">
      <protection hidden="1"/>
    </xf>
    <xf numFmtId="0" fontId="14" fillId="4" borderId="5" xfId="0" applyFont="1" applyFill="1" applyBorder="1" applyProtection="1">
      <protection hidden="1"/>
    </xf>
    <xf numFmtId="0" fontId="14" fillId="2" borderId="0" xfId="0" applyFont="1" applyFill="1" applyProtection="1">
      <protection hidden="1"/>
    </xf>
    <xf numFmtId="0" fontId="14" fillId="2" borderId="8" xfId="0" applyFont="1" applyFill="1" applyBorder="1" applyAlignment="1" applyProtection="1">
      <alignment vertical="center"/>
      <protection hidden="1"/>
    </xf>
    <xf numFmtId="3" fontId="14" fillId="2" borderId="0" xfId="0" applyNumberFormat="1" applyFont="1" applyFill="1" applyAlignment="1" applyProtection="1">
      <alignment vertical="center"/>
      <protection hidden="1"/>
    </xf>
    <xf numFmtId="3" fontId="14" fillId="2" borderId="9" xfId="0" applyNumberFormat="1" applyFont="1" applyFill="1" applyBorder="1" applyAlignment="1" applyProtection="1">
      <alignment vertical="center"/>
      <protection hidden="1"/>
    </xf>
    <xf numFmtId="0" fontId="14" fillId="2" borderId="0" xfId="0" applyFont="1" applyFill="1" applyAlignment="1" applyProtection="1">
      <alignment vertical="center"/>
      <protection hidden="1"/>
    </xf>
    <xf numFmtId="0" fontId="14" fillId="2" borderId="9" xfId="0" applyFont="1" applyFill="1" applyBorder="1" applyAlignment="1" applyProtection="1">
      <alignment vertical="center"/>
      <protection hidden="1"/>
    </xf>
    <xf numFmtId="0" fontId="14" fillId="2" borderId="12" xfId="0" applyFont="1" applyFill="1" applyBorder="1" applyAlignment="1" applyProtection="1">
      <alignment vertical="center"/>
      <protection hidden="1"/>
    </xf>
    <xf numFmtId="3" fontId="14" fillId="2" borderId="12" xfId="0" applyNumberFormat="1" applyFont="1" applyFill="1" applyBorder="1" applyAlignment="1" applyProtection="1">
      <alignment vertical="center"/>
      <protection hidden="1"/>
    </xf>
    <xf numFmtId="3" fontId="14" fillId="2" borderId="13" xfId="0" applyNumberFormat="1" applyFont="1" applyFill="1" applyBorder="1" applyAlignment="1" applyProtection="1">
      <alignment vertical="center"/>
      <protection hidden="1"/>
    </xf>
    <xf numFmtId="0" fontId="14" fillId="2" borderId="13" xfId="0" applyFont="1" applyFill="1" applyBorder="1" applyAlignment="1" applyProtection="1">
      <alignment vertical="center"/>
      <protection hidden="1"/>
    </xf>
    <xf numFmtId="164" fontId="14" fillId="3" borderId="5" xfId="0" applyNumberFormat="1" applyFont="1" applyFill="1" applyBorder="1" applyAlignment="1" applyProtection="1">
      <alignment vertical="top" wrapText="1"/>
      <protection hidden="1"/>
    </xf>
    <xf numFmtId="164" fontId="14" fillId="3" borderId="6" xfId="0" applyNumberFormat="1" applyFont="1" applyFill="1" applyBorder="1" applyAlignment="1" applyProtection="1">
      <alignment vertical="top" wrapText="1"/>
      <protection hidden="1"/>
    </xf>
    <xf numFmtId="164" fontId="14" fillId="3" borderId="8" xfId="0" applyNumberFormat="1" applyFont="1" applyFill="1" applyBorder="1" applyAlignment="1" applyProtection="1">
      <alignment vertical="top" wrapText="1"/>
      <protection hidden="1"/>
    </xf>
    <xf numFmtId="164" fontId="14" fillId="3" borderId="14" xfId="0" applyNumberFormat="1" applyFont="1" applyFill="1" applyBorder="1" applyAlignment="1" applyProtection="1">
      <alignment vertical="top" wrapText="1"/>
      <protection hidden="1"/>
    </xf>
    <xf numFmtId="164" fontId="14" fillId="3" borderId="0" xfId="0" applyNumberFormat="1" applyFont="1" applyFill="1" applyAlignment="1" applyProtection="1">
      <alignment vertical="top" wrapText="1"/>
      <protection hidden="1"/>
    </xf>
    <xf numFmtId="164" fontId="14" fillId="3" borderId="9" xfId="0" applyNumberFormat="1" applyFont="1" applyFill="1" applyBorder="1" applyAlignment="1" applyProtection="1">
      <alignment vertical="top" wrapText="1"/>
      <protection hidden="1"/>
    </xf>
    <xf numFmtId="164" fontId="14" fillId="2" borderId="5" xfId="0" applyNumberFormat="1" applyFont="1" applyFill="1" applyBorder="1" applyAlignment="1" applyProtection="1">
      <alignment vertical="top" wrapText="1"/>
      <protection hidden="1"/>
    </xf>
    <xf numFmtId="164" fontId="14" fillId="2" borderId="6" xfId="0" applyNumberFormat="1" applyFont="1" applyFill="1" applyBorder="1" applyAlignment="1" applyProtection="1">
      <alignment vertical="top" wrapText="1"/>
      <protection hidden="1"/>
    </xf>
    <xf numFmtId="0" fontId="14" fillId="2" borderId="4" xfId="0" applyFont="1" applyFill="1" applyBorder="1" applyAlignment="1" applyProtection="1">
      <alignment horizontal="left" vertical="top"/>
      <protection hidden="1"/>
    </xf>
    <xf numFmtId="0" fontId="14" fillId="2" borderId="7" xfId="0" applyFont="1" applyFill="1" applyBorder="1" applyAlignment="1" applyProtection="1">
      <alignment horizontal="left" vertical="top"/>
      <protection hidden="1"/>
    </xf>
    <xf numFmtId="0" fontId="14" fillId="2" borderId="10" xfId="0" applyFont="1" applyFill="1" applyBorder="1" applyAlignment="1" applyProtection="1">
      <alignment horizontal="left" vertical="top"/>
      <protection hidden="1"/>
    </xf>
    <xf numFmtId="0" fontId="14" fillId="2" borderId="5" xfId="0" applyFont="1" applyFill="1" applyBorder="1" applyAlignment="1" applyProtection="1">
      <alignment horizontal="left" vertical="top"/>
      <protection hidden="1"/>
    </xf>
    <xf numFmtId="0" fontId="16" fillId="4" borderId="11" xfId="0" applyFont="1" applyFill="1" applyBorder="1" applyAlignment="1" applyProtection="1">
      <alignment vertical="top"/>
      <protection hidden="1"/>
    </xf>
    <xf numFmtId="166" fontId="14" fillId="2" borderId="8" xfId="0" applyNumberFormat="1" applyFont="1" applyFill="1" applyBorder="1" applyAlignment="1" applyProtection="1">
      <alignment horizontal="right" wrapText="1"/>
      <protection hidden="1"/>
    </xf>
    <xf numFmtId="166" fontId="14" fillId="2" borderId="14" xfId="0" applyNumberFormat="1" applyFont="1" applyFill="1" applyBorder="1" applyAlignment="1" applyProtection="1">
      <alignment horizontal="right" wrapText="1"/>
      <protection hidden="1"/>
    </xf>
    <xf numFmtId="0" fontId="14" fillId="2" borderId="0" xfId="0" applyFont="1" applyFill="1" applyAlignment="1" applyProtection="1">
      <alignment wrapText="1"/>
      <protection hidden="1"/>
    </xf>
    <xf numFmtId="0" fontId="14" fillId="2" borderId="9" xfId="0" applyFont="1" applyFill="1" applyBorder="1" applyAlignment="1" applyProtection="1">
      <alignment wrapText="1"/>
      <protection hidden="1"/>
    </xf>
    <xf numFmtId="0" fontId="14" fillId="2" borderId="7" xfId="0" applyFont="1" applyFill="1" applyBorder="1" applyProtection="1">
      <protection hidden="1"/>
    </xf>
    <xf numFmtId="0" fontId="14" fillId="2" borderId="8" xfId="0" applyFont="1" applyFill="1" applyBorder="1" applyProtection="1">
      <protection hidden="1"/>
    </xf>
    <xf numFmtId="164" fontId="14" fillId="2" borderId="8" xfId="0" applyNumberFormat="1" applyFont="1" applyFill="1" applyBorder="1" applyAlignment="1" applyProtection="1">
      <alignment wrapText="1"/>
      <protection hidden="1"/>
    </xf>
    <xf numFmtId="164" fontId="14" fillId="2" borderId="14" xfId="0" applyNumberFormat="1" applyFont="1" applyFill="1" applyBorder="1" applyAlignment="1" applyProtection="1">
      <alignment wrapText="1"/>
      <protection hidden="1"/>
    </xf>
    <xf numFmtId="0" fontId="14" fillId="2" borderId="10" xfId="0" applyFont="1" applyFill="1" applyBorder="1" applyProtection="1">
      <protection hidden="1"/>
    </xf>
    <xf numFmtId="164" fontId="14" fillId="2" borderId="0" xfId="0" applyNumberFormat="1" applyFont="1" applyFill="1" applyAlignment="1" applyProtection="1">
      <alignment wrapText="1"/>
      <protection hidden="1"/>
    </xf>
    <xf numFmtId="164" fontId="14" fillId="2" borderId="9" xfId="0" applyNumberFormat="1" applyFont="1" applyFill="1" applyBorder="1" applyAlignment="1" applyProtection="1">
      <alignment wrapText="1"/>
      <protection hidden="1"/>
    </xf>
    <xf numFmtId="0" fontId="14" fillId="2" borderId="11" xfId="0" applyFont="1" applyFill="1" applyBorder="1" applyProtection="1">
      <protection hidden="1"/>
    </xf>
    <xf numFmtId="0" fontId="14" fillId="2" borderId="12" xfId="0" applyFont="1" applyFill="1" applyBorder="1" applyProtection="1">
      <protection hidden="1"/>
    </xf>
    <xf numFmtId="165" fontId="14" fillId="2" borderId="12" xfId="3" applyNumberFormat="1" applyFont="1" applyFill="1" applyBorder="1" applyAlignment="1" applyProtection="1">
      <alignment horizontal="right" wrapText="1"/>
      <protection hidden="1"/>
    </xf>
    <xf numFmtId="165" fontId="14" fillId="2" borderId="13" xfId="3" applyNumberFormat="1" applyFont="1" applyFill="1" applyBorder="1" applyAlignment="1" applyProtection="1">
      <alignment horizontal="right" wrapText="1"/>
      <protection hidden="1"/>
    </xf>
    <xf numFmtId="3" fontId="14" fillId="2" borderId="8" xfId="0" applyNumberFormat="1" applyFont="1" applyFill="1" applyBorder="1" applyAlignment="1" applyProtection="1">
      <alignment wrapText="1"/>
      <protection hidden="1"/>
    </xf>
    <xf numFmtId="3" fontId="14" fillId="2" borderId="14" xfId="0" applyNumberFormat="1" applyFont="1" applyFill="1" applyBorder="1" applyAlignment="1" applyProtection="1">
      <alignment wrapText="1"/>
      <protection hidden="1"/>
    </xf>
    <xf numFmtId="3" fontId="14" fillId="2" borderId="0" xfId="0" applyNumberFormat="1" applyFont="1" applyFill="1" applyAlignment="1" applyProtection="1">
      <alignment wrapText="1"/>
      <protection hidden="1"/>
    </xf>
    <xf numFmtId="3" fontId="14" fillId="2" borderId="9" xfId="0" applyNumberFormat="1" applyFont="1" applyFill="1" applyBorder="1" applyAlignment="1" applyProtection="1">
      <alignment wrapText="1"/>
      <protection hidden="1"/>
    </xf>
    <xf numFmtId="3" fontId="14" fillId="2" borderId="8" xfId="0" applyNumberFormat="1" applyFont="1" applyFill="1" applyBorder="1" applyAlignment="1" applyProtection="1">
      <alignment horizontal="right" wrapText="1"/>
      <protection hidden="1"/>
    </xf>
    <xf numFmtId="3" fontId="14" fillId="2" borderId="14" xfId="0" applyNumberFormat="1" applyFont="1" applyFill="1" applyBorder="1" applyAlignment="1" applyProtection="1">
      <alignment horizontal="right" wrapText="1"/>
      <protection hidden="1"/>
    </xf>
    <xf numFmtId="166" fontId="14" fillId="3" borderId="8" xfId="0" applyNumberFormat="1" applyFont="1" applyFill="1" applyBorder="1" applyAlignment="1" applyProtection="1">
      <alignment horizontal="right" wrapText="1"/>
      <protection hidden="1"/>
    </xf>
    <xf numFmtId="166" fontId="14" fillId="3" borderId="14" xfId="0" applyNumberFormat="1" applyFont="1" applyFill="1" applyBorder="1" applyAlignment="1" applyProtection="1">
      <alignment horizontal="right" wrapText="1"/>
      <protection hidden="1"/>
    </xf>
    <xf numFmtId="166" fontId="14" fillId="2" borderId="0" xfId="0" applyNumberFormat="1" applyFont="1" applyFill="1" applyAlignment="1" applyProtection="1">
      <alignment horizontal="right" wrapText="1"/>
      <protection hidden="1"/>
    </xf>
    <xf numFmtId="166" fontId="14" fillId="2" borderId="9" xfId="0" applyNumberFormat="1" applyFont="1" applyFill="1" applyBorder="1" applyAlignment="1" applyProtection="1">
      <alignment horizontal="right" wrapText="1"/>
      <protection hidden="1"/>
    </xf>
    <xf numFmtId="3" fontId="14" fillId="2" borderId="12" xfId="0" applyNumberFormat="1" applyFont="1" applyFill="1" applyBorder="1" applyAlignment="1" applyProtection="1">
      <alignment horizontal="right" wrapText="1"/>
      <protection hidden="1"/>
    </xf>
    <xf numFmtId="3" fontId="14" fillId="2" borderId="13" xfId="0" applyNumberFormat="1" applyFont="1" applyFill="1" applyBorder="1" applyAlignment="1" applyProtection="1">
      <alignment horizontal="right" wrapText="1"/>
      <protection hidden="1"/>
    </xf>
    <xf numFmtId="3" fontId="14" fillId="2" borderId="0" xfId="0" applyNumberFormat="1" applyFont="1" applyFill="1" applyAlignment="1" applyProtection="1">
      <alignment horizontal="right" wrapText="1"/>
      <protection hidden="1"/>
    </xf>
    <xf numFmtId="3" fontId="14" fillId="2" borderId="9" xfId="0" applyNumberFormat="1" applyFont="1" applyFill="1" applyBorder="1" applyAlignment="1" applyProtection="1">
      <alignment horizontal="right" wrapText="1"/>
      <protection hidden="1"/>
    </xf>
    <xf numFmtId="0" fontId="14" fillId="2" borderId="5" xfId="0" applyFont="1" applyFill="1" applyBorder="1" applyAlignment="1" applyProtection="1">
      <alignment wrapText="1"/>
      <protection hidden="1"/>
    </xf>
    <xf numFmtId="0" fontId="14" fillId="2" borderId="6" xfId="0" applyFont="1" applyFill="1" applyBorder="1" applyAlignment="1" applyProtection="1">
      <alignment wrapText="1"/>
      <protection hidden="1"/>
    </xf>
    <xf numFmtId="166" fontId="14" fillId="3" borderId="8" xfId="0" applyNumberFormat="1" applyFont="1" applyFill="1" applyBorder="1" applyAlignment="1" applyProtection="1">
      <alignment wrapText="1"/>
      <protection hidden="1"/>
    </xf>
    <xf numFmtId="166" fontId="14" fillId="3" borderId="14" xfId="0" applyNumberFormat="1" applyFont="1" applyFill="1" applyBorder="1" applyAlignment="1" applyProtection="1">
      <alignment wrapText="1"/>
      <protection hidden="1"/>
    </xf>
    <xf numFmtId="166" fontId="14" fillId="2" borderId="0" xfId="0" applyNumberFormat="1" applyFont="1" applyFill="1" applyAlignment="1" applyProtection="1">
      <alignment wrapText="1"/>
      <protection hidden="1"/>
    </xf>
    <xf numFmtId="166" fontId="14" fillId="2" borderId="9" xfId="0" applyNumberFormat="1" applyFont="1" applyFill="1" applyBorder="1" applyAlignment="1" applyProtection="1">
      <alignment wrapText="1"/>
      <protection hidden="1"/>
    </xf>
    <xf numFmtId="3" fontId="14" fillId="2" borderId="12" xfId="0" applyNumberFormat="1" applyFont="1" applyFill="1" applyBorder="1" applyAlignment="1" applyProtection="1">
      <alignment wrapText="1"/>
      <protection hidden="1"/>
    </xf>
    <xf numFmtId="3" fontId="14" fillId="2" borderId="13" xfId="0" applyNumberFormat="1" applyFont="1" applyFill="1" applyBorder="1" applyAlignment="1" applyProtection="1">
      <alignment wrapText="1"/>
      <protection hidden="1"/>
    </xf>
    <xf numFmtId="164" fontId="14" fillId="2" borderId="12" xfId="0" applyNumberFormat="1" applyFont="1" applyFill="1" applyBorder="1" applyAlignment="1" applyProtection="1">
      <alignment wrapText="1"/>
      <protection hidden="1"/>
    </xf>
    <xf numFmtId="164" fontId="14" fillId="2" borderId="13" xfId="0" applyNumberFormat="1" applyFont="1" applyFill="1" applyBorder="1" applyAlignment="1" applyProtection="1">
      <alignment wrapText="1"/>
      <protection hidden="1"/>
    </xf>
    <xf numFmtId="0" fontId="14" fillId="2" borderId="7" xfId="0" applyFont="1" applyFill="1" applyBorder="1" applyAlignment="1" applyProtection="1">
      <alignment horizontal="left"/>
      <protection hidden="1"/>
    </xf>
    <xf numFmtId="0" fontId="14" fillId="2" borderId="8" xfId="0" applyFont="1" applyFill="1" applyBorder="1" applyAlignment="1" applyProtection="1">
      <alignment horizontal="left"/>
      <protection hidden="1"/>
    </xf>
    <xf numFmtId="0" fontId="14" fillId="2" borderId="11" xfId="0" applyFont="1" applyFill="1" applyBorder="1" applyAlignment="1" applyProtection="1">
      <alignment horizontal="left"/>
      <protection hidden="1"/>
    </xf>
    <xf numFmtId="0" fontId="14" fillId="2" borderId="12" xfId="0" applyFont="1" applyFill="1" applyBorder="1" applyAlignment="1" applyProtection="1">
      <alignment horizontal="left"/>
      <protection hidden="1"/>
    </xf>
    <xf numFmtId="0" fontId="53" fillId="4" borderId="11" xfId="0" applyFont="1" applyFill="1" applyBorder="1" applyAlignment="1" applyProtection="1">
      <alignment vertical="top"/>
      <protection hidden="1"/>
    </xf>
    <xf numFmtId="0" fontId="53" fillId="4" borderId="0" xfId="0" applyFont="1" applyFill="1" applyAlignment="1" applyProtection="1">
      <alignment vertical="top"/>
      <protection hidden="1"/>
    </xf>
    <xf numFmtId="167" fontId="14" fillId="2" borderId="5" xfId="0" applyNumberFormat="1" applyFont="1" applyFill="1" applyBorder="1" applyAlignment="1" applyProtection="1">
      <alignment wrapText="1"/>
      <protection hidden="1"/>
    </xf>
    <xf numFmtId="0" fontId="14" fillId="2" borderId="6" xfId="0" applyFont="1" applyFill="1" applyBorder="1" applyAlignment="1" applyProtection="1">
      <alignment horizontal="right" vertical="top" wrapText="1"/>
      <protection hidden="1"/>
    </xf>
    <xf numFmtId="3" fontId="14" fillId="2" borderId="5" xfId="0" applyNumberFormat="1" applyFont="1" applyFill="1" applyBorder="1" applyAlignment="1" applyProtection="1">
      <alignment horizontal="right" wrapText="1"/>
      <protection hidden="1"/>
    </xf>
    <xf numFmtId="167" fontId="14" fillId="2" borderId="5" xfId="0" applyNumberFormat="1" applyFont="1" applyFill="1" applyBorder="1" applyAlignment="1" applyProtection="1">
      <alignment horizontal="right" wrapText="1"/>
      <protection hidden="1"/>
    </xf>
    <xf numFmtId="3" fontId="14" fillId="2" borderId="6" xfId="0" applyNumberFormat="1" applyFont="1" applyFill="1" applyBorder="1" applyAlignment="1" applyProtection="1">
      <alignment horizontal="right" wrapText="1"/>
      <protection hidden="1"/>
    </xf>
    <xf numFmtId="0" fontId="14" fillId="2" borderId="6" xfId="0" applyFont="1" applyFill="1" applyBorder="1" applyAlignment="1" applyProtection="1">
      <alignment horizontal="right" wrapText="1"/>
      <protection hidden="1"/>
    </xf>
    <xf numFmtId="0" fontId="54" fillId="2" borderId="0" xfId="0" applyFont="1" applyFill="1" applyAlignment="1">
      <alignment horizontal="right"/>
    </xf>
    <xf numFmtId="0" fontId="55" fillId="2" borderId="0" xfId="0" applyFont="1" applyFill="1"/>
    <xf numFmtId="0" fontId="49" fillId="2" borderId="0" xfId="0" applyFont="1" applyFill="1"/>
    <xf numFmtId="0" fontId="45" fillId="14" borderId="0" xfId="0" applyFont="1" applyFill="1" applyAlignment="1">
      <alignment vertical="center" wrapText="1"/>
    </xf>
    <xf numFmtId="0" fontId="14" fillId="2" borderId="0" xfId="6" applyFill="1"/>
    <xf numFmtId="0" fontId="9" fillId="2" borderId="0" xfId="0" applyFont="1" applyFill="1" applyAlignment="1">
      <alignment vertical="center" wrapText="1"/>
    </xf>
    <xf numFmtId="0" fontId="45" fillId="2" borderId="0" xfId="0" applyFont="1" applyFill="1" applyAlignment="1">
      <alignment vertical="center" wrapText="1"/>
    </xf>
    <xf numFmtId="0" fontId="56" fillId="2" borderId="0" xfId="0" applyFont="1" applyFill="1" applyAlignment="1">
      <alignment horizontal="left"/>
    </xf>
    <xf numFmtId="0" fontId="0" fillId="2" borderId="19" xfId="0" applyFill="1" applyBorder="1"/>
    <xf numFmtId="0" fontId="49" fillId="2" borderId="0" xfId="0" applyFont="1" applyFill="1" applyAlignment="1">
      <alignment horizontal="center"/>
    </xf>
    <xf numFmtId="0" fontId="57" fillId="2" borderId="0" xfId="0" applyFont="1" applyFill="1" applyAlignment="1">
      <alignment horizontal="left"/>
    </xf>
    <xf numFmtId="0" fontId="50" fillId="0" borderId="0" xfId="0" applyFont="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50" fillId="0" borderId="23" xfId="0" applyFont="1" applyBorder="1" applyAlignment="1">
      <alignment horizontal="left" wrapText="1"/>
    </xf>
    <xf numFmtId="0" fontId="57" fillId="15" borderId="0" xfId="0" applyFont="1" applyFill="1" applyAlignment="1">
      <alignment horizontal="left"/>
    </xf>
    <xf numFmtId="0" fontId="57" fillId="2" borderId="24" xfId="0" applyFont="1" applyFill="1" applyBorder="1" applyAlignment="1">
      <alignment horizontal="left"/>
    </xf>
    <xf numFmtId="0" fontId="0" fillId="0" borderId="22" xfId="0" applyBorder="1"/>
    <xf numFmtId="0" fontId="58" fillId="16" borderId="5" xfId="0" applyFont="1" applyFill="1" applyBorder="1" applyAlignment="1">
      <alignment wrapText="1"/>
    </xf>
    <xf numFmtId="0" fontId="58" fillId="16" borderId="6" xfId="0" applyFont="1" applyFill="1" applyBorder="1" applyAlignment="1">
      <alignment wrapText="1"/>
    </xf>
    <xf numFmtId="0" fontId="0" fillId="0" borderId="25" xfId="0" applyBorder="1"/>
    <xf numFmtId="168" fontId="45" fillId="0" borderId="26" xfId="0" applyNumberFormat="1" applyFont="1" applyBorder="1" applyAlignment="1">
      <alignment horizontal="left" vertical="top"/>
    </xf>
    <xf numFmtId="49" fontId="45" fillId="0" borderId="27" xfId="0" applyNumberFormat="1" applyFont="1" applyBorder="1" applyAlignment="1">
      <alignment horizontal="left" vertical="top"/>
    </xf>
    <xf numFmtId="0" fontId="45" fillId="0" borderId="28" xfId="0" applyFont="1" applyBorder="1" applyAlignment="1">
      <alignment horizontal="left" vertical="top"/>
    </xf>
    <xf numFmtId="168" fontId="45" fillId="0" borderId="29" xfId="0" applyNumberFormat="1" applyFont="1" applyBorder="1" applyAlignment="1">
      <alignment horizontal="left" vertical="top"/>
    </xf>
    <xf numFmtId="169" fontId="45" fillId="0" borderId="27" xfId="0" applyNumberFormat="1" applyFont="1" applyBorder="1" applyAlignment="1">
      <alignment horizontal="left" vertical="top"/>
    </xf>
    <xf numFmtId="0" fontId="45" fillId="0" borderId="28" xfId="0" applyFont="1" applyBorder="1" applyAlignment="1">
      <alignment horizontal="left" vertical="top" wrapText="1"/>
    </xf>
    <xf numFmtId="170" fontId="45" fillId="0" borderId="27" xfId="0" applyNumberFormat="1" applyFont="1" applyBorder="1" applyAlignment="1">
      <alignment horizontal="left" vertical="top"/>
    </xf>
    <xf numFmtId="0" fontId="45" fillId="0" borderId="30" xfId="0" applyFont="1" applyBorder="1"/>
    <xf numFmtId="0" fontId="45" fillId="0" borderId="31" xfId="0" applyFont="1" applyBorder="1"/>
    <xf numFmtId="0" fontId="45" fillId="0" borderId="22" xfId="0" applyFont="1" applyBorder="1"/>
    <xf numFmtId="0" fontId="45" fillId="0" borderId="9" xfId="0" applyFont="1" applyBorder="1"/>
    <xf numFmtId="0" fontId="45" fillId="0" borderId="32" xfId="0" applyFont="1" applyBorder="1"/>
    <xf numFmtId="0" fontId="45" fillId="0" borderId="33" xfId="0" applyFont="1" applyBorder="1"/>
    <xf numFmtId="0" fontId="45" fillId="0" borderId="34" xfId="0" applyFont="1" applyBorder="1"/>
    <xf numFmtId="0" fontId="45" fillId="0" borderId="13" xfId="0" applyFont="1" applyBorder="1"/>
    <xf numFmtId="0" fontId="45" fillId="0" borderId="25" xfId="0" applyFont="1" applyBorder="1"/>
    <xf numFmtId="0" fontId="46" fillId="2" borderId="25" xfId="0" applyFont="1" applyFill="1" applyBorder="1"/>
    <xf numFmtId="0" fontId="45" fillId="2" borderId="25" xfId="0" applyFont="1" applyFill="1" applyBorder="1"/>
    <xf numFmtId="0" fontId="45" fillId="2" borderId="22" xfId="0" applyFont="1" applyFill="1" applyBorder="1"/>
    <xf numFmtId="0" fontId="0" fillId="2" borderId="22" xfId="0" applyFill="1" applyBorder="1"/>
    <xf numFmtId="0" fontId="48" fillId="2" borderId="25" xfId="0" applyFont="1" applyFill="1" applyBorder="1" applyAlignment="1">
      <alignment vertical="center"/>
    </xf>
    <xf numFmtId="0" fontId="48" fillId="2" borderId="0" xfId="0" applyFont="1" applyFill="1" applyAlignment="1">
      <alignment vertical="center"/>
    </xf>
    <xf numFmtId="0" fontId="59" fillId="2" borderId="0" xfId="0" applyFont="1" applyFill="1"/>
    <xf numFmtId="0" fontId="47" fillId="2" borderId="0" xfId="0" applyFont="1" applyFill="1"/>
    <xf numFmtId="0" fontId="14" fillId="2" borderId="0" xfId="0" applyFont="1" applyFill="1" applyAlignment="1" applyProtection="1">
      <alignment horizontal="left" vertical="center"/>
      <protection hidden="1"/>
    </xf>
    <xf numFmtId="0" fontId="61" fillId="2" borderId="0" xfId="0" applyFont="1" applyFill="1" applyAlignment="1" applyProtection="1">
      <alignment vertical="center"/>
      <protection hidden="1"/>
    </xf>
    <xf numFmtId="0" fontId="61" fillId="2" borderId="0" xfId="0" applyFont="1" applyFill="1" applyAlignment="1" applyProtection="1">
      <alignment horizontal="left" vertical="center"/>
      <protection hidden="1"/>
    </xf>
    <xf numFmtId="0" fontId="27" fillId="2" borderId="0" xfId="0" applyFont="1" applyFill="1"/>
    <xf numFmtId="0" fontId="34" fillId="2" borderId="0" xfId="0" applyFont="1" applyFill="1"/>
    <xf numFmtId="0" fontId="9" fillId="4" borderId="8" xfId="0" applyFont="1" applyFill="1" applyBorder="1" applyAlignment="1" applyProtection="1">
      <alignment horizontal="left" vertical="top" wrapText="1"/>
      <protection hidden="1"/>
    </xf>
    <xf numFmtId="0" fontId="22" fillId="2" borderId="12" xfId="0" applyFont="1" applyFill="1" applyBorder="1" applyAlignment="1" applyProtection="1">
      <alignment horizontal="left" vertical="top" wrapText="1"/>
      <protection hidden="1"/>
    </xf>
    <xf numFmtId="0" fontId="10" fillId="4" borderId="0" xfId="0" applyFont="1" applyFill="1" applyBorder="1" applyAlignment="1" applyProtection="1">
      <alignment horizontal="left" vertical="top" wrapText="1"/>
      <protection hidden="1"/>
    </xf>
    <xf numFmtId="0" fontId="0" fillId="2" borderId="0" xfId="0" applyFill="1" applyBorder="1" applyProtection="1">
      <protection hidden="1"/>
    </xf>
    <xf numFmtId="0" fontId="22" fillId="2" borderId="0" xfId="0" applyFont="1" applyFill="1" applyBorder="1" applyAlignment="1" applyProtection="1">
      <alignment horizontal="left" vertical="top" wrapText="1"/>
      <protection hidden="1"/>
    </xf>
    <xf numFmtId="0" fontId="26" fillId="4" borderId="0" xfId="0" applyFont="1" applyFill="1" applyBorder="1" applyAlignment="1" applyProtection="1">
      <alignment vertical="top" wrapText="1"/>
      <protection hidden="1"/>
    </xf>
    <xf numFmtId="0" fontId="27" fillId="4" borderId="0" xfId="0" applyFont="1" applyFill="1" applyBorder="1" applyAlignment="1" applyProtection="1">
      <alignment wrapText="1"/>
      <protection hidden="1"/>
    </xf>
    <xf numFmtId="0" fontId="27" fillId="2" borderId="0" xfId="0" applyFont="1" applyFill="1" applyBorder="1"/>
    <xf numFmtId="0" fontId="3" fillId="2" borderId="0" xfId="0" applyFont="1" applyFill="1"/>
    <xf numFmtId="0" fontId="2" fillId="8" borderId="17" xfId="0" applyFont="1" applyFill="1" applyBorder="1"/>
    <xf numFmtId="0" fontId="2" fillId="13" borderId="16" xfId="0" applyFont="1" applyFill="1" applyBorder="1"/>
    <xf numFmtId="0" fontId="0" fillId="0" borderId="0" xfId="0" applyFill="1" applyProtection="1">
      <protection hidden="1"/>
    </xf>
    <xf numFmtId="0" fontId="23" fillId="2" borderId="0" xfId="1" applyNumberFormat="1" applyFont="1" applyFill="1" applyBorder="1" applyAlignment="1" applyProtection="1">
      <alignment horizontal="left"/>
      <protection hidden="1"/>
    </xf>
    <xf numFmtId="0" fontId="7" fillId="2" borderId="0" xfId="0" applyFont="1" applyFill="1" applyAlignment="1" applyProtection="1">
      <alignment horizontal="right" vertical="center"/>
      <protection hidden="1"/>
    </xf>
    <xf numFmtId="0" fontId="0" fillId="0" borderId="21" xfId="0" applyBorder="1"/>
    <xf numFmtId="0" fontId="58" fillId="16" borderId="4" xfId="0" applyFont="1" applyFill="1" applyBorder="1" applyAlignment="1">
      <alignment wrapText="1"/>
    </xf>
    <xf numFmtId="0" fontId="52" fillId="0" borderId="0" xfId="4" applyFont="1"/>
    <xf numFmtId="0" fontId="14" fillId="2" borderId="5" xfId="0" applyFont="1" applyFill="1" applyBorder="1" applyAlignment="1" applyProtection="1">
      <alignment horizontal="right" wrapText="1"/>
      <protection hidden="1"/>
    </xf>
    <xf numFmtId="0" fontId="14" fillId="2" borderId="5" xfId="0" applyFont="1" applyFill="1" applyBorder="1" applyAlignment="1" applyProtection="1">
      <alignment horizontal="right" vertical="top" wrapText="1"/>
      <protection hidden="1"/>
    </xf>
    <xf numFmtId="0" fontId="12" fillId="4" borderId="0" xfId="0" applyFont="1" applyFill="1" applyBorder="1" applyAlignment="1" applyProtection="1">
      <alignment vertical="top" wrapText="1"/>
      <protection hidden="1"/>
    </xf>
    <xf numFmtId="164" fontId="14" fillId="3" borderId="0" xfId="0" applyNumberFormat="1" applyFont="1" applyFill="1" applyBorder="1" applyAlignment="1" applyProtection="1">
      <alignment vertical="top" wrapText="1"/>
      <protection hidden="1"/>
    </xf>
    <xf numFmtId="0" fontId="13" fillId="4" borderId="0" xfId="0" applyFont="1" applyFill="1" applyAlignment="1" applyProtection="1">
      <alignment horizontal="right"/>
      <protection hidden="1"/>
    </xf>
    <xf numFmtId="0" fontId="7" fillId="4" borderId="0" xfId="0" applyFont="1" applyFill="1" applyBorder="1" applyAlignment="1" applyProtection="1">
      <alignment wrapText="1"/>
      <protection hidden="1"/>
    </xf>
    <xf numFmtId="0" fontId="14" fillId="2" borderId="0" xfId="0" applyFont="1" applyFill="1" applyBorder="1" applyAlignment="1" applyProtection="1">
      <alignment wrapText="1"/>
      <protection hidden="1"/>
    </xf>
    <xf numFmtId="164" fontId="14" fillId="2" borderId="0" xfId="0" applyNumberFormat="1" applyFont="1" applyFill="1" applyBorder="1" applyAlignment="1" applyProtection="1">
      <alignment wrapText="1"/>
      <protection hidden="1"/>
    </xf>
    <xf numFmtId="3" fontId="14" fillId="2" borderId="0" xfId="0" applyNumberFormat="1" applyFont="1" applyFill="1" applyBorder="1" applyAlignment="1" applyProtection="1">
      <alignment wrapText="1"/>
      <protection hidden="1"/>
    </xf>
    <xf numFmtId="0" fontId="12" fillId="4" borderId="0" xfId="0" applyFont="1" applyFill="1" applyBorder="1" applyAlignment="1" applyProtection="1">
      <alignment horizontal="right" wrapText="1"/>
      <protection hidden="1"/>
    </xf>
    <xf numFmtId="166" fontId="14" fillId="2" borderId="0" xfId="0" applyNumberFormat="1" applyFont="1" applyFill="1" applyBorder="1" applyAlignment="1" applyProtection="1">
      <alignment horizontal="right" wrapText="1"/>
      <protection hidden="1"/>
    </xf>
    <xf numFmtId="3" fontId="14" fillId="2" borderId="0" xfId="0" applyNumberFormat="1" applyFont="1" applyFill="1" applyBorder="1" applyAlignment="1" applyProtection="1">
      <alignment horizontal="right" wrapText="1"/>
      <protection hidden="1"/>
    </xf>
    <xf numFmtId="166" fontId="14" fillId="2" borderId="0" xfId="0" applyNumberFormat="1" applyFont="1" applyFill="1" applyBorder="1" applyAlignment="1" applyProtection="1">
      <alignment wrapText="1"/>
      <protection hidden="1"/>
    </xf>
    <xf numFmtId="0" fontId="25" fillId="4" borderId="10" xfId="0" applyFont="1" applyFill="1" applyBorder="1" applyProtection="1">
      <protection hidden="1"/>
    </xf>
    <xf numFmtId="0" fontId="13" fillId="4" borderId="12" xfId="0" applyFont="1" applyFill="1" applyBorder="1" applyAlignment="1" applyProtection="1">
      <alignment horizontal="right"/>
      <protection hidden="1"/>
    </xf>
    <xf numFmtId="0" fontId="25" fillId="4" borderId="0" xfId="0" applyFont="1" applyFill="1" applyBorder="1" applyAlignment="1" applyProtection="1">
      <alignment vertical="top" wrapText="1"/>
      <protection hidden="1"/>
    </xf>
    <xf numFmtId="167" fontId="17" fillId="2" borderId="0" xfId="5" applyNumberFormat="1" applyFont="1" applyFill="1" applyBorder="1" applyAlignment="1" applyProtection="1">
      <alignment horizontal="right" wrapText="1"/>
      <protection hidden="1"/>
    </xf>
    <xf numFmtId="165" fontId="14" fillId="2" borderId="14" xfId="3" applyNumberFormat="1" applyFont="1" applyFill="1" applyBorder="1" applyAlignment="1" applyProtection="1">
      <alignment horizontal="right" wrapText="1"/>
      <protection hidden="1"/>
    </xf>
    <xf numFmtId="0" fontId="14" fillId="17" borderId="0" xfId="0" applyFont="1" applyFill="1"/>
    <xf numFmtId="0" fontId="14" fillId="17" borderId="17" xfId="0" applyFont="1" applyFill="1" applyBorder="1"/>
    <xf numFmtId="0" fontId="17" fillId="17" borderId="17" xfId="0" applyFont="1" applyFill="1" applyBorder="1"/>
    <xf numFmtId="2" fontId="14" fillId="17" borderId="17" xfId="0" applyNumberFormat="1" applyFont="1" applyFill="1" applyBorder="1"/>
    <xf numFmtId="1" fontId="14" fillId="17" borderId="17" xfId="0" applyNumberFormat="1" applyFont="1" applyFill="1" applyBorder="1"/>
    <xf numFmtId="0" fontId="14" fillId="17" borderId="17" xfId="0" applyFont="1" applyFill="1" applyBorder="1" applyAlignment="1">
      <alignment horizontal="right"/>
    </xf>
    <xf numFmtId="0" fontId="17" fillId="17" borderId="0" xfId="0" applyFont="1" applyFill="1"/>
    <xf numFmtId="0" fontId="0" fillId="17" borderId="0" xfId="0" applyFill="1"/>
    <xf numFmtId="0" fontId="4" fillId="17" borderId="17" xfId="8" applyFill="1" applyBorder="1"/>
    <xf numFmtId="2" fontId="14" fillId="17" borderId="0" xfId="0" applyNumberFormat="1" applyFont="1" applyFill="1"/>
    <xf numFmtId="1" fontId="14" fillId="17" borderId="0" xfId="0" applyNumberFormat="1" applyFont="1" applyFill="1"/>
    <xf numFmtId="0" fontId="14" fillId="17" borderId="0" xfId="0" applyFont="1" applyFill="1" applyAlignment="1">
      <alignment horizontal="right"/>
    </xf>
    <xf numFmtId="0" fontId="17" fillId="17" borderId="6" xfId="0" applyFont="1" applyFill="1" applyBorder="1"/>
    <xf numFmtId="0" fontId="14" fillId="17" borderId="0" xfId="0" applyFont="1" applyFill="1" applyBorder="1"/>
    <xf numFmtId="0" fontId="17" fillId="17" borderId="0" xfId="0" applyFont="1" applyFill="1" applyBorder="1"/>
    <xf numFmtId="0" fontId="14" fillId="17" borderId="0" xfId="7" applyFont="1" applyFill="1"/>
    <xf numFmtId="0" fontId="17" fillId="17" borderId="0" xfId="7" applyFont="1" applyFill="1"/>
    <xf numFmtId="0" fontId="61" fillId="0" borderId="0" xfId="0" applyFont="1"/>
    <xf numFmtId="0" fontId="61" fillId="17" borderId="0" xfId="0" applyFont="1" applyFill="1"/>
    <xf numFmtId="0" fontId="14" fillId="17" borderId="17" xfId="7" applyFont="1" applyFill="1" applyBorder="1" applyAlignment="1">
      <alignment horizontal="right" vertical="top" wrapText="1"/>
    </xf>
    <xf numFmtId="2" fontId="14" fillId="17" borderId="17" xfId="7" applyNumberFormat="1" applyFont="1" applyFill="1" applyBorder="1" applyAlignment="1">
      <alignment horizontal="right" vertical="top" wrapText="1"/>
    </xf>
    <xf numFmtId="1" fontId="14" fillId="17" borderId="17" xfId="7" applyNumberFormat="1" applyFont="1" applyFill="1" applyBorder="1" applyAlignment="1">
      <alignment horizontal="right" vertical="top" wrapText="1"/>
    </xf>
    <xf numFmtId="0" fontId="14" fillId="17" borderId="17" xfId="7" applyFont="1" applyFill="1" applyBorder="1"/>
    <xf numFmtId="0" fontId="2" fillId="17" borderId="17" xfId="7" applyFill="1" applyBorder="1"/>
    <xf numFmtId="0" fontId="0" fillId="17" borderId="17" xfId="0" applyFill="1" applyBorder="1"/>
    <xf numFmtId="0" fontId="1" fillId="17" borderId="17" xfId="7" applyFont="1" applyFill="1" applyBorder="1"/>
    <xf numFmtId="0" fontId="0" fillId="17" borderId="17" xfId="0" applyFont="1" applyFill="1" applyBorder="1"/>
    <xf numFmtId="0" fontId="52" fillId="0" borderId="0" xfId="4" applyFont="1"/>
    <xf numFmtId="171" fontId="14" fillId="3" borderId="8" xfId="0" applyNumberFormat="1" applyFont="1" applyFill="1" applyBorder="1" applyAlignment="1" applyProtection="1">
      <alignment wrapText="1"/>
      <protection hidden="1"/>
    </xf>
    <xf numFmtId="171" fontId="14" fillId="3" borderId="14" xfId="0" applyNumberFormat="1" applyFont="1" applyFill="1" applyBorder="1" applyAlignment="1" applyProtection="1">
      <alignment wrapText="1"/>
      <protection hidden="1"/>
    </xf>
    <xf numFmtId="164" fontId="15" fillId="2" borderId="8" xfId="0" applyNumberFormat="1" applyFont="1" applyFill="1" applyBorder="1" applyAlignment="1" applyProtection="1">
      <alignment horizontal="right" vertical="top" wrapText="1"/>
      <protection hidden="1"/>
    </xf>
    <xf numFmtId="164" fontId="7" fillId="2" borderId="5" xfId="0" applyNumberFormat="1" applyFont="1" applyFill="1" applyBorder="1" applyAlignment="1" applyProtection="1">
      <alignment vertical="top" wrapText="1"/>
      <protection hidden="1"/>
    </xf>
    <xf numFmtId="164" fontId="7" fillId="2" borderId="6" xfId="0" applyNumberFormat="1" applyFont="1" applyFill="1" applyBorder="1" applyAlignment="1" applyProtection="1">
      <alignment vertical="top" wrapText="1"/>
      <protection hidden="1"/>
    </xf>
    <xf numFmtId="165" fontId="17" fillId="2" borderId="9" xfId="3" applyNumberFormat="1" applyFont="1" applyFill="1" applyBorder="1" applyAlignment="1" applyProtection="1">
      <alignment horizontal="right" wrapText="1"/>
      <protection hidden="1"/>
    </xf>
    <xf numFmtId="0" fontId="14" fillId="2" borderId="11" xfId="0" applyFont="1" applyFill="1" applyBorder="1" applyAlignment="1" applyProtection="1">
      <alignment horizontal="left" vertical="top"/>
      <protection hidden="1"/>
    </xf>
    <xf numFmtId="0" fontId="45" fillId="2" borderId="0" xfId="0" applyFont="1" applyFill="1" applyAlignment="1">
      <alignment vertical="top" wrapText="1"/>
    </xf>
    <xf numFmtId="0" fontId="45" fillId="0" borderId="0" xfId="0" applyFont="1" applyAlignment="1">
      <alignment vertical="top" wrapText="1"/>
    </xf>
    <xf numFmtId="0" fontId="49" fillId="2" borderId="0" xfId="0" applyFont="1" applyFill="1" applyAlignment="1">
      <alignment horizontal="left"/>
    </xf>
    <xf numFmtId="0" fontId="52" fillId="0" borderId="0" xfId="4" applyFont="1"/>
    <xf numFmtId="0" fontId="48" fillId="0" borderId="0" xfId="0" applyFont="1" applyFill="1" applyAlignment="1">
      <alignment horizontal="left" vertical="top" wrapText="1"/>
    </xf>
    <xf numFmtId="0" fontId="49" fillId="2" borderId="0" xfId="0" applyFont="1" applyFill="1" applyAlignment="1">
      <alignment horizontal="center"/>
    </xf>
    <xf numFmtId="0" fontId="7" fillId="8" borderId="17" xfId="0" applyFont="1" applyFill="1" applyBorder="1" applyAlignment="1">
      <alignment horizontal="center" wrapText="1"/>
    </xf>
    <xf numFmtId="0" fontId="9" fillId="2" borderId="9" xfId="0" applyFont="1" applyFill="1" applyBorder="1" applyAlignment="1" applyProtection="1">
      <alignment horizontal="right" vertical="top"/>
      <protection hidden="1"/>
    </xf>
    <xf numFmtId="0" fontId="10" fillId="2" borderId="9" xfId="0" applyFont="1" applyFill="1" applyBorder="1" applyAlignment="1" applyProtection="1">
      <alignment horizontal="right"/>
      <protection hidden="1"/>
    </xf>
    <xf numFmtId="0" fontId="10" fillId="4" borderId="10" xfId="0" applyFont="1" applyFill="1" applyBorder="1" applyAlignment="1" applyProtection="1">
      <alignment horizontal="left" vertical="top" wrapText="1"/>
      <protection hidden="1"/>
    </xf>
    <xf numFmtId="0" fontId="10" fillId="4" borderId="0" xfId="0" applyFont="1" applyFill="1" applyAlignment="1" applyProtection="1">
      <alignment horizontal="left" vertical="top" wrapText="1"/>
      <protection hidden="1"/>
    </xf>
    <xf numFmtId="0" fontId="9" fillId="4" borderId="7" xfId="0" applyFont="1" applyFill="1" applyBorder="1" applyAlignment="1" applyProtection="1">
      <alignment horizontal="left" vertical="top" wrapText="1"/>
      <protection hidden="1"/>
    </xf>
    <xf numFmtId="0" fontId="9" fillId="4" borderId="8" xfId="0" applyFont="1" applyFill="1" applyBorder="1" applyAlignment="1" applyProtection="1">
      <alignment horizontal="left" vertical="top" wrapText="1"/>
      <protection hidden="1"/>
    </xf>
    <xf numFmtId="0" fontId="22" fillId="2" borderId="10" xfId="0" applyFont="1" applyFill="1" applyBorder="1" applyAlignment="1" applyProtection="1">
      <alignment horizontal="left" vertical="top" wrapText="1"/>
      <protection hidden="1"/>
    </xf>
    <xf numFmtId="0" fontId="22" fillId="2" borderId="0" xfId="0" applyFont="1" applyFill="1" applyAlignment="1" applyProtection="1">
      <alignment horizontal="left" vertical="top" wrapText="1"/>
      <protection hidden="1"/>
    </xf>
    <xf numFmtId="0" fontId="22" fillId="2" borderId="11" xfId="0" applyFont="1" applyFill="1" applyBorder="1" applyAlignment="1" applyProtection="1">
      <alignment horizontal="left" vertical="top" wrapText="1"/>
      <protection hidden="1"/>
    </xf>
    <xf numFmtId="0" fontId="22" fillId="2" borderId="12" xfId="0" applyFont="1" applyFill="1" applyBorder="1" applyAlignment="1" applyProtection="1">
      <alignment horizontal="left" vertical="top" wrapText="1"/>
      <protection hidden="1"/>
    </xf>
    <xf numFmtId="0" fontId="14" fillId="2" borderId="15" xfId="0" applyFont="1" applyFill="1" applyBorder="1" applyAlignment="1" applyProtection="1">
      <alignment horizontal="left" vertical="top"/>
      <protection hidden="1"/>
    </xf>
    <xf numFmtId="0" fontId="14" fillId="2" borderId="16" xfId="0" applyFont="1" applyFill="1" applyBorder="1" applyAlignment="1" applyProtection="1">
      <alignment horizontal="left" vertical="top"/>
      <protection hidden="1"/>
    </xf>
    <xf numFmtId="0" fontId="24" fillId="2" borderId="0" xfId="0" applyFont="1" applyFill="1" applyAlignment="1" applyProtection="1">
      <alignment horizontal="left" vertical="top" wrapText="1"/>
      <protection hidden="1"/>
    </xf>
    <xf numFmtId="0" fontId="24" fillId="2" borderId="9" xfId="0" applyFont="1" applyFill="1" applyBorder="1" applyAlignment="1" applyProtection="1">
      <alignment horizontal="left" vertical="top" wrapText="1"/>
      <protection hidden="1"/>
    </xf>
    <xf numFmtId="0" fontId="6" fillId="2" borderId="0" xfId="0" applyFont="1" applyFill="1" applyAlignment="1" applyProtection="1">
      <alignment horizontal="center"/>
      <protection hidden="1"/>
    </xf>
    <xf numFmtId="0" fontId="7" fillId="3" borderId="1" xfId="0" applyFont="1" applyFill="1" applyBorder="1" applyAlignment="1" applyProtection="1">
      <alignment horizontal="left" vertical="center"/>
      <protection locked="0" hidden="1"/>
    </xf>
    <xf numFmtId="0" fontId="7" fillId="3" borderId="2" xfId="0" applyFont="1" applyFill="1" applyBorder="1" applyAlignment="1" applyProtection="1">
      <alignment horizontal="left" vertical="center"/>
      <protection locked="0" hidden="1"/>
    </xf>
    <xf numFmtId="0" fontId="7" fillId="3" borderId="3" xfId="0" applyFont="1" applyFill="1" applyBorder="1" applyAlignment="1" applyProtection="1">
      <alignment horizontal="left" vertical="center"/>
      <protection locked="0" hidden="1"/>
    </xf>
    <xf numFmtId="0" fontId="7" fillId="2" borderId="0" xfId="0" applyFont="1" applyFill="1" applyAlignment="1" applyProtection="1">
      <alignment horizontal="right" vertical="center"/>
      <protection hidden="1"/>
    </xf>
    <xf numFmtId="0" fontId="62" fillId="0" borderId="0" xfId="4" applyFont="1" applyFill="1"/>
    <xf numFmtId="0" fontId="63" fillId="2" borderId="0" xfId="4" applyFont="1" applyFill="1" applyAlignment="1">
      <alignment horizontal="left"/>
    </xf>
    <xf numFmtId="0" fontId="60" fillId="2" borderId="0" xfId="4" applyFont="1" applyFill="1" applyAlignment="1">
      <alignment horizontal="left"/>
    </xf>
  </cellXfs>
  <cellStyles count="9">
    <cellStyle name="Comma" xfId="1" builtinId="3"/>
    <cellStyle name="Currency" xfId="2" builtinId="4"/>
    <cellStyle name="Hyperlink" xfId="4" builtinId="8"/>
    <cellStyle name="Normal" xfId="0" builtinId="0"/>
    <cellStyle name="Normal 2" xfId="7" xr:uid="{191E2A0D-9301-484B-BAF9-2EF98B459E46}"/>
    <cellStyle name="Normal 2 4" xfId="6" xr:uid="{D7296B03-B18D-4DC7-BD81-ABCA86F539CD}"/>
    <cellStyle name="Normal 3" xfId="8" xr:uid="{F125AD72-0482-4274-B904-6D42370E2CFD}"/>
    <cellStyle name="Normal_Table 1 Jan 2012" xfId="5" xr:uid="{6FBD6D6D-FEFD-4873-A714-98A08079ACEB}"/>
    <cellStyle name="Percent" xfId="3" builtinId="5"/>
  </cellStyles>
  <dxfs count="33">
    <dxf>
      <font>
        <color rgb="FFFFFF99"/>
      </font>
    </dxf>
    <dxf>
      <font>
        <color theme="0"/>
      </font>
    </dxf>
    <dxf>
      <font>
        <color theme="0"/>
      </font>
    </dxf>
    <dxf>
      <font>
        <color rgb="FFFFFF99"/>
      </font>
    </dxf>
    <dxf>
      <font>
        <color theme="0"/>
      </font>
    </dxf>
    <dxf>
      <font>
        <color theme="0"/>
      </font>
    </dxf>
    <dxf>
      <font>
        <color theme="0"/>
      </font>
    </dxf>
    <dxf>
      <font>
        <color theme="0"/>
      </font>
    </dxf>
    <dxf>
      <font>
        <color rgb="FFFFFF99"/>
      </font>
    </dxf>
    <dxf>
      <font>
        <color theme="0"/>
      </font>
    </dxf>
    <dxf>
      <font>
        <color rgb="FFFFFF99"/>
      </font>
    </dxf>
    <dxf>
      <font>
        <color theme="0"/>
      </font>
    </dxf>
    <dxf>
      <font>
        <color theme="0"/>
      </font>
    </dxf>
    <dxf>
      <font>
        <color rgb="FFFFFF99"/>
      </font>
    </dxf>
    <dxf>
      <font>
        <color theme="0"/>
      </font>
    </dxf>
    <dxf>
      <font>
        <color rgb="FFFFFF99"/>
      </font>
    </dxf>
    <dxf>
      <font>
        <color rgb="FFFFFF99"/>
      </font>
    </dxf>
    <dxf>
      <font>
        <color theme="0"/>
      </font>
      <fill>
        <patternFill>
          <bgColor theme="0"/>
        </patternFill>
      </fill>
      <border>
        <left/>
        <right/>
        <top/>
        <bottom/>
        <vertical/>
        <horizontal/>
      </border>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99"/>
      </font>
    </dxf>
    <dxf>
      <font>
        <color theme="0"/>
      </font>
    </dxf>
  </dxfs>
  <tableStyles count="0" defaultTableStyle="TableStyleMedium2" defaultPivotStyle="PivotStyleLight16"/>
  <colors>
    <mruColors>
      <color rgb="FF59468D"/>
      <color rgb="FFE1CE9D"/>
      <color rgb="FF97D88A"/>
      <color rgb="FFFCBE37"/>
      <color rgb="FFAECFE6"/>
      <color rgb="FFEDEBF5"/>
      <color rgb="FFEDF5EB"/>
      <color rgb="FFC33A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'PRP LA trend tool 2015-22'!$L$58</c:f>
          <c:strCache>
            <c:ptCount val="1"/>
            <c:pt idx="0">
              <c:v>Average weekly general needs (social rent) net rent (£ per week)</c:v>
            </c:pt>
          </c:strCache>
        </c:strRef>
      </c:tx>
      <c:layout>
        <c:manualLayout>
          <c:xMode val="edge"/>
          <c:yMode val="edge"/>
          <c:x val="1.410236383033975E-3"/>
          <c:y val="5.4985739535030704E-3"/>
        </c:manualLayout>
      </c:layout>
      <c:overlay val="0"/>
      <c:txPr>
        <a:bodyPr/>
        <a:lstStyle/>
        <a:p>
          <a:pPr algn="l">
            <a:defRPr sz="1200" b="1">
              <a:solidFill>
                <a:srgbClr val="59468D"/>
              </a:solidFill>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1287211093735368"/>
          <c:y val="0.1670537373952469"/>
          <c:w val="0.84790389296508695"/>
          <c:h val="0.67850052075336154"/>
        </c:manualLayout>
      </c:layout>
      <c:barChart>
        <c:barDir val="col"/>
        <c:grouping val="clustered"/>
        <c:varyColors val="0"/>
        <c:ser>
          <c:idx val="5"/>
          <c:order val="0"/>
          <c:tx>
            <c:strRef>
              <c:f>'PRP LA trend tool 2015-22'!$B$39</c:f>
              <c:strCache>
                <c:ptCount val="1"/>
                <c:pt idx="0">
                  <c:v>0</c:v>
                </c:pt>
              </c:strCache>
            </c:strRef>
          </c:tx>
          <c:spPr>
            <a:solidFill>
              <a:srgbClr val="59468D"/>
            </a:solidFill>
          </c:spPr>
          <c:invertIfNegative val="0"/>
          <c:cat>
            <c:numRef>
              <c:f>'PRP LA trend tool 2015-22'!$D$38:$K$38</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2015-22'!$D$40:$K$40</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7CE-4AF2-8256-8A751D9EA685}"/>
            </c:ext>
          </c:extLst>
        </c:ser>
        <c:dLbls>
          <c:showLegendKey val="0"/>
          <c:showVal val="0"/>
          <c:showCatName val="0"/>
          <c:showSerName val="0"/>
          <c:showPercent val="0"/>
          <c:showBubbleSize val="0"/>
        </c:dLbls>
        <c:gapWidth val="150"/>
        <c:axId val="192849792"/>
        <c:axId val="192851968"/>
      </c:barChart>
      <c:lineChart>
        <c:grouping val="standard"/>
        <c:varyColors val="0"/>
        <c:ser>
          <c:idx val="0"/>
          <c:order val="1"/>
          <c:tx>
            <c:strRef>
              <c:f>'PRP LA trend tool 2015-22'!$B$45</c:f>
              <c:strCache>
                <c:ptCount val="1"/>
              </c:strCache>
            </c:strRef>
          </c:tx>
          <c:spPr>
            <a:ln>
              <a:solidFill>
                <a:srgbClr val="AECFE6"/>
              </a:solidFill>
            </a:ln>
          </c:spPr>
          <c:marker>
            <c:spPr>
              <a:solidFill>
                <a:srgbClr val="AECFE6"/>
              </a:solidFill>
              <a:ln>
                <a:solidFill>
                  <a:srgbClr val="AECFE6"/>
                </a:solidFill>
              </a:ln>
            </c:spPr>
          </c:marker>
          <c:val>
            <c:numRef>
              <c:f>'PRP LA trend tool 2015-22'!$D$46:$K$46</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37CE-4AF2-8256-8A751D9EA685}"/>
            </c:ext>
          </c:extLst>
        </c:ser>
        <c:ser>
          <c:idx val="1"/>
          <c:order val="2"/>
          <c:tx>
            <c:strRef>
              <c:f>'PRP LA trend tool 2015-22'!$B$51</c:f>
              <c:strCache>
                <c:ptCount val="1"/>
                <c:pt idx="0">
                  <c:v>England</c:v>
                </c:pt>
              </c:strCache>
            </c:strRef>
          </c:tx>
          <c:spPr>
            <a:ln>
              <a:solidFill>
                <a:srgbClr val="FCBE37"/>
              </a:solidFill>
            </a:ln>
          </c:spPr>
          <c:marker>
            <c:symbol val="circle"/>
            <c:size val="7"/>
            <c:spPr>
              <a:solidFill>
                <a:srgbClr val="FCBE37"/>
              </a:solidFill>
              <a:ln>
                <a:solidFill>
                  <a:srgbClr val="FCBE37"/>
                </a:solidFill>
              </a:ln>
            </c:spPr>
          </c:marker>
          <c:val>
            <c:numRef>
              <c:f>'PRP LA trend tool 2015-22'!$D$52:$K$52</c:f>
              <c:numCache>
                <c:formatCode>"£"#,##0.00</c:formatCode>
                <c:ptCount val="8"/>
                <c:pt idx="0">
                  <c:v>95.88</c:v>
                </c:pt>
                <c:pt idx="1">
                  <c:v>97.84</c:v>
                </c:pt>
                <c:pt idx="2">
                  <c:v>96.61</c:v>
                </c:pt>
                <c:pt idx="3">
                  <c:v>96.33</c:v>
                </c:pt>
                <c:pt idx="4">
                  <c:v>95.12</c:v>
                </c:pt>
                <c:pt idx="5">
                  <c:v>94.25</c:v>
                </c:pt>
                <c:pt idx="6">
                  <c:v>96.6</c:v>
                </c:pt>
                <c:pt idx="7">
                  <c:v>98.05</c:v>
                </c:pt>
              </c:numCache>
            </c:numRef>
          </c:val>
          <c:smooth val="0"/>
          <c:extLst>
            <c:ext xmlns:c16="http://schemas.microsoft.com/office/drawing/2014/chart" uri="{C3380CC4-5D6E-409C-BE32-E72D297353CC}">
              <c16:uniqueId val="{00000002-37CE-4AF2-8256-8A751D9EA685}"/>
            </c:ext>
          </c:extLst>
        </c:ser>
        <c:dLbls>
          <c:showLegendKey val="0"/>
          <c:showVal val="0"/>
          <c:showCatName val="0"/>
          <c:showSerName val="0"/>
          <c:showPercent val="0"/>
          <c:showBubbleSize val="0"/>
        </c:dLbls>
        <c:marker val="1"/>
        <c:smooth val="0"/>
        <c:axId val="192849792"/>
        <c:axId val="192851968"/>
      </c:lineChart>
      <c:catAx>
        <c:axId val="192849792"/>
        <c:scaling>
          <c:orientation val="minMax"/>
        </c:scaling>
        <c:delete val="0"/>
        <c:axPos val="b"/>
        <c:numFmt formatCode="General" sourceLinked="1"/>
        <c:majorTickMark val="out"/>
        <c:minorTickMark val="none"/>
        <c:tickLblPos val="nextTo"/>
        <c:spPr>
          <a:ln>
            <a:solidFill>
              <a:schemeClr val="tx1"/>
            </a:solidFill>
          </a:ln>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rossAx val="192851968"/>
        <c:crosses val="autoZero"/>
        <c:auto val="1"/>
        <c:lblAlgn val="ctr"/>
        <c:lblOffset val="100"/>
        <c:noMultiLvlLbl val="0"/>
      </c:catAx>
      <c:valAx>
        <c:axId val="192851968"/>
        <c:scaling>
          <c:orientation val="minMax"/>
        </c:scaling>
        <c:delete val="0"/>
        <c:axPos val="l"/>
        <c:majorGridlines>
          <c:spPr>
            <a:ln>
              <a:solidFill>
                <a:schemeClr val="bg1">
                  <a:lumMod val="75000"/>
                </a:schemeClr>
              </a:solidFill>
            </a:ln>
          </c:spPr>
        </c:majorGridlines>
        <c:numFmt formatCode="&quot;£&quot;#,##0" sourceLinked="0"/>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92849792"/>
        <c:crosses val="autoZero"/>
        <c:crossBetween val="between"/>
      </c:valAx>
      <c:spPr>
        <a:noFill/>
      </c:spPr>
    </c:plotArea>
    <c:legend>
      <c:legendPos val="b"/>
      <c:layout>
        <c:manualLayout>
          <c:xMode val="edge"/>
          <c:yMode val="edge"/>
          <c:x val="3.8207986102889203E-2"/>
          <c:y val="0.92297576322752684"/>
          <c:w val="0.92038886115131813"/>
          <c:h val="5.7834472924930498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'PRP LA trend tool 2015-22'!$B$8</c:f>
          <c:strCache>
            <c:ptCount val="1"/>
            <c:pt idx="0">
              <c:v>Total social units by provision type</c:v>
            </c:pt>
          </c:strCache>
        </c:strRef>
      </c:tx>
      <c:layout>
        <c:manualLayout>
          <c:xMode val="edge"/>
          <c:yMode val="edge"/>
          <c:x val="7.7307297551671133E-3"/>
          <c:y val="7.8714426142512464E-3"/>
        </c:manualLayout>
      </c:layout>
      <c:overlay val="0"/>
      <c:txPr>
        <a:bodyPr/>
        <a:lstStyle/>
        <a:p>
          <a:pPr algn="l">
            <a:defRPr sz="1200">
              <a:solidFill>
                <a:srgbClr val="59468D"/>
              </a:solidFill>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1268427818004711"/>
          <c:y val="0.11440344951169447"/>
          <c:w val="0.85039661648358544"/>
          <c:h val="0.7212804338202744"/>
        </c:manualLayout>
      </c:layout>
      <c:barChart>
        <c:barDir val="col"/>
        <c:grouping val="stacked"/>
        <c:varyColors val="0"/>
        <c:ser>
          <c:idx val="0"/>
          <c:order val="0"/>
          <c:tx>
            <c:strRef>
              <c:f>'PRP LA trend tool 2015-22'!$C$11</c:f>
              <c:strCache>
                <c:ptCount val="1"/>
                <c:pt idx="0">
                  <c:v>General needs</c:v>
                </c:pt>
              </c:strCache>
            </c:strRef>
          </c:tx>
          <c:spPr>
            <a:solidFill>
              <a:srgbClr val="59468D"/>
            </a:solidFill>
          </c:spPr>
          <c:invertIfNegative val="0"/>
          <c:cat>
            <c:numRef>
              <c:f>'PRP LA trend tool 2015-22'!$D$10:$K$10</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2015-22'!$D$11:$K$11</c:f>
              <c:numCache>
                <c:formatCode>#,##0;\-#,##0.00_-;"-"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136-436B-B11A-A4C3B02D58D4}"/>
            </c:ext>
          </c:extLst>
        </c:ser>
        <c:ser>
          <c:idx val="1"/>
          <c:order val="1"/>
          <c:tx>
            <c:strRef>
              <c:f>'PRP LA trend tool 2015-22'!$C$14</c:f>
              <c:strCache>
                <c:ptCount val="1"/>
                <c:pt idx="0">
                  <c:v>Supported housing</c:v>
                </c:pt>
              </c:strCache>
            </c:strRef>
          </c:tx>
          <c:spPr>
            <a:solidFill>
              <a:srgbClr val="AECFE6"/>
            </a:solidFill>
          </c:spPr>
          <c:invertIfNegative val="0"/>
          <c:cat>
            <c:numRef>
              <c:f>'PRP LA trend tool 2015-22'!$D$10:$K$10</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2015-22'!$D$14:$K$14</c:f>
              <c:numCache>
                <c:formatCode>#,##0;\-#,##0.00_-;"-"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A136-436B-B11A-A4C3B02D58D4}"/>
            </c:ext>
          </c:extLst>
        </c:ser>
        <c:ser>
          <c:idx val="2"/>
          <c:order val="2"/>
          <c:tx>
            <c:strRef>
              <c:f>'PRP LA trend tool 2015-22'!$C$15</c:f>
              <c:strCache>
                <c:ptCount val="1"/>
                <c:pt idx="0">
                  <c:v>Housing for older people</c:v>
                </c:pt>
              </c:strCache>
            </c:strRef>
          </c:tx>
          <c:spPr>
            <a:solidFill>
              <a:srgbClr val="FCBE37"/>
            </a:solidFill>
          </c:spPr>
          <c:invertIfNegative val="0"/>
          <c:cat>
            <c:numRef>
              <c:f>'PRP LA trend tool 2015-22'!$D$10:$K$10</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2015-22'!$D$15:$K$15</c:f>
              <c:numCache>
                <c:formatCode>#,##0;\-#,##0.00_-;"-"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A136-436B-B11A-A4C3B02D58D4}"/>
            </c:ext>
          </c:extLst>
        </c:ser>
        <c:ser>
          <c:idx val="3"/>
          <c:order val="3"/>
          <c:tx>
            <c:strRef>
              <c:f>'PRP LA trend tool 2015-22'!$B$16</c:f>
              <c:strCache>
                <c:ptCount val="1"/>
                <c:pt idx="0">
                  <c:v>Low cost home ownership (LCHO)</c:v>
                </c:pt>
              </c:strCache>
            </c:strRef>
          </c:tx>
          <c:spPr>
            <a:solidFill>
              <a:srgbClr val="E1CE9D"/>
            </a:solidFill>
          </c:spPr>
          <c:invertIfNegative val="0"/>
          <c:cat>
            <c:numRef>
              <c:f>'PRP LA trend tool 2015-22'!$D$10:$K$10</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2015-22'!$D$16:$K$16</c:f>
              <c:numCache>
                <c:formatCode>#,##0;\-#,##0.00_-;"-"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A136-436B-B11A-A4C3B02D58D4}"/>
            </c:ext>
          </c:extLst>
        </c:ser>
        <c:dLbls>
          <c:showLegendKey val="0"/>
          <c:showVal val="0"/>
          <c:showCatName val="0"/>
          <c:showSerName val="0"/>
          <c:showPercent val="0"/>
          <c:showBubbleSize val="0"/>
        </c:dLbls>
        <c:gapWidth val="150"/>
        <c:overlap val="100"/>
        <c:axId val="202784768"/>
        <c:axId val="202786304"/>
      </c:barChart>
      <c:catAx>
        <c:axId val="202784768"/>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02786304"/>
        <c:crosses val="autoZero"/>
        <c:auto val="1"/>
        <c:lblAlgn val="ctr"/>
        <c:lblOffset val="100"/>
        <c:noMultiLvlLbl val="0"/>
      </c:catAx>
      <c:valAx>
        <c:axId val="202786304"/>
        <c:scaling>
          <c:orientation val="minMax"/>
        </c:scaling>
        <c:delete val="0"/>
        <c:axPos val="l"/>
        <c:majorGridlines>
          <c:spPr>
            <a:ln>
              <a:solidFill>
                <a:schemeClr val="bg1">
                  <a:lumMod val="75000"/>
                </a:schemeClr>
              </a:solidFill>
            </a:ln>
          </c:spPr>
        </c:majorGridlines>
        <c:numFmt formatCode="#,##0;\-#,##0.00_-;&quot;-&quot;" sourceLinked="1"/>
        <c:majorTickMark val="out"/>
        <c:minorTickMark val="none"/>
        <c:tickLblPos val="nextTo"/>
        <c:spPr>
          <a:ln>
            <a:solidFill>
              <a:schemeClr val="tx1"/>
            </a:solidFill>
          </a:ln>
        </c:spPr>
        <c:txPr>
          <a:bodyPr/>
          <a:lstStyle/>
          <a:p>
            <a:pPr>
              <a:defRPr sz="1000">
                <a:latin typeface="Arial" panose="020B0604020202020204" pitchFamily="34" charset="0"/>
                <a:cs typeface="Arial" panose="020B0604020202020204" pitchFamily="34" charset="0"/>
              </a:defRPr>
            </a:pPr>
            <a:endParaRPr lang="en-US"/>
          </a:p>
        </c:txPr>
        <c:crossAx val="202784768"/>
        <c:crosses val="autoZero"/>
        <c:crossBetween val="between"/>
      </c:valAx>
      <c:spPr>
        <a:solidFill>
          <a:sysClr val="window" lastClr="FFFFFF"/>
        </a:solidFill>
      </c:spPr>
    </c:plotArea>
    <c:legend>
      <c:legendPos val="b"/>
      <c:layout>
        <c:manualLayout>
          <c:xMode val="edge"/>
          <c:yMode val="edge"/>
          <c:x val="0.12624078304661715"/>
          <c:y val="0.8936965590306134"/>
          <c:w val="0.82271034928965592"/>
          <c:h val="9.336609119079238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'PRP LA trend tool 2015-22'!$B$65</c:f>
          <c:strCache>
            <c:ptCount val="1"/>
            <c:pt idx="0">
              <c:v>Average weekly supported housing/housing for older people (social rent) net rent (£ per week)</c:v>
            </c:pt>
          </c:strCache>
        </c:strRef>
      </c:tx>
      <c:layout>
        <c:manualLayout>
          <c:xMode val="edge"/>
          <c:yMode val="edge"/>
          <c:x val="7.6271466088737886E-3"/>
          <c:y val="5.0457387426235834E-3"/>
        </c:manualLayout>
      </c:layout>
      <c:overlay val="0"/>
      <c:txPr>
        <a:bodyPr/>
        <a:lstStyle/>
        <a:p>
          <a:pPr algn="l">
            <a:defRPr sz="1200">
              <a:solidFill>
                <a:srgbClr val="59468D"/>
              </a:solidFill>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0301285541967801"/>
          <c:y val="0.18153024935323792"/>
          <c:w val="0.86503919263113171"/>
          <c:h val="0.69163185112140246"/>
        </c:manualLayout>
      </c:layout>
      <c:barChart>
        <c:barDir val="col"/>
        <c:grouping val="clustered"/>
        <c:varyColors val="0"/>
        <c:ser>
          <c:idx val="0"/>
          <c:order val="0"/>
          <c:tx>
            <c:strRef>
              <c:f>'PRP LA trend tool 2015-22'!$B$67</c:f>
              <c:strCache>
                <c:ptCount val="1"/>
                <c:pt idx="0">
                  <c:v>0</c:v>
                </c:pt>
              </c:strCache>
            </c:strRef>
          </c:tx>
          <c:spPr>
            <a:solidFill>
              <a:srgbClr val="59468D"/>
            </a:solidFill>
          </c:spPr>
          <c:invertIfNegative val="0"/>
          <c:cat>
            <c:numRef>
              <c:f>'PRP LA trend tool 2015-22'!$D$66:$K$66</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2015-22'!$D$68:$K$68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B6A-4CCB-B7BB-296B67B83752}"/>
            </c:ext>
          </c:extLst>
        </c:ser>
        <c:dLbls>
          <c:showLegendKey val="0"/>
          <c:showVal val="0"/>
          <c:showCatName val="0"/>
          <c:showSerName val="0"/>
          <c:showPercent val="0"/>
          <c:showBubbleSize val="0"/>
        </c:dLbls>
        <c:gapWidth val="150"/>
        <c:axId val="202805632"/>
        <c:axId val="202807552"/>
      </c:barChart>
      <c:lineChart>
        <c:grouping val="standard"/>
        <c:varyColors val="0"/>
        <c:ser>
          <c:idx val="1"/>
          <c:order val="1"/>
          <c:tx>
            <c:strRef>
              <c:f>'PRP LA trend tool 2015-22'!$B$73</c:f>
              <c:strCache>
                <c:ptCount val="1"/>
              </c:strCache>
            </c:strRef>
          </c:tx>
          <c:spPr>
            <a:ln>
              <a:solidFill>
                <a:srgbClr val="AECFE6"/>
              </a:solidFill>
            </a:ln>
          </c:spPr>
          <c:marker>
            <c:symbol val="diamond"/>
            <c:size val="7"/>
            <c:spPr>
              <a:solidFill>
                <a:srgbClr val="AECFE6"/>
              </a:solidFill>
              <a:ln>
                <a:solidFill>
                  <a:srgbClr val="AECFE6"/>
                </a:solidFill>
              </a:ln>
            </c:spPr>
          </c:marker>
          <c:val>
            <c:numRef>
              <c:f>'PRP LA trend tool 2015-22'!$D$74:$K$74</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6B6A-4CCB-B7BB-296B67B83752}"/>
            </c:ext>
          </c:extLst>
        </c:ser>
        <c:ser>
          <c:idx val="2"/>
          <c:order val="2"/>
          <c:tx>
            <c:strRef>
              <c:f>'PRP LA trend tool 2015-22'!$B$79</c:f>
              <c:strCache>
                <c:ptCount val="1"/>
                <c:pt idx="0">
                  <c:v>England</c:v>
                </c:pt>
              </c:strCache>
            </c:strRef>
          </c:tx>
          <c:spPr>
            <a:ln>
              <a:solidFill>
                <a:srgbClr val="FCBE37"/>
              </a:solidFill>
            </a:ln>
          </c:spPr>
          <c:marker>
            <c:symbol val="circle"/>
            <c:size val="7"/>
            <c:spPr>
              <a:solidFill>
                <a:srgbClr val="FCBE37"/>
              </a:solidFill>
              <a:ln>
                <a:solidFill>
                  <a:srgbClr val="FCBE37"/>
                </a:solidFill>
              </a:ln>
            </c:spPr>
          </c:marker>
          <c:val>
            <c:numRef>
              <c:f>'PRP LA trend tool 2015-22'!$D$80:$K$80</c:f>
              <c:numCache>
                <c:formatCode>"£"#,##0.00</c:formatCode>
                <c:ptCount val="8"/>
                <c:pt idx="0">
                  <c:v>87.71</c:v>
                </c:pt>
                <c:pt idx="1">
                  <c:v>89.43</c:v>
                </c:pt>
                <c:pt idx="2">
                  <c:v>91.25</c:v>
                </c:pt>
                <c:pt idx="3">
                  <c:v>93.08</c:v>
                </c:pt>
                <c:pt idx="4">
                  <c:v>92.78</c:v>
                </c:pt>
                <c:pt idx="5">
                  <c:v>90.81</c:v>
                </c:pt>
                <c:pt idx="6">
                  <c:v>93.69</c:v>
                </c:pt>
                <c:pt idx="7">
                  <c:v>95.6</c:v>
                </c:pt>
              </c:numCache>
            </c:numRef>
          </c:val>
          <c:smooth val="0"/>
          <c:extLst>
            <c:ext xmlns:c16="http://schemas.microsoft.com/office/drawing/2014/chart" uri="{C3380CC4-5D6E-409C-BE32-E72D297353CC}">
              <c16:uniqueId val="{00000002-6B6A-4CCB-B7BB-296B67B83752}"/>
            </c:ext>
          </c:extLst>
        </c:ser>
        <c:dLbls>
          <c:showLegendKey val="0"/>
          <c:showVal val="0"/>
          <c:showCatName val="0"/>
          <c:showSerName val="0"/>
          <c:showPercent val="0"/>
          <c:showBubbleSize val="0"/>
        </c:dLbls>
        <c:marker val="1"/>
        <c:smooth val="0"/>
        <c:axId val="202805632"/>
        <c:axId val="202807552"/>
      </c:lineChart>
      <c:catAx>
        <c:axId val="202805632"/>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02807552"/>
        <c:crosses val="autoZero"/>
        <c:auto val="1"/>
        <c:lblAlgn val="ctr"/>
        <c:lblOffset val="100"/>
        <c:noMultiLvlLbl val="0"/>
      </c:catAx>
      <c:valAx>
        <c:axId val="202807552"/>
        <c:scaling>
          <c:orientation val="minMax"/>
        </c:scaling>
        <c:delete val="0"/>
        <c:axPos val="l"/>
        <c:majorGridlines>
          <c:spPr>
            <a:ln>
              <a:solidFill>
                <a:schemeClr val="bg1">
                  <a:lumMod val="75000"/>
                </a:schemeClr>
              </a:solidFill>
            </a:ln>
          </c:spPr>
        </c:majorGridlines>
        <c:numFmt formatCode="&quot;£&quot;#,##0" sourceLinked="0"/>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02805632"/>
        <c:crosses val="autoZero"/>
        <c:crossBetween val="between"/>
      </c:valAx>
      <c:spPr>
        <a:noFill/>
      </c:spPr>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'PRP LA trend tool 2015-22'!$B$93</c:f>
          <c:strCache>
            <c:ptCount val="1"/>
            <c:pt idx="0">
              <c:v>Average weekly general needs Affordable Rent gross rent (£ per week)</c:v>
            </c:pt>
          </c:strCache>
        </c:strRef>
      </c:tx>
      <c:layout>
        <c:manualLayout>
          <c:xMode val="edge"/>
          <c:yMode val="edge"/>
          <c:x val="3.3618211819185892E-3"/>
          <c:y val="1.0904283842448605E-2"/>
        </c:manualLayout>
      </c:layout>
      <c:overlay val="0"/>
      <c:txPr>
        <a:bodyPr/>
        <a:lstStyle/>
        <a:p>
          <a:pPr algn="l">
            <a:defRPr sz="1200">
              <a:solidFill>
                <a:srgbClr val="59468D"/>
              </a:solidFill>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0432698662460017"/>
          <c:y val="0.18488140889078256"/>
          <c:w val="0.85761739890707467"/>
          <c:h val="0.64825590608020789"/>
        </c:manualLayout>
      </c:layout>
      <c:barChart>
        <c:barDir val="col"/>
        <c:grouping val="clustered"/>
        <c:varyColors val="0"/>
        <c:ser>
          <c:idx val="0"/>
          <c:order val="0"/>
          <c:tx>
            <c:strRef>
              <c:f>'PRP LA trend tool 2015-22'!$B$95</c:f>
              <c:strCache>
                <c:ptCount val="1"/>
                <c:pt idx="0">
                  <c:v>0</c:v>
                </c:pt>
              </c:strCache>
            </c:strRef>
          </c:tx>
          <c:spPr>
            <a:solidFill>
              <a:srgbClr val="59468D"/>
            </a:solidFill>
          </c:spPr>
          <c:invertIfNegative val="0"/>
          <c:cat>
            <c:numRef>
              <c:f>'PRP LA trend tool 2015-22'!$D$94:$K$94</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2015-22'!$D$96:$K$96</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2E7-40E3-B518-532D262CD342}"/>
            </c:ext>
          </c:extLst>
        </c:ser>
        <c:dLbls>
          <c:showLegendKey val="0"/>
          <c:showVal val="0"/>
          <c:showCatName val="0"/>
          <c:showSerName val="0"/>
          <c:showPercent val="0"/>
          <c:showBubbleSize val="0"/>
        </c:dLbls>
        <c:gapWidth val="150"/>
        <c:axId val="192894080"/>
        <c:axId val="192896000"/>
      </c:barChart>
      <c:lineChart>
        <c:grouping val="standard"/>
        <c:varyColors val="0"/>
        <c:ser>
          <c:idx val="1"/>
          <c:order val="1"/>
          <c:tx>
            <c:strRef>
              <c:f>'PRP LA trend tool 2015-22'!$B$98</c:f>
              <c:strCache>
                <c:ptCount val="1"/>
              </c:strCache>
            </c:strRef>
          </c:tx>
          <c:spPr>
            <a:ln>
              <a:solidFill>
                <a:srgbClr val="AECFE6"/>
              </a:solidFill>
            </a:ln>
          </c:spPr>
          <c:marker>
            <c:symbol val="diamond"/>
            <c:size val="7"/>
            <c:spPr>
              <a:solidFill>
                <a:srgbClr val="AECFE6"/>
              </a:solidFill>
              <a:ln>
                <a:solidFill>
                  <a:srgbClr val="AECFE6"/>
                </a:solidFill>
              </a:ln>
            </c:spPr>
          </c:marker>
          <c:cat>
            <c:numRef>
              <c:f>'PRP LA trend tool 2015-22'!$D$94:$J$94</c:f>
              <c:numCache>
                <c:formatCode>General</c:formatCode>
                <c:ptCount val="7"/>
                <c:pt idx="0">
                  <c:v>2015</c:v>
                </c:pt>
                <c:pt idx="1">
                  <c:v>2016</c:v>
                </c:pt>
                <c:pt idx="2">
                  <c:v>2017</c:v>
                </c:pt>
                <c:pt idx="3">
                  <c:v>2018</c:v>
                </c:pt>
                <c:pt idx="4">
                  <c:v>2019</c:v>
                </c:pt>
                <c:pt idx="5">
                  <c:v>2020</c:v>
                </c:pt>
                <c:pt idx="6">
                  <c:v>2021</c:v>
                </c:pt>
              </c:numCache>
            </c:numRef>
          </c:cat>
          <c:val>
            <c:numRef>
              <c:f>'PRP LA trend tool 2015-22'!$D$99:$K$99</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62E7-40E3-B518-532D262CD342}"/>
            </c:ext>
          </c:extLst>
        </c:ser>
        <c:ser>
          <c:idx val="2"/>
          <c:order val="2"/>
          <c:tx>
            <c:strRef>
              <c:f>'PRP LA trend tool 2015-22'!$B$101</c:f>
              <c:strCache>
                <c:ptCount val="1"/>
                <c:pt idx="0">
                  <c:v>England</c:v>
                </c:pt>
              </c:strCache>
            </c:strRef>
          </c:tx>
          <c:spPr>
            <a:ln>
              <a:solidFill>
                <a:srgbClr val="FCBE37"/>
              </a:solidFill>
            </a:ln>
          </c:spPr>
          <c:marker>
            <c:symbol val="circle"/>
            <c:size val="7"/>
            <c:spPr>
              <a:solidFill>
                <a:srgbClr val="FCBE37"/>
              </a:solidFill>
              <a:ln>
                <a:solidFill>
                  <a:srgbClr val="FCBE37"/>
                </a:solidFill>
              </a:ln>
            </c:spPr>
          </c:marker>
          <c:cat>
            <c:numRef>
              <c:f>'PRP LA trend tool 2015-22'!$D$94:$J$94</c:f>
              <c:numCache>
                <c:formatCode>General</c:formatCode>
                <c:ptCount val="7"/>
                <c:pt idx="0">
                  <c:v>2015</c:v>
                </c:pt>
                <c:pt idx="1">
                  <c:v>2016</c:v>
                </c:pt>
                <c:pt idx="2">
                  <c:v>2017</c:v>
                </c:pt>
                <c:pt idx="3">
                  <c:v>2018</c:v>
                </c:pt>
                <c:pt idx="4">
                  <c:v>2019</c:v>
                </c:pt>
                <c:pt idx="5">
                  <c:v>2020</c:v>
                </c:pt>
                <c:pt idx="6">
                  <c:v>2021</c:v>
                </c:pt>
              </c:numCache>
            </c:numRef>
          </c:cat>
          <c:val>
            <c:numRef>
              <c:f>'PRP LA trend tool 2015-22'!$D$102:$K$102</c:f>
              <c:numCache>
                <c:formatCode>"£"#,##0.00</c:formatCode>
                <c:ptCount val="8"/>
                <c:pt idx="0">
                  <c:v>124.34</c:v>
                </c:pt>
                <c:pt idx="1">
                  <c:v>128.6</c:v>
                </c:pt>
                <c:pt idx="2">
                  <c:v>127.95</c:v>
                </c:pt>
                <c:pt idx="3">
                  <c:v>127.8</c:v>
                </c:pt>
                <c:pt idx="4">
                  <c:v>128.05000000000001</c:v>
                </c:pt>
                <c:pt idx="5">
                  <c:v>128.62</c:v>
                </c:pt>
                <c:pt idx="6">
                  <c:v>133.31</c:v>
                </c:pt>
                <c:pt idx="7">
                  <c:v>136.72</c:v>
                </c:pt>
              </c:numCache>
            </c:numRef>
          </c:val>
          <c:smooth val="0"/>
          <c:extLst>
            <c:ext xmlns:c16="http://schemas.microsoft.com/office/drawing/2014/chart" uri="{C3380CC4-5D6E-409C-BE32-E72D297353CC}">
              <c16:uniqueId val="{00000002-62E7-40E3-B518-532D262CD342}"/>
            </c:ext>
          </c:extLst>
        </c:ser>
        <c:dLbls>
          <c:showLegendKey val="0"/>
          <c:showVal val="0"/>
          <c:showCatName val="0"/>
          <c:showSerName val="0"/>
          <c:showPercent val="0"/>
          <c:showBubbleSize val="0"/>
        </c:dLbls>
        <c:marker val="1"/>
        <c:smooth val="0"/>
        <c:axId val="192894080"/>
        <c:axId val="192896000"/>
      </c:lineChart>
      <c:catAx>
        <c:axId val="192894080"/>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92896000"/>
        <c:crosses val="autoZero"/>
        <c:auto val="1"/>
        <c:lblAlgn val="ctr"/>
        <c:lblOffset val="100"/>
        <c:noMultiLvlLbl val="0"/>
      </c:catAx>
      <c:valAx>
        <c:axId val="192896000"/>
        <c:scaling>
          <c:orientation val="minMax"/>
        </c:scaling>
        <c:delete val="0"/>
        <c:axPos val="l"/>
        <c:majorGridlines>
          <c:spPr>
            <a:ln>
              <a:solidFill>
                <a:schemeClr val="bg1">
                  <a:lumMod val="75000"/>
                </a:schemeClr>
              </a:solidFill>
            </a:ln>
          </c:spPr>
        </c:majorGridlines>
        <c:numFmt formatCode="&quot;£&quot;#,##0" sourceLinked="0"/>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92894080"/>
        <c:crosses val="autoZero"/>
        <c:crossBetween val="between"/>
      </c:valAx>
      <c:spPr>
        <a:noFill/>
      </c:spPr>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'PRP LA trend tool 2015-22'!$B$110</c:f>
          <c:strCache>
            <c:ptCount val="1"/>
            <c:pt idx="0">
              <c:v>Average weekly supported housing/housing for older people Affordable Rent gross rent (£ per week)</c:v>
            </c:pt>
          </c:strCache>
        </c:strRef>
      </c:tx>
      <c:layout>
        <c:manualLayout>
          <c:xMode val="edge"/>
          <c:yMode val="edge"/>
          <c:x val="1.5793644797100744E-3"/>
          <c:y val="3.721425241401823E-3"/>
        </c:manualLayout>
      </c:layout>
      <c:overlay val="0"/>
      <c:txPr>
        <a:bodyPr/>
        <a:lstStyle/>
        <a:p>
          <a:pPr algn="l">
            <a:defRPr sz="1200">
              <a:solidFill>
                <a:srgbClr val="59468D"/>
              </a:solidFill>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0172434221701142"/>
          <c:y val="0.23599432819630134"/>
          <c:w val="0.86232853727954795"/>
          <c:h val="0.59737900313273684"/>
        </c:manualLayout>
      </c:layout>
      <c:barChart>
        <c:barDir val="col"/>
        <c:grouping val="clustered"/>
        <c:varyColors val="0"/>
        <c:ser>
          <c:idx val="0"/>
          <c:order val="0"/>
          <c:tx>
            <c:strRef>
              <c:f>'PRP LA trend tool 2015-22'!$B$112</c:f>
              <c:strCache>
                <c:ptCount val="1"/>
                <c:pt idx="0">
                  <c:v>0</c:v>
                </c:pt>
              </c:strCache>
            </c:strRef>
          </c:tx>
          <c:spPr>
            <a:solidFill>
              <a:srgbClr val="59468D"/>
            </a:solidFill>
          </c:spPr>
          <c:invertIfNegative val="0"/>
          <c:cat>
            <c:numRef>
              <c:f>'PRP LA trend tool 2015-22'!$D$111:$K$111</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2015-22'!$D$113:$K$113</c:f>
              <c:numCache>
                <c:formatCode>"£"#,##0.00;\-#,##0.00_-;"-"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D94-444C-A1B0-1A8286718B10}"/>
            </c:ext>
          </c:extLst>
        </c:ser>
        <c:dLbls>
          <c:showLegendKey val="0"/>
          <c:showVal val="0"/>
          <c:showCatName val="0"/>
          <c:showSerName val="0"/>
          <c:showPercent val="0"/>
          <c:showBubbleSize val="0"/>
        </c:dLbls>
        <c:gapWidth val="150"/>
        <c:axId val="192931712"/>
        <c:axId val="192942080"/>
      </c:barChart>
      <c:lineChart>
        <c:grouping val="standard"/>
        <c:varyColors val="0"/>
        <c:ser>
          <c:idx val="1"/>
          <c:order val="1"/>
          <c:tx>
            <c:strRef>
              <c:f>'PRP LA trend tool 2015-22'!$B$115</c:f>
              <c:strCache>
                <c:ptCount val="1"/>
              </c:strCache>
            </c:strRef>
          </c:tx>
          <c:spPr>
            <a:ln>
              <a:solidFill>
                <a:srgbClr val="AECFE6"/>
              </a:solidFill>
            </a:ln>
          </c:spPr>
          <c:marker>
            <c:symbol val="diamond"/>
            <c:size val="7"/>
            <c:spPr>
              <a:solidFill>
                <a:srgbClr val="AECFE6"/>
              </a:solidFill>
              <a:ln>
                <a:solidFill>
                  <a:srgbClr val="AECFE6"/>
                </a:solidFill>
              </a:ln>
            </c:spPr>
          </c:marker>
          <c:cat>
            <c:numRef>
              <c:f>'PRP LA trend tool 2015-22'!$D$111:$J$111</c:f>
              <c:numCache>
                <c:formatCode>General</c:formatCode>
                <c:ptCount val="7"/>
                <c:pt idx="0">
                  <c:v>2015</c:v>
                </c:pt>
                <c:pt idx="1">
                  <c:v>2016</c:v>
                </c:pt>
                <c:pt idx="2">
                  <c:v>2017</c:v>
                </c:pt>
                <c:pt idx="3">
                  <c:v>2018</c:v>
                </c:pt>
                <c:pt idx="4">
                  <c:v>2019</c:v>
                </c:pt>
                <c:pt idx="5">
                  <c:v>2020</c:v>
                </c:pt>
                <c:pt idx="6">
                  <c:v>2021</c:v>
                </c:pt>
              </c:numCache>
            </c:numRef>
          </c:cat>
          <c:val>
            <c:numRef>
              <c:f>'PRP LA trend tool 2015-22'!$D$116:$K$116</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CD94-444C-A1B0-1A8286718B10}"/>
            </c:ext>
          </c:extLst>
        </c:ser>
        <c:ser>
          <c:idx val="2"/>
          <c:order val="2"/>
          <c:tx>
            <c:strRef>
              <c:f>'PRP LA trend tool 2015-22'!$B$118</c:f>
              <c:strCache>
                <c:ptCount val="1"/>
                <c:pt idx="0">
                  <c:v>England</c:v>
                </c:pt>
              </c:strCache>
            </c:strRef>
          </c:tx>
          <c:spPr>
            <a:ln>
              <a:solidFill>
                <a:srgbClr val="FCBE37"/>
              </a:solidFill>
            </a:ln>
          </c:spPr>
          <c:marker>
            <c:symbol val="circle"/>
            <c:size val="7"/>
            <c:spPr>
              <a:solidFill>
                <a:srgbClr val="FFC000"/>
              </a:solidFill>
              <a:ln>
                <a:solidFill>
                  <a:srgbClr val="FCBE37"/>
                </a:solidFill>
              </a:ln>
            </c:spPr>
          </c:marker>
          <c:cat>
            <c:numRef>
              <c:f>'PRP LA trend tool 2015-22'!$D$111:$J$111</c:f>
              <c:numCache>
                <c:formatCode>General</c:formatCode>
                <c:ptCount val="7"/>
                <c:pt idx="0">
                  <c:v>2015</c:v>
                </c:pt>
                <c:pt idx="1">
                  <c:v>2016</c:v>
                </c:pt>
                <c:pt idx="2">
                  <c:v>2017</c:v>
                </c:pt>
                <c:pt idx="3">
                  <c:v>2018</c:v>
                </c:pt>
                <c:pt idx="4">
                  <c:v>2019</c:v>
                </c:pt>
                <c:pt idx="5">
                  <c:v>2020</c:v>
                </c:pt>
                <c:pt idx="6">
                  <c:v>2021</c:v>
                </c:pt>
              </c:numCache>
            </c:numRef>
          </c:cat>
          <c:val>
            <c:numRef>
              <c:f>'PRP LA trend tool 2015-22'!$D$119:$K$119</c:f>
              <c:numCache>
                <c:formatCode>"£"#,##0.00</c:formatCode>
                <c:ptCount val="8"/>
                <c:pt idx="0">
                  <c:v>146.38999999999999</c:v>
                </c:pt>
                <c:pt idx="1">
                  <c:v>154.62</c:v>
                </c:pt>
                <c:pt idx="2">
                  <c:v>163.69999999999999</c:v>
                </c:pt>
                <c:pt idx="3">
                  <c:v>166.43</c:v>
                </c:pt>
                <c:pt idx="4">
                  <c:v>169.93</c:v>
                </c:pt>
                <c:pt idx="5">
                  <c:v>172.58</c:v>
                </c:pt>
                <c:pt idx="6">
                  <c:v>176.5</c:v>
                </c:pt>
                <c:pt idx="7">
                  <c:v>181.29</c:v>
                </c:pt>
              </c:numCache>
            </c:numRef>
          </c:val>
          <c:smooth val="0"/>
          <c:extLst>
            <c:ext xmlns:c16="http://schemas.microsoft.com/office/drawing/2014/chart" uri="{C3380CC4-5D6E-409C-BE32-E72D297353CC}">
              <c16:uniqueId val="{00000002-CD94-444C-A1B0-1A8286718B10}"/>
            </c:ext>
          </c:extLst>
        </c:ser>
        <c:dLbls>
          <c:showLegendKey val="0"/>
          <c:showVal val="0"/>
          <c:showCatName val="0"/>
          <c:showSerName val="0"/>
          <c:showPercent val="0"/>
          <c:showBubbleSize val="0"/>
        </c:dLbls>
        <c:marker val="1"/>
        <c:smooth val="0"/>
        <c:axId val="192931712"/>
        <c:axId val="192942080"/>
      </c:lineChart>
      <c:catAx>
        <c:axId val="192931712"/>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92942080"/>
        <c:crosses val="autoZero"/>
        <c:auto val="1"/>
        <c:lblAlgn val="ctr"/>
        <c:lblOffset val="100"/>
        <c:noMultiLvlLbl val="0"/>
      </c:catAx>
      <c:valAx>
        <c:axId val="192942080"/>
        <c:scaling>
          <c:orientation val="minMax"/>
        </c:scaling>
        <c:delete val="0"/>
        <c:axPos val="l"/>
        <c:majorGridlines>
          <c:spPr>
            <a:ln>
              <a:solidFill>
                <a:schemeClr val="bg1">
                  <a:lumMod val="75000"/>
                </a:schemeClr>
              </a:solidFill>
            </a:ln>
          </c:spPr>
        </c:majorGridlines>
        <c:numFmt formatCode="&quot;£&quot;#,##0_);\(&quot;£&quot;#,##0\)" sourceLinked="0"/>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92931712"/>
        <c:crosses val="autoZero"/>
        <c:crossBetween val="between"/>
      </c:valAx>
      <c:spPr>
        <a:noFill/>
      </c:spPr>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'PRP LA trend tool 2015-22'!$M$176</c:f>
          <c:strCache>
            <c:ptCount val="1"/>
            <c:pt idx="0">
              <c:v>Vacant general needs self-contained units and percentage of all general needs self-contained units vacant</c:v>
            </c:pt>
          </c:strCache>
        </c:strRef>
      </c:tx>
      <c:layout>
        <c:manualLayout>
          <c:xMode val="edge"/>
          <c:yMode val="edge"/>
          <c:x val="3.2039469456882131E-3"/>
          <c:y val="5.8585115485273445E-3"/>
        </c:manualLayout>
      </c:layout>
      <c:overlay val="0"/>
      <c:txPr>
        <a:bodyPr/>
        <a:lstStyle/>
        <a:p>
          <a:pPr algn="l" rtl="0">
            <a:defRPr lang="en-US" sz="1200" b="1" i="0" u="none" strike="noStrike" kern="1200" baseline="0">
              <a:solidFill>
                <a:srgbClr val="8064A2">
                  <a:lumMod val="75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758065047408646E-2"/>
          <c:y val="0.11864613950534217"/>
          <c:w val="0.81440951936874328"/>
          <c:h val="0.70859634172403729"/>
        </c:manualLayout>
      </c:layout>
      <c:barChart>
        <c:barDir val="col"/>
        <c:grouping val="stacked"/>
        <c:varyColors val="0"/>
        <c:ser>
          <c:idx val="0"/>
          <c:order val="0"/>
          <c:tx>
            <c:strRef>
              <c:f>'PRP LA trend tool 2015-22'!$B$152</c:f>
              <c:strCache>
                <c:ptCount val="1"/>
                <c:pt idx="0">
                  <c:v>Vacant and available for letting</c:v>
                </c:pt>
              </c:strCache>
            </c:strRef>
          </c:tx>
          <c:spPr>
            <a:solidFill>
              <a:srgbClr val="59468D"/>
            </a:solidFill>
          </c:spPr>
          <c:invertIfNegative val="0"/>
          <c:dPt>
            <c:idx val="0"/>
            <c:invertIfNegative val="0"/>
            <c:bubble3D val="0"/>
            <c:spPr>
              <a:solidFill>
                <a:srgbClr val="59468D"/>
              </a:solidFill>
            </c:spPr>
            <c:extLst>
              <c:ext xmlns:c16="http://schemas.microsoft.com/office/drawing/2014/chart" uri="{C3380CC4-5D6E-409C-BE32-E72D297353CC}">
                <c16:uniqueId val="{00000001-FC55-44E9-94CF-AD02F83DCB4B}"/>
              </c:ext>
            </c:extLst>
          </c:dPt>
          <c:cat>
            <c:numRef>
              <c:f>'PRP LA trend tool 2015-22'!$D$149:$K$149</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2015-22'!$D$152:$K$152</c:f>
              <c:numCache>
                <c:formatCode>_-* #,##0_-;\-* #,##0_-;_-*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FC55-44E9-94CF-AD02F83DCB4B}"/>
            </c:ext>
          </c:extLst>
        </c:ser>
        <c:ser>
          <c:idx val="1"/>
          <c:order val="1"/>
          <c:tx>
            <c:strRef>
              <c:f>'PRP LA trend tool 2015-22'!$B$153</c:f>
              <c:strCache>
                <c:ptCount val="1"/>
                <c:pt idx="0">
                  <c:v>Vacant and not available for letting</c:v>
                </c:pt>
              </c:strCache>
            </c:strRef>
          </c:tx>
          <c:spPr>
            <a:solidFill>
              <a:srgbClr val="AECFE6"/>
            </a:solidFill>
          </c:spPr>
          <c:invertIfNegative val="0"/>
          <c:cat>
            <c:numRef>
              <c:f>'PRP LA trend tool 2015-22'!$D$149:$K$149</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2015-22'!$D$153:$K$153</c:f>
              <c:numCache>
                <c:formatCode>_-* #,##0_-;\-* #,##0_-;_-*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FC55-44E9-94CF-AD02F83DCB4B}"/>
            </c:ext>
          </c:extLst>
        </c:ser>
        <c:dLbls>
          <c:showLegendKey val="0"/>
          <c:showVal val="0"/>
          <c:showCatName val="0"/>
          <c:showSerName val="0"/>
          <c:showPercent val="0"/>
          <c:showBubbleSize val="0"/>
        </c:dLbls>
        <c:gapWidth val="92"/>
        <c:overlap val="100"/>
        <c:axId val="192971136"/>
        <c:axId val="192973056"/>
      </c:barChart>
      <c:lineChart>
        <c:grouping val="standard"/>
        <c:varyColors val="0"/>
        <c:ser>
          <c:idx val="2"/>
          <c:order val="2"/>
          <c:tx>
            <c:strRef>
              <c:f>'PRP LA trend tool 2015-22'!$B$155</c:f>
              <c:strCache>
                <c:ptCount val="1"/>
                <c:pt idx="0">
                  <c:v>% of units vacant</c:v>
                </c:pt>
              </c:strCache>
            </c:strRef>
          </c:tx>
          <c:spPr>
            <a:ln>
              <a:solidFill>
                <a:srgbClr val="FCBE37"/>
              </a:solidFill>
            </a:ln>
          </c:spPr>
          <c:marker>
            <c:symbol val="diamond"/>
            <c:size val="5"/>
            <c:spPr>
              <a:solidFill>
                <a:srgbClr val="FCBE37"/>
              </a:solidFill>
              <a:ln>
                <a:solidFill>
                  <a:srgbClr val="FCBE37"/>
                </a:solidFill>
              </a:ln>
            </c:spPr>
          </c:marker>
          <c:cat>
            <c:numRef>
              <c:f>'PRP LA trend tool 2015-22'!$D$149:$J$149</c:f>
              <c:numCache>
                <c:formatCode>General</c:formatCode>
                <c:ptCount val="7"/>
                <c:pt idx="0">
                  <c:v>2015</c:v>
                </c:pt>
                <c:pt idx="1">
                  <c:v>2016</c:v>
                </c:pt>
                <c:pt idx="2">
                  <c:v>2017</c:v>
                </c:pt>
                <c:pt idx="3">
                  <c:v>2018</c:v>
                </c:pt>
                <c:pt idx="4">
                  <c:v>2019</c:v>
                </c:pt>
                <c:pt idx="5">
                  <c:v>2020</c:v>
                </c:pt>
                <c:pt idx="6">
                  <c:v>2021</c:v>
                </c:pt>
              </c:numCache>
            </c:numRef>
          </c:cat>
          <c:val>
            <c:numRef>
              <c:f>'PRP LA trend tool 2015-22'!$D$155:$K$155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FC55-44E9-94CF-AD02F83DCB4B}"/>
            </c:ext>
          </c:extLst>
        </c:ser>
        <c:dLbls>
          <c:showLegendKey val="0"/>
          <c:showVal val="0"/>
          <c:showCatName val="0"/>
          <c:showSerName val="0"/>
          <c:showPercent val="0"/>
          <c:showBubbleSize val="0"/>
        </c:dLbls>
        <c:marker val="1"/>
        <c:smooth val="0"/>
        <c:axId val="192976384"/>
        <c:axId val="192974848"/>
      </c:lineChart>
      <c:catAx>
        <c:axId val="192971136"/>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en-US"/>
          </a:p>
        </c:txPr>
        <c:crossAx val="192973056"/>
        <c:crosses val="autoZero"/>
        <c:auto val="1"/>
        <c:lblAlgn val="ctr"/>
        <c:lblOffset val="100"/>
        <c:noMultiLvlLbl val="0"/>
      </c:catAx>
      <c:valAx>
        <c:axId val="192973056"/>
        <c:scaling>
          <c:orientation val="minMax"/>
        </c:scaling>
        <c:delete val="0"/>
        <c:axPos val="l"/>
        <c:majorGridlines>
          <c:spPr>
            <a:ln>
              <a:solidFill>
                <a:sysClr val="window" lastClr="FFFFFF">
                  <a:lumMod val="75000"/>
                </a:sysClr>
              </a:solidFill>
            </a:ln>
          </c:spPr>
        </c:majorGridlines>
        <c:numFmt formatCode="_-* #,##0_-;\-* #,##0_-;_-* &quot;-&quot;??_-;_-@_-" sourceLinked="1"/>
        <c:majorTickMark val="out"/>
        <c:minorTickMark val="none"/>
        <c:tickLblPos val="nextTo"/>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en-US"/>
          </a:p>
        </c:txPr>
        <c:crossAx val="192971136"/>
        <c:crosses val="autoZero"/>
        <c:crossBetween val="between"/>
      </c:valAx>
      <c:valAx>
        <c:axId val="192974848"/>
        <c:scaling>
          <c:orientation val="minMax"/>
        </c:scaling>
        <c:delete val="0"/>
        <c:axPos val="r"/>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2976384"/>
        <c:crosses val="max"/>
        <c:crossBetween val="between"/>
      </c:valAx>
      <c:catAx>
        <c:axId val="192976384"/>
        <c:scaling>
          <c:orientation val="minMax"/>
        </c:scaling>
        <c:delete val="1"/>
        <c:axPos val="b"/>
        <c:numFmt formatCode="General" sourceLinked="1"/>
        <c:majorTickMark val="out"/>
        <c:minorTickMark val="none"/>
        <c:tickLblPos val="nextTo"/>
        <c:crossAx val="192974848"/>
        <c:crosses val="autoZero"/>
        <c:auto val="1"/>
        <c:lblAlgn val="ctr"/>
        <c:lblOffset val="100"/>
        <c:noMultiLvlLbl val="0"/>
      </c:catAx>
      <c:spPr>
        <a:noFill/>
      </c:spPr>
    </c:plotArea>
    <c:legend>
      <c:legendPos val="b"/>
      <c:layout>
        <c:manualLayout>
          <c:xMode val="edge"/>
          <c:yMode val="edge"/>
          <c:x val="9.2485995151925002E-2"/>
          <c:y val="0.90197448249931356"/>
          <c:w val="0.8288606361940265"/>
          <c:h val="8.3517757281416902E-2"/>
        </c:manualLayout>
      </c:layout>
      <c:overlay val="0"/>
      <c:txPr>
        <a:bodyPr/>
        <a:lstStyle/>
        <a:p>
          <a:pPr rtl="0">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'PRP LA trend tool 2015-22'!$J$126</c:f>
          <c:strCache>
            <c:ptCount val="1"/>
            <c:pt idx="0">
              <c:v>Percentage of sales per year by type for large PRPs</c:v>
            </c:pt>
          </c:strCache>
        </c:strRef>
      </c:tx>
      <c:layout>
        <c:manualLayout>
          <c:xMode val="edge"/>
          <c:yMode val="edge"/>
          <c:x val="4.7244277888922629E-3"/>
          <c:y val="8.636571723514546E-3"/>
        </c:manualLayout>
      </c:layout>
      <c:overlay val="0"/>
      <c:txPr>
        <a:bodyPr/>
        <a:lstStyle/>
        <a:p>
          <a:pPr algn="l">
            <a:defRPr sz="1200">
              <a:solidFill>
                <a:schemeClr val="accent4">
                  <a:lumMod val="75000"/>
                </a:schemeClr>
              </a:solidFill>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9.9938321956074161E-2"/>
          <c:y val="0.12260381090224921"/>
          <c:w val="0.86051728336146505"/>
          <c:h val="0.61875307253540568"/>
        </c:manualLayout>
      </c:layout>
      <c:barChart>
        <c:barDir val="bar"/>
        <c:grouping val="stacked"/>
        <c:varyColors val="0"/>
        <c:ser>
          <c:idx val="0"/>
          <c:order val="0"/>
          <c:tx>
            <c:strRef>
              <c:f>'PRP LA trend tool 2015-22'!$Y$130</c:f>
              <c:strCache>
                <c:ptCount val="1"/>
                <c:pt idx="0">
                  <c:v>Total sales to registered providers</c:v>
                </c:pt>
              </c:strCache>
            </c:strRef>
          </c:tx>
          <c:spPr>
            <a:solidFill>
              <a:srgbClr val="59468D"/>
            </a:solidFill>
          </c:spPr>
          <c:invertIfNegative val="0"/>
          <c:cat>
            <c:numRef>
              <c:f>'PRP LA trend tool 2015-22'!$Z$129:$AG$129</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2015-22'!$Z$130:$AG$130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1A9-456C-A7CB-B339B154BBE2}"/>
            </c:ext>
          </c:extLst>
        </c:ser>
        <c:ser>
          <c:idx val="1"/>
          <c:order val="1"/>
          <c:tx>
            <c:strRef>
              <c:f>'PRP LA trend tool 2015-22'!$Y$131</c:f>
              <c:strCache>
                <c:ptCount val="1"/>
                <c:pt idx="0">
                  <c:v>Total sales to tenants</c:v>
                </c:pt>
              </c:strCache>
            </c:strRef>
          </c:tx>
          <c:spPr>
            <a:solidFill>
              <a:srgbClr val="AECFE6"/>
            </a:solidFill>
          </c:spPr>
          <c:invertIfNegative val="0"/>
          <c:cat>
            <c:numRef>
              <c:f>'PRP LA trend tool 2015-22'!$Z$129:$AG$129</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2015-22'!$Z$131:$AG$131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A1A9-456C-A7CB-B339B154BBE2}"/>
            </c:ext>
          </c:extLst>
        </c:ser>
        <c:ser>
          <c:idx val="2"/>
          <c:order val="2"/>
          <c:tx>
            <c:strRef>
              <c:f>'PRP LA trend tool 2015-22'!$Y$132</c:f>
              <c:strCache>
                <c:ptCount val="1"/>
                <c:pt idx="0">
                  <c:v>Total sales to other</c:v>
                </c:pt>
              </c:strCache>
            </c:strRef>
          </c:tx>
          <c:spPr>
            <a:solidFill>
              <a:srgbClr val="FCBE37"/>
            </a:solidFill>
          </c:spPr>
          <c:invertIfNegative val="0"/>
          <c:cat>
            <c:numRef>
              <c:f>'PRP LA trend tool 2015-22'!$Z$129:$AG$129</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2015-22'!$Z$132:$AG$132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A1A9-456C-A7CB-B339B154BBE2}"/>
            </c:ext>
          </c:extLst>
        </c:ser>
        <c:ser>
          <c:idx val="3"/>
          <c:order val="3"/>
          <c:tx>
            <c:strRef>
              <c:f>'PRP LA trend tool 2015-22'!$Y$133</c:f>
              <c:strCache>
                <c:ptCount val="1"/>
                <c:pt idx="0">
                  <c:v>First tranche low cost home ownership sales</c:v>
                </c:pt>
              </c:strCache>
            </c:strRef>
          </c:tx>
          <c:spPr>
            <a:solidFill>
              <a:srgbClr val="97D88A"/>
            </a:solidFill>
          </c:spPr>
          <c:invertIfNegative val="0"/>
          <c:cat>
            <c:numRef>
              <c:f>'PRP LA trend tool 2015-22'!$Z$129:$AG$129</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2015-22'!$Z$133:$AG$133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A1A9-456C-A7CB-B339B154BBE2}"/>
            </c:ext>
          </c:extLst>
        </c:ser>
        <c:ser>
          <c:idx val="4"/>
          <c:order val="4"/>
          <c:tx>
            <c:strRef>
              <c:f>'PRP LA trend tool 2015-22'!$Y$134</c:f>
              <c:strCache>
                <c:ptCount val="1"/>
                <c:pt idx="0">
                  <c:v>100% staircased low cost home ownership sales</c:v>
                </c:pt>
              </c:strCache>
            </c:strRef>
          </c:tx>
          <c:spPr>
            <a:solidFill>
              <a:srgbClr val="E1CE9D"/>
            </a:solidFill>
          </c:spPr>
          <c:invertIfNegative val="0"/>
          <c:cat>
            <c:numRef>
              <c:f>'PRP LA trend tool 2015-22'!$Z$129:$AG$129</c:f>
              <c:numCache>
                <c:formatCode>General</c:formatCode>
                <c:ptCount val="8"/>
                <c:pt idx="0">
                  <c:v>2015</c:v>
                </c:pt>
                <c:pt idx="1">
                  <c:v>2016</c:v>
                </c:pt>
                <c:pt idx="2">
                  <c:v>2017</c:v>
                </c:pt>
                <c:pt idx="3">
                  <c:v>2018</c:v>
                </c:pt>
                <c:pt idx="4">
                  <c:v>2019</c:v>
                </c:pt>
                <c:pt idx="5">
                  <c:v>2020</c:v>
                </c:pt>
                <c:pt idx="6">
                  <c:v>2021</c:v>
                </c:pt>
                <c:pt idx="7">
                  <c:v>2022</c:v>
                </c:pt>
              </c:numCache>
            </c:numRef>
          </c:cat>
          <c:val>
            <c:numRef>
              <c:f>'PRP LA trend tool 2015-22'!$Z$134:$AG$134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A1A9-456C-A7CB-B339B154BBE2}"/>
            </c:ext>
          </c:extLst>
        </c:ser>
        <c:dLbls>
          <c:showLegendKey val="0"/>
          <c:showVal val="0"/>
          <c:showCatName val="0"/>
          <c:showSerName val="0"/>
          <c:showPercent val="0"/>
          <c:showBubbleSize val="0"/>
        </c:dLbls>
        <c:gapWidth val="80"/>
        <c:overlap val="100"/>
        <c:axId val="434268800"/>
        <c:axId val="434274688"/>
      </c:barChart>
      <c:catAx>
        <c:axId val="434268800"/>
        <c:scaling>
          <c:orientation val="minMax"/>
        </c:scaling>
        <c:delete val="0"/>
        <c:axPos val="l"/>
        <c:numFmt formatCode="General" sourceLinked="1"/>
        <c:majorTickMark val="out"/>
        <c:minorTickMark val="none"/>
        <c:tickLblPos val="nextTo"/>
        <c:spPr>
          <a:ln>
            <a:solidFill>
              <a:sysClr val="windowText" lastClr="000000"/>
            </a:solidFill>
          </a:ln>
        </c:spPr>
        <c:txPr>
          <a:bodyPr/>
          <a:lstStyle/>
          <a:p>
            <a:pPr>
              <a:defRPr sz="1000">
                <a:latin typeface="Arial" panose="020B0604020202020204" pitchFamily="34" charset="0"/>
                <a:cs typeface="Arial" panose="020B0604020202020204" pitchFamily="34" charset="0"/>
              </a:defRPr>
            </a:pPr>
            <a:endParaRPr lang="en-US"/>
          </a:p>
        </c:txPr>
        <c:crossAx val="434274688"/>
        <c:crosses val="autoZero"/>
        <c:auto val="1"/>
        <c:lblAlgn val="ctr"/>
        <c:lblOffset val="100"/>
        <c:noMultiLvlLbl val="0"/>
      </c:catAx>
      <c:valAx>
        <c:axId val="434274688"/>
        <c:scaling>
          <c:orientation val="minMax"/>
          <c:max val="1"/>
        </c:scaling>
        <c:delete val="0"/>
        <c:axPos val="b"/>
        <c:majorGridlines>
          <c:spPr>
            <a:ln>
              <a:solidFill>
                <a:sysClr val="window" lastClr="FFFFFF">
                  <a:lumMod val="75000"/>
                </a:sysClr>
              </a:solidFill>
            </a:ln>
          </c:spPr>
        </c:majorGridlines>
        <c:numFmt formatCode="0%" sourceLinked="1"/>
        <c:majorTickMark val="out"/>
        <c:minorTickMark val="none"/>
        <c:tickLblPos val="nextTo"/>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en-US"/>
          </a:p>
        </c:txPr>
        <c:crossAx val="434268800"/>
        <c:crosses val="autoZero"/>
        <c:crossBetween val="between"/>
      </c:valAx>
    </c:plotArea>
    <c:legend>
      <c:legendPos val="b"/>
      <c:layout>
        <c:manualLayout>
          <c:xMode val="edge"/>
          <c:yMode val="edge"/>
          <c:x val="3.2967834427686263E-2"/>
          <c:y val="0.81867659403313442"/>
          <c:w val="0.96338435930336463"/>
          <c:h val="0.1628047535724701"/>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0"/>
    <c:dispBlanksAs val="gap"/>
    <c:showDLblsOverMax val="0"/>
  </c:chart>
  <c:spPr>
    <a:ln>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4</xdr:col>
      <xdr:colOff>5829300</xdr:colOff>
      <xdr:row>1</xdr:row>
      <xdr:rowOff>22224</xdr:rowOff>
    </xdr:from>
    <xdr:to>
      <xdr:col>10</xdr:col>
      <xdr:colOff>590549</xdr:colOff>
      <xdr:row>7</xdr:row>
      <xdr:rowOff>25400</xdr:rowOff>
    </xdr:to>
    <xdr:sp macro="" textlink="">
      <xdr:nvSpPr>
        <xdr:cNvPr id="2" name="Text Box 2">
          <a:extLst>
            <a:ext uri="{FF2B5EF4-FFF2-40B4-BE49-F238E27FC236}">
              <a16:creationId xmlns:a16="http://schemas.microsoft.com/office/drawing/2014/main" id="{5BE3445B-2033-44BC-A05D-233AD8FB59ED}"/>
            </a:ext>
          </a:extLst>
        </xdr:cNvPr>
        <xdr:cNvSpPr>
          <a:spLocks noChangeArrowheads="1"/>
        </xdr:cNvSpPr>
      </xdr:nvSpPr>
      <xdr:spPr bwMode="auto">
        <a:xfrm>
          <a:off x="7639050" y="250824"/>
          <a:ext cx="4552949" cy="1517651"/>
        </a:xfrm>
        <a:prstGeom prst="roundRect">
          <a:avLst>
            <a:gd name="adj" fmla="val 9648"/>
          </a:avLst>
        </a:prstGeom>
        <a:noFill/>
        <a:ln w="28575" algn="ctr">
          <a:solidFill>
            <a:srgbClr val="59468D"/>
          </a:solidFill>
          <a:round/>
          <a:headEnd/>
          <a:tailEnd/>
        </a:ln>
        <a:effectLst/>
        <a:extLst>
          <a:ext uri="{909E8E84-426E-40DD-AFC4-6F175D3DCCD1}">
            <a14:hiddenFill xmlns:a14="http://schemas.microsoft.com/office/drawing/2010/main">
              <a:solidFill>
                <a:srgbClr val="EEEBF5"/>
              </a:solidFill>
            </a14:hiddenFill>
          </a:ext>
          <a:ext uri="{AF507438-7753-43E0-B8FC-AC1667EBCBE1}">
            <a14:hiddenEffects xmlns:a14="http://schemas.microsoft.com/office/drawing/2010/main">
              <a:effectLst>
                <a:outerShdw sx="0" sy="0" algn="ctr" rotWithShape="0">
                  <a:srgbClr val="59468D">
                    <a:alpha val="0"/>
                  </a:srgbClr>
                </a:outerShdw>
              </a:effectLst>
            </a14:hiddenEffects>
          </a:ext>
        </a:extLst>
      </xdr:spPr>
      <xdr:txBody>
        <a:bodyPr vertOverflow="clip" wrap="square" lIns="91440" tIns="45720" rIns="91440" bIns="45720" anchor="t" upright="1"/>
        <a:lstStyle/>
        <a:p>
          <a:pPr algn="ctr" rtl="0">
            <a:defRPr sz="1000"/>
          </a:pPr>
          <a:r>
            <a:rPr lang="en-GB" sz="1200" b="1" i="0" u="none" strike="noStrike" baseline="0">
              <a:solidFill>
                <a:srgbClr val="594691"/>
              </a:solidFill>
              <a:latin typeface="Arial"/>
              <a:cs typeface="Arial"/>
            </a:rPr>
            <a:t>Why not have your say on our statistics in 2022/23?</a:t>
          </a:r>
        </a:p>
        <a:p>
          <a:pPr algn="ctr" rtl="0">
            <a:defRPr sz="1000"/>
          </a:pPr>
          <a:endParaRPr lang="en-GB" sz="600" b="1" i="0" u="none" strike="noStrike" baseline="0">
            <a:solidFill>
              <a:srgbClr val="594691"/>
            </a:solidFill>
            <a:latin typeface="Arial"/>
            <a:cs typeface="Arial"/>
          </a:endParaRPr>
        </a:p>
        <a:p>
          <a:pPr algn="ctr" rtl="0">
            <a:defRPr sz="1000"/>
          </a:pPr>
          <a:r>
            <a:rPr lang="en-GB" sz="1000" b="0" i="0" u="none" strike="noStrike" baseline="0">
              <a:solidFill>
                <a:srgbClr val="594691"/>
              </a:solidFill>
              <a:latin typeface="Arial"/>
              <a:cs typeface="Arial"/>
            </a:rPr>
            <a:t>Email feedback to </a:t>
          </a:r>
          <a:r>
            <a:rPr lang="en-GB" sz="1000" b="0" i="0" u="none" strike="noStrike" baseline="0">
              <a:solidFill>
                <a:srgbClr val="0000FF"/>
              </a:solidFill>
              <a:latin typeface="Arial"/>
              <a:cs typeface="Arial"/>
            </a:rPr>
            <a:t>enquiries@rsh.gov.uk</a:t>
          </a:r>
          <a:r>
            <a:rPr lang="en-GB" sz="1000" b="0" i="0" u="none" strike="noStrike" baseline="0">
              <a:solidFill>
                <a:srgbClr val="594691"/>
              </a:solidFill>
              <a:latin typeface="Arial"/>
              <a:cs typeface="Arial"/>
            </a:rPr>
            <a:t> or rate how this document meets your needs </a:t>
          </a:r>
          <a:r>
            <a:rPr lang="en-GB" sz="1000" b="1" i="0" u="none" strike="noStrike" baseline="0">
              <a:solidFill>
                <a:srgbClr val="594691"/>
              </a:solidFill>
              <a:latin typeface="Arial"/>
              <a:cs typeface="Arial"/>
            </a:rPr>
            <a:t>by clicking 1 of the 3 options below:</a:t>
          </a:r>
        </a:p>
        <a:p>
          <a:pPr algn="ctr" rtl="0">
            <a:defRPr sz="1000"/>
          </a:pPr>
          <a:endParaRPr lang="en-GB" sz="1000" b="1" i="0" u="none" strike="noStrike" baseline="0">
            <a:solidFill>
              <a:srgbClr val="594691"/>
            </a:solidFill>
            <a:latin typeface="Arial"/>
            <a:cs typeface="Arial"/>
          </a:endParaRPr>
        </a:p>
        <a:p>
          <a:pPr algn="l" rtl="0">
            <a:defRPr sz="1000"/>
          </a:pPr>
          <a:endParaRPr lang="en-GB" sz="1100" b="0" i="0" u="none" strike="noStrike" baseline="0">
            <a:solidFill>
              <a:srgbClr val="00B050"/>
            </a:solidFill>
            <a:latin typeface="Arial"/>
            <a:cs typeface="Arial"/>
          </a:endParaRPr>
        </a:p>
      </xdr:txBody>
    </xdr:sp>
    <xdr:clientData/>
  </xdr:twoCellAnchor>
  <xdr:twoCellAnchor editAs="oneCell">
    <xdr:from>
      <xdr:col>1</xdr:col>
      <xdr:colOff>263526</xdr:colOff>
      <xdr:row>1</xdr:row>
      <xdr:rowOff>206822</xdr:rowOff>
    </xdr:from>
    <xdr:to>
      <xdr:col>4</xdr:col>
      <xdr:colOff>790576</xdr:colOff>
      <xdr:row>5</xdr:row>
      <xdr:rowOff>96801</xdr:rowOff>
    </xdr:to>
    <xdr:pic>
      <xdr:nvPicPr>
        <xdr:cNvPr id="3" name="Picture 2">
          <a:extLst>
            <a:ext uri="{FF2B5EF4-FFF2-40B4-BE49-F238E27FC236}">
              <a16:creationId xmlns:a16="http://schemas.microsoft.com/office/drawing/2014/main" id="{BC720063-A50D-47D4-AE95-71D306030833}"/>
            </a:ext>
          </a:extLst>
        </xdr:cNvPr>
        <xdr:cNvPicPr>
          <a:picLocks noChangeAspect="1"/>
        </xdr:cNvPicPr>
      </xdr:nvPicPr>
      <xdr:blipFill>
        <a:blip xmlns:r="http://schemas.openxmlformats.org/officeDocument/2006/relationships" r:embed="rId1"/>
        <a:stretch>
          <a:fillRect/>
        </a:stretch>
      </xdr:blipFill>
      <xdr:spPr>
        <a:xfrm>
          <a:off x="482601" y="435422"/>
          <a:ext cx="2117725" cy="1042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333375</xdr:colOff>
      <xdr:row>1</xdr:row>
      <xdr:rowOff>19050</xdr:rowOff>
    </xdr:from>
    <xdr:ext cx="1428297" cy="727075"/>
    <xdr:pic>
      <xdr:nvPicPr>
        <xdr:cNvPr id="2" name="Picture 1">
          <a:extLst>
            <a:ext uri="{FF2B5EF4-FFF2-40B4-BE49-F238E27FC236}">
              <a16:creationId xmlns:a16="http://schemas.microsoft.com/office/drawing/2014/main" id="{66777289-B530-4507-B8B4-E03892C1C2FC}"/>
            </a:ext>
          </a:extLst>
        </xdr:cNvPr>
        <xdr:cNvPicPr>
          <a:picLocks noChangeAspect="1"/>
        </xdr:cNvPicPr>
      </xdr:nvPicPr>
      <xdr:blipFill>
        <a:blip xmlns:r="http://schemas.openxmlformats.org/officeDocument/2006/relationships" r:embed="rId1"/>
        <a:stretch>
          <a:fillRect/>
        </a:stretch>
      </xdr:blipFill>
      <xdr:spPr>
        <a:xfrm>
          <a:off x="333375" y="314325"/>
          <a:ext cx="1428297" cy="7270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206375</xdr:colOff>
      <xdr:row>0</xdr:row>
      <xdr:rowOff>282575</xdr:rowOff>
    </xdr:from>
    <xdr:ext cx="1384638" cy="704850"/>
    <xdr:pic>
      <xdr:nvPicPr>
        <xdr:cNvPr id="2" name="Picture 1">
          <a:extLst>
            <a:ext uri="{FF2B5EF4-FFF2-40B4-BE49-F238E27FC236}">
              <a16:creationId xmlns:a16="http://schemas.microsoft.com/office/drawing/2014/main" id="{B2011ED5-191B-450A-8F21-956A66D0D598}"/>
            </a:ext>
          </a:extLst>
        </xdr:cNvPr>
        <xdr:cNvPicPr>
          <a:picLocks noChangeAspect="1"/>
        </xdr:cNvPicPr>
      </xdr:nvPicPr>
      <xdr:blipFill>
        <a:blip xmlns:r="http://schemas.openxmlformats.org/officeDocument/2006/relationships" r:embed="rId1"/>
        <a:stretch>
          <a:fillRect/>
        </a:stretch>
      </xdr:blipFill>
      <xdr:spPr>
        <a:xfrm>
          <a:off x="311150" y="282575"/>
          <a:ext cx="1384638" cy="7048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11</xdr:col>
      <xdr:colOff>142011</xdr:colOff>
      <xdr:row>35</xdr:row>
      <xdr:rowOff>2683</xdr:rowOff>
    </xdr:from>
    <xdr:to>
      <xdr:col>23</xdr:col>
      <xdr:colOff>0</xdr:colOff>
      <xdr:row>61</xdr:row>
      <xdr:rowOff>1548</xdr:rowOff>
    </xdr:to>
    <xdr:graphicFrame macro="">
      <xdr:nvGraphicFramePr>
        <xdr:cNvPr id="2" name="Chart 1">
          <a:extLst>
            <a:ext uri="{FF2B5EF4-FFF2-40B4-BE49-F238E27FC236}">
              <a16:creationId xmlns:a16="http://schemas.microsoft.com/office/drawing/2014/main" id="{BC71E521-2C2F-421C-B733-4AE30BBA9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145187</xdr:colOff>
      <xdr:row>7</xdr:row>
      <xdr:rowOff>549</xdr:rowOff>
    </xdr:from>
    <xdr:to>
      <xdr:col>23</xdr:col>
      <xdr:colOff>0</xdr:colOff>
      <xdr:row>34</xdr:row>
      <xdr:rowOff>0</xdr:rowOff>
    </xdr:to>
    <xdr:graphicFrame macro="">
      <xdr:nvGraphicFramePr>
        <xdr:cNvPr id="3" name="Chart 2">
          <a:extLst>
            <a:ext uri="{FF2B5EF4-FFF2-40B4-BE49-F238E27FC236}">
              <a16:creationId xmlns:a16="http://schemas.microsoft.com/office/drawing/2014/main" id="{043D763D-F149-43A7-A726-2213A239F8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142012</xdr:colOff>
      <xdr:row>62</xdr:row>
      <xdr:rowOff>10476</xdr:rowOff>
    </xdr:from>
    <xdr:to>
      <xdr:col>23</xdr:col>
      <xdr:colOff>0</xdr:colOff>
      <xdr:row>89</xdr:row>
      <xdr:rowOff>1</xdr:rowOff>
    </xdr:to>
    <xdr:graphicFrame macro="">
      <xdr:nvGraphicFramePr>
        <xdr:cNvPr id="5" name="Chart 4">
          <a:extLst>
            <a:ext uri="{FF2B5EF4-FFF2-40B4-BE49-F238E27FC236}">
              <a16:creationId xmlns:a16="http://schemas.microsoft.com/office/drawing/2014/main" id="{9CFEFB11-E86E-4760-A535-FEC265DE3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145186</xdr:colOff>
      <xdr:row>90</xdr:row>
      <xdr:rowOff>2224</xdr:rowOff>
    </xdr:from>
    <xdr:to>
      <xdr:col>23</xdr:col>
      <xdr:colOff>3174</xdr:colOff>
      <xdr:row>105</xdr:row>
      <xdr:rowOff>152400</xdr:rowOff>
    </xdr:to>
    <xdr:graphicFrame macro="">
      <xdr:nvGraphicFramePr>
        <xdr:cNvPr id="6" name="Chart 5">
          <a:extLst>
            <a:ext uri="{FF2B5EF4-FFF2-40B4-BE49-F238E27FC236}">
              <a16:creationId xmlns:a16="http://schemas.microsoft.com/office/drawing/2014/main" id="{0935598D-3B14-4EA2-8CD2-7ACFE6C34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145188</xdr:colOff>
      <xdr:row>107</xdr:row>
      <xdr:rowOff>0</xdr:rowOff>
    </xdr:from>
    <xdr:to>
      <xdr:col>23</xdr:col>
      <xdr:colOff>1</xdr:colOff>
      <xdr:row>123</xdr:row>
      <xdr:rowOff>790</xdr:rowOff>
    </xdr:to>
    <xdr:graphicFrame macro="">
      <xdr:nvGraphicFramePr>
        <xdr:cNvPr id="7" name="Chart 6">
          <a:extLst>
            <a:ext uri="{FF2B5EF4-FFF2-40B4-BE49-F238E27FC236}">
              <a16:creationId xmlns:a16="http://schemas.microsoft.com/office/drawing/2014/main" id="{F8D382CA-2F69-46A3-9142-6CCB1AF898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142012</xdr:colOff>
      <xdr:row>146</xdr:row>
      <xdr:rowOff>1628</xdr:rowOff>
    </xdr:from>
    <xdr:to>
      <xdr:col>23</xdr:col>
      <xdr:colOff>0</xdr:colOff>
      <xdr:row>178</xdr:row>
      <xdr:rowOff>0</xdr:rowOff>
    </xdr:to>
    <xdr:graphicFrame macro="">
      <xdr:nvGraphicFramePr>
        <xdr:cNvPr id="8" name="Chart 7">
          <a:extLst>
            <a:ext uri="{FF2B5EF4-FFF2-40B4-BE49-F238E27FC236}">
              <a16:creationId xmlns:a16="http://schemas.microsoft.com/office/drawing/2014/main" id="{5F08E1EB-8684-4AC3-A3BB-CD49F8E80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142013</xdr:colOff>
      <xdr:row>124</xdr:row>
      <xdr:rowOff>521</xdr:rowOff>
    </xdr:from>
    <xdr:to>
      <xdr:col>23</xdr:col>
      <xdr:colOff>1</xdr:colOff>
      <xdr:row>145</xdr:row>
      <xdr:rowOff>0</xdr:rowOff>
    </xdr:to>
    <xdr:graphicFrame macro="">
      <xdr:nvGraphicFramePr>
        <xdr:cNvPr id="9" name="Chart 4">
          <a:extLst>
            <a:ext uri="{FF2B5EF4-FFF2-40B4-BE49-F238E27FC236}">
              <a16:creationId xmlns:a16="http://schemas.microsoft.com/office/drawing/2014/main" id="{9D546350-6DD6-4232-9DBD-990992DE17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xdr:col>
      <xdr:colOff>180975</xdr:colOff>
      <xdr:row>0</xdr:row>
      <xdr:rowOff>381000</xdr:rowOff>
    </xdr:from>
    <xdr:ext cx="1740153" cy="885825"/>
    <xdr:pic>
      <xdr:nvPicPr>
        <xdr:cNvPr id="14" name="Picture 13">
          <a:extLst>
            <a:ext uri="{FF2B5EF4-FFF2-40B4-BE49-F238E27FC236}">
              <a16:creationId xmlns:a16="http://schemas.microsoft.com/office/drawing/2014/main" id="{A84CD062-62AE-4914-A036-445EEE1D95AD}"/>
            </a:ext>
          </a:extLst>
        </xdr:cNvPr>
        <xdr:cNvPicPr>
          <a:picLocks noChangeAspect="1"/>
        </xdr:cNvPicPr>
      </xdr:nvPicPr>
      <xdr:blipFill>
        <a:blip xmlns:r="http://schemas.openxmlformats.org/officeDocument/2006/relationships" r:embed="rId8"/>
        <a:stretch>
          <a:fillRect/>
        </a:stretch>
      </xdr:blipFill>
      <xdr:spPr>
        <a:xfrm>
          <a:off x="400050" y="381000"/>
          <a:ext cx="1740153" cy="88582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38099</xdr:colOff>
      <xdr:row>14</xdr:row>
      <xdr:rowOff>95250</xdr:rowOff>
    </xdr:from>
    <xdr:to>
      <xdr:col>9</xdr:col>
      <xdr:colOff>294626</xdr:colOff>
      <xdr:row>22</xdr:row>
      <xdr:rowOff>120650</xdr:rowOff>
    </xdr:to>
    <xdr:pic>
      <xdr:nvPicPr>
        <xdr:cNvPr id="5" name="Picture 4">
          <a:extLst>
            <a:ext uri="{FF2B5EF4-FFF2-40B4-BE49-F238E27FC236}">
              <a16:creationId xmlns:a16="http://schemas.microsoft.com/office/drawing/2014/main" id="{8A3B3295-74E6-4138-8B75-2AEA274B8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1752600"/>
          <a:ext cx="5139677" cy="147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25400</xdr:colOff>
      <xdr:row>27</xdr:row>
      <xdr:rowOff>82549</xdr:rowOff>
    </xdr:from>
    <xdr:to>
      <xdr:col>9</xdr:col>
      <xdr:colOff>267834</xdr:colOff>
      <xdr:row>32</xdr:row>
      <xdr:rowOff>136524</xdr:rowOff>
    </xdr:to>
    <xdr:pic>
      <xdr:nvPicPr>
        <xdr:cNvPr id="6" name="Picture 5">
          <a:extLst>
            <a:ext uri="{FF2B5EF4-FFF2-40B4-BE49-F238E27FC236}">
              <a16:creationId xmlns:a16="http://schemas.microsoft.com/office/drawing/2014/main" id="{88981A17-7EFC-409E-9B15-EBCA005D3F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800" y="4146549"/>
          <a:ext cx="5116059" cy="955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35</xdr:row>
      <xdr:rowOff>120649</xdr:rowOff>
    </xdr:from>
    <xdr:to>
      <xdr:col>9</xdr:col>
      <xdr:colOff>209550</xdr:colOff>
      <xdr:row>43</xdr:row>
      <xdr:rowOff>136070</xdr:rowOff>
    </xdr:to>
    <xdr:pic>
      <xdr:nvPicPr>
        <xdr:cNvPr id="7" name="Picture 6">
          <a:extLst>
            <a:ext uri="{FF2B5EF4-FFF2-40B4-BE49-F238E27FC236}">
              <a16:creationId xmlns:a16="http://schemas.microsoft.com/office/drawing/2014/main" id="{AC96B7E0-9523-4E2D-8217-18469CD80A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 y="5657849"/>
          <a:ext cx="5067300" cy="1460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133349</xdr:colOff>
      <xdr:row>4</xdr:row>
      <xdr:rowOff>95250</xdr:rowOff>
    </xdr:from>
    <xdr:to>
      <xdr:col>9</xdr:col>
      <xdr:colOff>313251</xdr:colOff>
      <xdr:row>10</xdr:row>
      <xdr:rowOff>38100</xdr:rowOff>
    </xdr:to>
    <xdr:pic>
      <xdr:nvPicPr>
        <xdr:cNvPr id="8" name="Picture 7">
          <a:extLst>
            <a:ext uri="{FF2B5EF4-FFF2-40B4-BE49-F238E27FC236}">
              <a16:creationId xmlns:a16="http://schemas.microsoft.com/office/drawing/2014/main" id="{A0E6434C-103C-4910-B333-FC8C02446E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349" y="990600"/>
          <a:ext cx="5440877"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46</xdr:row>
      <xdr:rowOff>133350</xdr:rowOff>
    </xdr:from>
    <xdr:to>
      <xdr:col>9</xdr:col>
      <xdr:colOff>215900</xdr:colOff>
      <xdr:row>52</xdr:row>
      <xdr:rowOff>64646</xdr:rowOff>
    </xdr:to>
    <xdr:pic>
      <xdr:nvPicPr>
        <xdr:cNvPr id="3" name="Picture 2">
          <a:extLst>
            <a:ext uri="{FF2B5EF4-FFF2-40B4-BE49-F238E27FC236}">
              <a16:creationId xmlns:a16="http://schemas.microsoft.com/office/drawing/2014/main" id="{90EF4152-D530-41A9-AFC7-20AB163ED697}"/>
            </a:ext>
          </a:extLst>
        </xdr:cNvPr>
        <xdr:cNvPicPr>
          <a:picLocks noChangeAspect="1"/>
        </xdr:cNvPicPr>
      </xdr:nvPicPr>
      <xdr:blipFill>
        <a:blip xmlns:r="http://schemas.openxmlformats.org/officeDocument/2006/relationships" r:embed="rId5"/>
        <a:stretch>
          <a:fillRect/>
        </a:stretch>
      </xdr:blipFill>
      <xdr:spPr>
        <a:xfrm>
          <a:off x="76200" y="8667750"/>
          <a:ext cx="5400675" cy="1020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enquiries@rsh.gov.uk?subject=Trend%20Lookup%20tool%20meets%20no%20needs" TargetMode="External"/><Relationship Id="rId2" Type="http://schemas.openxmlformats.org/officeDocument/2006/relationships/hyperlink" Target="mailto:enquiries@rsh.gov.uk?subject=Trend%20Lookup%20tool%20meets%20some%20needs" TargetMode="External"/><Relationship Id="rId1" Type="http://schemas.openxmlformats.org/officeDocument/2006/relationships/hyperlink" Target="mailto:enquiries@rsh.gov.uk?subject=Trend%20Lookup%20tool%20meets%20my%20need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enquiries@rsh.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london.gov.uk/what-we-do/housing-and-land/homes-londoners-affordable-homes-programmes/homes-londoners-affordable-homes-programme-2016-2023"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enquiries@rsh.gov.uk"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47881-1859-4E51-9F4F-BE96120BC3B5}">
  <sheetPr codeName="Sheet8">
    <tabColor rgb="FF59468D"/>
    <pageSetUpPr fitToPage="1"/>
  </sheetPr>
  <dimension ref="A1:K54"/>
  <sheetViews>
    <sheetView tabSelected="1" workbookViewId="0">
      <selection activeCell="B11" sqref="B11:J18"/>
    </sheetView>
  </sheetViews>
  <sheetFormatPr defaultColWidth="9.1796875" defaultRowHeight="14.5" x14ac:dyDescent="0.35"/>
  <cols>
    <col min="1" max="1" width="3.1796875" style="196" customWidth="1"/>
    <col min="2" max="3" width="9.1796875" style="196"/>
    <col min="4" max="4" width="4.54296875" style="196" customWidth="1"/>
    <col min="5" max="5" width="94.54296875" style="196" customWidth="1"/>
    <col min="6" max="16384" width="9.1796875" style="196"/>
  </cols>
  <sheetData>
    <row r="1" spans="2:11" ht="18" customHeight="1" x14ac:dyDescent="0.35"/>
    <row r="2" spans="2:11" ht="18" customHeight="1" x14ac:dyDescent="0.35"/>
    <row r="3" spans="2:11" ht="18" customHeight="1" x14ac:dyDescent="0.35"/>
    <row r="4" spans="2:11" ht="18" customHeight="1" x14ac:dyDescent="0.35"/>
    <row r="5" spans="2:11" ht="37" x14ac:dyDescent="0.7">
      <c r="F5" s="197" t="s">
        <v>714</v>
      </c>
      <c r="G5" s="198"/>
      <c r="H5" s="199" t="s">
        <v>715</v>
      </c>
      <c r="I5" s="200"/>
      <c r="J5" s="201" t="s">
        <v>716</v>
      </c>
      <c r="K5" s="202"/>
    </row>
    <row r="6" spans="2:11" x14ac:dyDescent="0.35">
      <c r="F6" s="203" t="s">
        <v>717</v>
      </c>
      <c r="G6" s="203"/>
      <c r="H6" s="204" t="s">
        <v>718</v>
      </c>
      <c r="I6" s="205"/>
      <c r="J6" s="206" t="s">
        <v>719</v>
      </c>
      <c r="K6" s="207"/>
    </row>
    <row r="9" spans="2:11" ht="35" x14ac:dyDescent="0.7">
      <c r="B9" s="208" t="s">
        <v>799</v>
      </c>
    </row>
    <row r="11" spans="2:11" x14ac:dyDescent="0.35">
      <c r="B11" s="416" t="s">
        <v>820</v>
      </c>
      <c r="C11" s="417"/>
      <c r="D11" s="417"/>
      <c r="E11" s="417"/>
      <c r="F11" s="417"/>
      <c r="G11" s="417"/>
      <c r="H11" s="417"/>
      <c r="I11" s="417"/>
      <c r="J11" s="417"/>
    </row>
    <row r="12" spans="2:11" x14ac:dyDescent="0.35">
      <c r="B12" s="417"/>
      <c r="C12" s="417"/>
      <c r="D12" s="417"/>
      <c r="E12" s="417"/>
      <c r="F12" s="417"/>
      <c r="G12" s="417"/>
      <c r="H12" s="417"/>
      <c r="I12" s="417"/>
      <c r="J12" s="417"/>
    </row>
    <row r="13" spans="2:11" x14ac:dyDescent="0.35">
      <c r="B13" s="417"/>
      <c r="C13" s="417"/>
      <c r="D13" s="417"/>
      <c r="E13" s="417"/>
      <c r="F13" s="417"/>
      <c r="G13" s="417"/>
      <c r="H13" s="417"/>
      <c r="I13" s="417"/>
      <c r="J13" s="417"/>
    </row>
    <row r="14" spans="2:11" ht="14.5" customHeight="1" x14ac:dyDescent="0.35">
      <c r="B14" s="417"/>
      <c r="C14" s="417"/>
      <c r="D14" s="417"/>
      <c r="E14" s="417"/>
      <c r="F14" s="417"/>
      <c r="G14" s="417"/>
      <c r="H14" s="417"/>
      <c r="I14" s="417"/>
      <c r="J14" s="417"/>
    </row>
    <row r="15" spans="2:11" x14ac:dyDescent="0.35">
      <c r="B15" s="417"/>
      <c r="C15" s="417"/>
      <c r="D15" s="417"/>
      <c r="E15" s="417"/>
      <c r="F15" s="417"/>
      <c r="G15" s="417"/>
      <c r="H15" s="417"/>
      <c r="I15" s="417"/>
      <c r="J15" s="417"/>
    </row>
    <row r="16" spans="2:11" x14ac:dyDescent="0.35">
      <c r="B16" s="417"/>
      <c r="C16" s="417"/>
      <c r="D16" s="417"/>
      <c r="E16" s="417"/>
      <c r="F16" s="417"/>
      <c r="G16" s="417"/>
      <c r="H16" s="417"/>
      <c r="I16" s="417"/>
      <c r="J16" s="417"/>
    </row>
    <row r="17" spans="1:10" x14ac:dyDescent="0.35">
      <c r="B17" s="417"/>
      <c r="C17" s="417"/>
      <c r="D17" s="417"/>
      <c r="E17" s="417"/>
      <c r="F17" s="417"/>
      <c r="G17" s="417"/>
      <c r="H17" s="417"/>
      <c r="I17" s="417"/>
      <c r="J17" s="417"/>
    </row>
    <row r="18" spans="1:10" ht="48" customHeight="1" x14ac:dyDescent="0.35">
      <c r="B18" s="417"/>
      <c r="C18" s="417"/>
      <c r="D18" s="417"/>
      <c r="E18" s="417"/>
      <c r="F18" s="417"/>
      <c r="G18" s="417"/>
      <c r="H18" s="417"/>
      <c r="I18" s="417"/>
      <c r="J18" s="417"/>
    </row>
    <row r="19" spans="1:10" ht="79.5" customHeight="1" x14ac:dyDescent="0.35">
      <c r="B19" s="420" t="s">
        <v>800</v>
      </c>
      <c r="C19" s="420"/>
      <c r="D19" s="420"/>
      <c r="E19" s="420"/>
      <c r="F19" s="420"/>
      <c r="G19" s="420"/>
      <c r="H19" s="420"/>
      <c r="I19" s="420"/>
      <c r="J19" s="420"/>
    </row>
    <row r="20" spans="1:10" ht="34" customHeight="1" x14ac:dyDescent="0.5">
      <c r="B20" s="418" t="s">
        <v>720</v>
      </c>
      <c r="C20" s="418"/>
      <c r="D20" s="418"/>
      <c r="E20" s="418"/>
      <c r="F20" s="418"/>
      <c r="G20" s="418"/>
      <c r="H20" s="418"/>
      <c r="I20" s="418"/>
      <c r="J20" s="418"/>
    </row>
    <row r="21" spans="1:10" ht="14.5" customHeight="1" x14ac:dyDescent="0.35">
      <c r="B21" s="209"/>
      <c r="C21" s="209"/>
      <c r="D21" s="209"/>
      <c r="E21" s="209"/>
    </row>
    <row r="22" spans="1:10" ht="14.5" customHeight="1" x14ac:dyDescent="0.35">
      <c r="B22" s="210" t="s">
        <v>721</v>
      </c>
      <c r="C22" s="211"/>
      <c r="D22" s="211"/>
      <c r="E22" s="211" t="s">
        <v>722</v>
      </c>
    </row>
    <row r="23" spans="1:10" ht="14.5" customHeight="1" x14ac:dyDescent="0.35">
      <c r="B23" s="212"/>
      <c r="C23" s="212"/>
      <c r="D23" s="212"/>
      <c r="E23" s="212"/>
      <c r="F23" s="212"/>
    </row>
    <row r="24" spans="1:10" ht="15.5" x14ac:dyDescent="0.35">
      <c r="A24" s="212"/>
      <c r="B24" s="362" t="s">
        <v>723</v>
      </c>
      <c r="C24" s="212"/>
      <c r="D24" s="212"/>
      <c r="E24" s="212"/>
      <c r="F24" s="212"/>
    </row>
    <row r="25" spans="1:10" ht="15.5" x14ac:dyDescent="0.35">
      <c r="A25" s="212"/>
      <c r="B25" s="212"/>
      <c r="C25" s="212"/>
      <c r="D25" s="212"/>
      <c r="E25" s="212"/>
      <c r="F25" s="212"/>
    </row>
    <row r="26" spans="1:10" ht="15.5" x14ac:dyDescent="0.35">
      <c r="A26" s="212"/>
      <c r="B26" s="419" t="s">
        <v>802</v>
      </c>
      <c r="C26" s="419"/>
      <c r="D26" s="419"/>
      <c r="E26" s="419"/>
      <c r="F26" s="212"/>
    </row>
    <row r="27" spans="1:10" ht="15.5" x14ac:dyDescent="0.35">
      <c r="A27" s="212"/>
      <c r="B27" s="212"/>
      <c r="C27" s="212"/>
      <c r="D27" s="212"/>
      <c r="E27" s="212"/>
      <c r="F27" s="212"/>
    </row>
    <row r="28" spans="1:10" ht="15.5" x14ac:dyDescent="0.35">
      <c r="A28" s="212"/>
      <c r="B28" s="214">
        <v>1</v>
      </c>
      <c r="C28" s="212"/>
      <c r="D28" s="212"/>
      <c r="E28" s="408" t="s">
        <v>724</v>
      </c>
      <c r="F28" s="212"/>
    </row>
    <row r="29" spans="1:10" ht="15.5" x14ac:dyDescent="0.35">
      <c r="A29" s="212"/>
      <c r="B29" s="214"/>
      <c r="C29" s="212"/>
      <c r="D29" s="212"/>
      <c r="E29" s="212"/>
      <c r="F29" s="212"/>
    </row>
    <row r="30" spans="1:10" ht="15.5" x14ac:dyDescent="0.35">
      <c r="A30" s="212"/>
      <c r="B30" s="214">
        <v>2</v>
      </c>
      <c r="C30" s="212"/>
      <c r="D30" s="212"/>
      <c r="E30" s="408" t="s">
        <v>725</v>
      </c>
      <c r="F30" s="212"/>
    </row>
    <row r="31" spans="1:10" ht="15.5" x14ac:dyDescent="0.35">
      <c r="A31" s="212"/>
      <c r="B31" s="214"/>
      <c r="C31" s="212"/>
      <c r="D31" s="212"/>
      <c r="E31" s="212"/>
      <c r="F31" s="212"/>
    </row>
    <row r="32" spans="1:10" ht="15.5" x14ac:dyDescent="0.35">
      <c r="A32" s="212"/>
      <c r="B32" s="214">
        <v>3</v>
      </c>
      <c r="C32" s="212"/>
      <c r="D32" s="212"/>
      <c r="E32" s="408" t="s">
        <v>726</v>
      </c>
      <c r="F32" s="212"/>
    </row>
    <row r="33" spans="1:6" ht="15.5" x14ac:dyDescent="0.35">
      <c r="A33" s="212"/>
      <c r="B33" s="214"/>
      <c r="C33" s="212"/>
      <c r="D33" s="212"/>
      <c r="E33" s="212"/>
      <c r="F33" s="212"/>
    </row>
    <row r="34" spans="1:6" ht="15.5" x14ac:dyDescent="0.35">
      <c r="A34" s="212"/>
      <c r="B34" s="214">
        <v>4</v>
      </c>
      <c r="C34" s="212"/>
      <c r="D34" s="212"/>
      <c r="E34" s="408" t="s">
        <v>790</v>
      </c>
      <c r="F34" s="212"/>
    </row>
    <row r="35" spans="1:6" ht="15.5" x14ac:dyDescent="0.35">
      <c r="A35" s="212"/>
      <c r="B35" s="214"/>
      <c r="C35" s="212"/>
      <c r="D35" s="212"/>
      <c r="E35" s="212"/>
      <c r="F35" s="212"/>
    </row>
    <row r="36" spans="1:6" ht="15.5" x14ac:dyDescent="0.35">
      <c r="A36" s="212"/>
      <c r="B36" s="214">
        <v>5</v>
      </c>
      <c r="C36" s="212"/>
      <c r="D36" s="212"/>
      <c r="E36" s="408" t="s">
        <v>727</v>
      </c>
      <c r="F36" s="212"/>
    </row>
    <row r="37" spans="1:6" ht="15.5" x14ac:dyDescent="0.35">
      <c r="A37" s="212"/>
      <c r="B37" s="214"/>
      <c r="C37" s="212"/>
      <c r="D37" s="212"/>
      <c r="E37" s="212"/>
      <c r="F37" s="212"/>
    </row>
    <row r="38" spans="1:6" ht="15.5" x14ac:dyDescent="0.35">
      <c r="A38" s="212"/>
      <c r="B38" s="214">
        <v>6</v>
      </c>
      <c r="C38" s="212"/>
      <c r="D38" s="212"/>
      <c r="E38" s="408" t="s">
        <v>728</v>
      </c>
      <c r="F38" s="212"/>
    </row>
    <row r="39" spans="1:6" ht="15.5" x14ac:dyDescent="0.35">
      <c r="A39" s="212"/>
      <c r="B39" s="214"/>
      <c r="C39" s="212"/>
      <c r="D39" s="212"/>
      <c r="E39" s="212"/>
      <c r="F39" s="212"/>
    </row>
    <row r="40" spans="1:6" ht="15.5" x14ac:dyDescent="0.35">
      <c r="A40" s="212"/>
      <c r="B40" s="214">
        <v>7</v>
      </c>
      <c r="C40" s="212"/>
      <c r="D40" s="212"/>
      <c r="E40" s="408" t="s">
        <v>27</v>
      </c>
      <c r="F40" s="212"/>
    </row>
    <row r="41" spans="1:6" ht="15.5" x14ac:dyDescent="0.35">
      <c r="A41" s="212"/>
      <c r="B41" s="212"/>
      <c r="C41" s="212"/>
      <c r="D41" s="212"/>
      <c r="E41" s="212"/>
      <c r="F41" s="212"/>
    </row>
    <row r="42" spans="1:6" ht="15.5" x14ac:dyDescent="0.35">
      <c r="A42" s="212"/>
      <c r="B42" s="214">
        <v>8</v>
      </c>
      <c r="C42" s="212"/>
      <c r="D42" s="212"/>
      <c r="E42" s="408" t="s">
        <v>729</v>
      </c>
      <c r="F42" s="212"/>
    </row>
    <row r="43" spans="1:6" ht="15.5" x14ac:dyDescent="0.35">
      <c r="A43" s="212"/>
      <c r="B43" s="212"/>
      <c r="C43" s="212"/>
      <c r="D43" s="212"/>
      <c r="E43" s="212"/>
    </row>
    <row r="44" spans="1:6" ht="15.5" x14ac:dyDescent="0.35">
      <c r="A44" s="212"/>
      <c r="B44" s="419" t="s">
        <v>793</v>
      </c>
      <c r="C44" s="419"/>
      <c r="D44" s="419"/>
      <c r="E44" s="419"/>
    </row>
    <row r="47" spans="1:6" ht="15.5" x14ac:dyDescent="0.35">
      <c r="B47" s="212" t="s">
        <v>730</v>
      </c>
      <c r="C47" s="212" t="s">
        <v>805</v>
      </c>
      <c r="D47" s="212"/>
      <c r="E47" s="212"/>
    </row>
    <row r="48" spans="1:6" ht="15.5" x14ac:dyDescent="0.35">
      <c r="B48" s="212"/>
      <c r="C48" s="212"/>
      <c r="D48" s="212"/>
      <c r="E48" s="212"/>
    </row>
    <row r="49" spans="2:5" ht="15.5" x14ac:dyDescent="0.35">
      <c r="B49" s="212" t="s">
        <v>731</v>
      </c>
      <c r="C49" s="212"/>
      <c r="D49" s="212"/>
      <c r="E49" s="212"/>
    </row>
    <row r="50" spans="2:5" ht="15.5" x14ac:dyDescent="0.35">
      <c r="B50" s="212" t="s">
        <v>732</v>
      </c>
    </row>
    <row r="51" spans="2:5" ht="15.5" x14ac:dyDescent="0.35">
      <c r="B51" s="212" t="s">
        <v>733</v>
      </c>
      <c r="C51" s="215" t="s">
        <v>734</v>
      </c>
    </row>
    <row r="52" spans="2:5" ht="15.5" x14ac:dyDescent="0.35">
      <c r="B52" s="212"/>
    </row>
    <row r="53" spans="2:5" ht="15.5" x14ac:dyDescent="0.35">
      <c r="B53" s="212" t="s">
        <v>801</v>
      </c>
    </row>
    <row r="54" spans="2:5" ht="15.5" x14ac:dyDescent="0.35">
      <c r="B54" s="212" t="s">
        <v>770</v>
      </c>
    </row>
  </sheetData>
  <sheetProtection algorithmName="SHA-512" hashValue="0cwuSc2w0oR6fD3t2JbFhGV4MWwKyHfwu60Ok2wsREddbtZCPV/ohIF0wiHGMzmKJ6bsyicCKxGQq3PNGXfcew==" saltValue="QntWzm2yLX2eQG5utTgL9Q==" spinCount="100000" sheet="1" objects="1" scenarios="1"/>
  <mergeCells count="5">
    <mergeCell ref="B11:J18"/>
    <mergeCell ref="B20:J20"/>
    <mergeCell ref="B26:E26"/>
    <mergeCell ref="B44:E44"/>
    <mergeCell ref="B19:J19"/>
  </mergeCells>
  <hyperlinks>
    <hyperlink ref="F5" r:id="rId1" xr:uid="{E4BEE952-8675-495D-B9F8-ACA1592E0B27}"/>
    <hyperlink ref="H5" r:id="rId2" xr:uid="{F38A183F-86CD-4582-9392-49CFD52A665F}"/>
    <hyperlink ref="J5" r:id="rId3" xr:uid="{923A5989-FCE2-4EE1-9DC7-DE7A24E8BADE}"/>
    <hyperlink ref="C51" r:id="rId4" xr:uid="{25F36A23-EC27-48A5-9B9E-7ECFF316BBF1}"/>
    <hyperlink ref="E30" location="'PRP LA trend tool 2015-22'!A21" display="Decent Homes Standard" xr:uid="{CFF328E5-F13C-469B-993D-E955CE81587A}"/>
    <hyperlink ref="E32" location="'PRP LA trend tool 2015-22'!A61" display="General needs - average weekly rent and units" xr:uid="{607B8A6F-A7DE-417B-B3F6-66A9AF32821A}"/>
    <hyperlink ref="E34" location="'PRP LA trend tool 2015-22'!A87" display="Supported housing/housing for older people - average weekly rent and units" xr:uid="{E1C744FE-AED7-41AE-B7D7-329B33669E84}"/>
    <hyperlink ref="E36" location="'PRP LA trend tool 2015-22'!A105" display="Affordable Rent general needs - average weekly rent and units" xr:uid="{6029CFC1-A5A5-444F-A020-F991343D882A}"/>
    <hyperlink ref="E38" location="'PRP LA trend tool 2015-22'!A122" display="Affordable Rent supported housing  - average weekly rent and units" xr:uid="{B8D72D21-2943-4CCE-8475-C155B459ECEA}"/>
    <hyperlink ref="E40" location="'PRP LA trend tool 2015-22'!A145" display="Sales by PRPs by type - Large PRPs only" xr:uid="{9423CC47-F450-4896-BA6A-0EF91EAD5004}"/>
    <hyperlink ref="E42" location="'PRP LA trend tool 2015-22'!A168" display="Total vacant general needs self-contained" xr:uid="{7DB661C2-CFD2-43A1-9DB9-1CE526CB99E8}"/>
    <hyperlink ref="B44:E44" location="'How to use the search function'!A1" display="How to use the seach function" xr:uid="{0E78CC2A-AD7C-4262-AB68-DF4EA7B96F39}"/>
    <hyperlink ref="B24" location="Glossary!B8" display="Glossary" xr:uid="{6187D464-87E0-438D-B953-83804DB71FFA}"/>
    <hyperlink ref="E28" location="'PRP LA trend tool 2015-22'!A8" display="Total social units by provision type" xr:uid="{70275A9A-09E7-4676-B875-04805734C1ED}"/>
    <hyperlink ref="B26:E26" location="'Introduction and Contents'!A1" display="PRP LA trend tool 2015-22" xr:uid="{D65A6CF5-0A63-442D-9E87-5AD1A9CAEC76}"/>
  </hyperlinks>
  <pageMargins left="0.70866141732283472" right="0.70866141732283472" top="0.74803149606299213" bottom="0.74803149606299213" header="0.31496062992125984" footer="0.31496062992125984"/>
  <pageSetup paperSize="9" scale="49" orientation="landscape" r:id="rId5"/>
  <headerFooter>
    <oddFooter>&amp;C&amp;1#&amp;"Calibri"&amp;12&amp;K0078D7OFFICIAL</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412A0-2057-4F66-8269-A351D37FB625}">
  <sheetPr codeName="Sheet6">
    <tabColor rgb="FFFFFF00"/>
  </sheetPr>
  <dimension ref="A1:AG322"/>
  <sheetViews>
    <sheetView zoomScale="80" zoomScaleNormal="80" workbookViewId="0"/>
  </sheetViews>
  <sheetFormatPr defaultColWidth="9.1796875" defaultRowHeight="12.5" x14ac:dyDescent="0.25"/>
  <cols>
    <col min="1" max="8" width="9.1796875" style="164"/>
    <col min="9" max="10" width="10.453125" style="164" customWidth="1"/>
    <col min="11" max="11" width="10.453125" style="164" bestFit="1" customWidth="1"/>
    <col min="12" max="16384" width="9.1796875" style="164"/>
  </cols>
  <sheetData>
    <row r="1" spans="1:33" s="163" customFormat="1" ht="13" x14ac:dyDescent="0.3">
      <c r="A1" s="153"/>
      <c r="B1" s="153"/>
      <c r="C1" s="154" t="s">
        <v>42</v>
      </c>
      <c r="D1" s="154" t="s">
        <v>42</v>
      </c>
      <c r="E1" s="154" t="s">
        <v>42</v>
      </c>
      <c r="F1" s="154" t="s">
        <v>42</v>
      </c>
      <c r="G1" s="154" t="s">
        <v>42</v>
      </c>
      <c r="H1" s="154" t="s">
        <v>42</v>
      </c>
      <c r="I1" s="155" t="s">
        <v>43</v>
      </c>
      <c r="J1" s="155" t="s">
        <v>43</v>
      </c>
      <c r="K1" s="156" t="s">
        <v>44</v>
      </c>
      <c r="L1" s="156" t="s">
        <v>44</v>
      </c>
      <c r="M1" s="156" t="s">
        <v>44</v>
      </c>
      <c r="N1" s="157" t="s">
        <v>44</v>
      </c>
      <c r="O1" s="156" t="s">
        <v>44</v>
      </c>
      <c r="P1" s="158" t="s">
        <v>45</v>
      </c>
      <c r="Q1" s="158" t="s">
        <v>45</v>
      </c>
      <c r="R1" s="158" t="s">
        <v>45</v>
      </c>
      <c r="S1" s="158" t="s">
        <v>45</v>
      </c>
      <c r="T1" s="158" t="s">
        <v>45</v>
      </c>
      <c r="U1" s="159" t="s">
        <v>46</v>
      </c>
      <c r="V1" s="159" t="s">
        <v>46</v>
      </c>
      <c r="W1" s="160" t="s">
        <v>47</v>
      </c>
      <c r="X1" s="160" t="s">
        <v>47</v>
      </c>
      <c r="Y1" s="161" t="s">
        <v>48</v>
      </c>
      <c r="Z1" s="161" t="s">
        <v>48</v>
      </c>
      <c r="AA1" s="161" t="s">
        <v>48</v>
      </c>
      <c r="AB1" s="161" t="s">
        <v>48</v>
      </c>
      <c r="AC1" s="161" t="s">
        <v>48</v>
      </c>
      <c r="AD1" s="162" t="s">
        <v>49</v>
      </c>
      <c r="AE1" s="162" t="s">
        <v>49</v>
      </c>
      <c r="AF1" s="162" t="s">
        <v>49</v>
      </c>
      <c r="AG1" s="162" t="s">
        <v>49</v>
      </c>
    </row>
    <row r="2" spans="1:33" x14ac:dyDescent="0.25">
      <c r="B2" s="165">
        <v>1</v>
      </c>
      <c r="C2" s="165">
        <v>2</v>
      </c>
      <c r="D2" s="165">
        <v>3</v>
      </c>
      <c r="E2" s="165">
        <v>4</v>
      </c>
      <c r="F2" s="165">
        <v>5</v>
      </c>
      <c r="G2" s="165">
        <v>6</v>
      </c>
      <c r="H2" s="165">
        <v>7</v>
      </c>
      <c r="I2" s="165">
        <v>8</v>
      </c>
      <c r="J2" s="165">
        <v>9</v>
      </c>
      <c r="K2" s="165">
        <v>10</v>
      </c>
      <c r="L2" s="165">
        <v>11</v>
      </c>
      <c r="M2" s="165">
        <v>12</v>
      </c>
      <c r="N2" s="165">
        <v>13</v>
      </c>
      <c r="O2" s="165">
        <v>14</v>
      </c>
      <c r="P2" s="165">
        <v>15</v>
      </c>
      <c r="Q2" s="165">
        <v>16</v>
      </c>
      <c r="R2" s="165">
        <v>17</v>
      </c>
      <c r="S2" s="165">
        <v>18</v>
      </c>
      <c r="T2" s="165">
        <v>19</v>
      </c>
      <c r="U2" s="165">
        <v>20</v>
      </c>
      <c r="V2" s="165">
        <v>21</v>
      </c>
      <c r="W2" s="165">
        <v>22</v>
      </c>
      <c r="X2" s="165">
        <v>23</v>
      </c>
      <c r="Y2" s="165">
        <v>24</v>
      </c>
      <c r="Z2" s="165">
        <v>25</v>
      </c>
      <c r="AA2" s="165">
        <v>26</v>
      </c>
      <c r="AB2" s="165">
        <v>27</v>
      </c>
      <c r="AC2" s="165">
        <v>28</v>
      </c>
      <c r="AD2" s="165">
        <v>29</v>
      </c>
      <c r="AE2" s="165">
        <v>30</v>
      </c>
      <c r="AF2" s="165">
        <v>31</v>
      </c>
      <c r="AG2" s="165">
        <v>32</v>
      </c>
    </row>
    <row r="3" spans="1:33" ht="87.5" x14ac:dyDescent="0.25">
      <c r="A3" s="164" t="s">
        <v>50</v>
      </c>
      <c r="B3" s="164" t="s">
        <v>51</v>
      </c>
      <c r="C3" s="166" t="s">
        <v>52</v>
      </c>
      <c r="D3" s="166" t="s">
        <v>53</v>
      </c>
      <c r="E3" s="166" t="s">
        <v>54</v>
      </c>
      <c r="F3" s="166" t="s">
        <v>55</v>
      </c>
      <c r="G3" s="166" t="s">
        <v>56</v>
      </c>
      <c r="H3" s="166" t="s">
        <v>57</v>
      </c>
      <c r="I3" s="167" t="s">
        <v>58</v>
      </c>
      <c r="J3" s="167" t="s">
        <v>59</v>
      </c>
      <c r="K3" s="168" t="s">
        <v>60</v>
      </c>
      <c r="L3" s="168" t="s">
        <v>61</v>
      </c>
      <c r="M3" s="168" t="s">
        <v>62</v>
      </c>
      <c r="N3" s="169" t="s">
        <v>63</v>
      </c>
      <c r="O3" s="168" t="s">
        <v>64</v>
      </c>
      <c r="P3" s="170" t="s">
        <v>65</v>
      </c>
      <c r="Q3" s="170" t="s">
        <v>66</v>
      </c>
      <c r="R3" s="170" t="s">
        <v>62</v>
      </c>
      <c r="S3" s="170" t="s">
        <v>67</v>
      </c>
      <c r="T3" s="170" t="s">
        <v>68</v>
      </c>
      <c r="U3" s="171" t="s">
        <v>69</v>
      </c>
      <c r="V3" s="171" t="s">
        <v>70</v>
      </c>
      <c r="W3" s="172" t="s">
        <v>71</v>
      </c>
      <c r="X3" s="172" t="s">
        <v>72</v>
      </c>
      <c r="Y3" s="173" t="s">
        <v>73</v>
      </c>
      <c r="Z3" s="173" t="s">
        <v>74</v>
      </c>
      <c r="AA3" s="173" t="s">
        <v>75</v>
      </c>
      <c r="AB3" s="173" t="s">
        <v>76</v>
      </c>
      <c r="AC3" s="173" t="s">
        <v>77</v>
      </c>
      <c r="AD3" s="174" t="s">
        <v>78</v>
      </c>
      <c r="AE3" s="174" t="s">
        <v>79</v>
      </c>
      <c r="AF3" s="174" t="s">
        <v>80</v>
      </c>
      <c r="AG3" s="174" t="s">
        <v>81</v>
      </c>
    </row>
    <row r="4" spans="1:33" x14ac:dyDescent="0.25">
      <c r="A4" s="381" t="s">
        <v>15</v>
      </c>
      <c r="B4" s="381" t="s">
        <v>15</v>
      </c>
      <c r="C4" s="382">
        <v>2151274</v>
      </c>
      <c r="D4" s="382">
        <v>12576</v>
      </c>
      <c r="E4" s="382">
        <v>139183</v>
      </c>
      <c r="F4" s="382">
        <v>257960</v>
      </c>
      <c r="G4" s="382">
        <v>180608</v>
      </c>
      <c r="H4" s="383">
        <v>2741601</v>
      </c>
      <c r="I4" s="382">
        <v>2560993</v>
      </c>
      <c r="J4" s="382">
        <v>8896</v>
      </c>
      <c r="K4" s="384">
        <v>95.12</v>
      </c>
      <c r="L4" s="384">
        <v>94.54</v>
      </c>
      <c r="M4" s="384">
        <v>6.88</v>
      </c>
      <c r="N4" s="384">
        <v>99.18</v>
      </c>
      <c r="O4" s="385">
        <v>1842615</v>
      </c>
      <c r="P4" s="382">
        <v>92.78</v>
      </c>
      <c r="Q4" s="382">
        <v>86.8</v>
      </c>
      <c r="R4" s="382">
        <v>41.68</v>
      </c>
      <c r="S4" s="382">
        <v>131.68</v>
      </c>
      <c r="T4" s="382">
        <v>336779</v>
      </c>
      <c r="U4" s="382">
        <v>128.05000000000001</v>
      </c>
      <c r="V4" s="382">
        <v>231212</v>
      </c>
      <c r="W4" s="382">
        <v>169.93</v>
      </c>
      <c r="X4" s="382">
        <v>13668</v>
      </c>
      <c r="Y4" s="382">
        <v>6074</v>
      </c>
      <c r="Z4" s="382">
        <v>4977</v>
      </c>
      <c r="AA4" s="382">
        <v>3110</v>
      </c>
      <c r="AB4" s="382">
        <v>11306</v>
      </c>
      <c r="AC4" s="382">
        <v>4063</v>
      </c>
      <c r="AD4" s="386">
        <v>2093758</v>
      </c>
      <c r="AE4" s="382">
        <v>12562</v>
      </c>
      <c r="AF4" s="382">
        <v>12987</v>
      </c>
      <c r="AG4" s="382">
        <v>25549</v>
      </c>
    </row>
    <row r="5" spans="1:33" x14ac:dyDescent="0.25">
      <c r="A5" s="387" t="s">
        <v>82</v>
      </c>
      <c r="B5" s="387" t="s">
        <v>82</v>
      </c>
      <c r="C5" s="383">
        <v>112630</v>
      </c>
      <c r="D5" s="383">
        <v>364</v>
      </c>
      <c r="E5" s="383">
        <v>8543</v>
      </c>
      <c r="F5" s="383">
        <v>22688</v>
      </c>
      <c r="G5" s="383">
        <v>13156</v>
      </c>
      <c r="H5" s="383">
        <v>157381</v>
      </c>
      <c r="I5" s="382">
        <v>144225</v>
      </c>
      <c r="J5" s="382">
        <v>92</v>
      </c>
      <c r="K5" s="384">
        <v>87.4</v>
      </c>
      <c r="L5" s="384">
        <v>86.52</v>
      </c>
      <c r="M5" s="384">
        <v>5.03</v>
      </c>
      <c r="N5" s="384">
        <v>90.59</v>
      </c>
      <c r="O5" s="385">
        <v>95846</v>
      </c>
      <c r="P5" s="382">
        <v>89.51</v>
      </c>
      <c r="Q5" s="382">
        <v>82.25</v>
      </c>
      <c r="R5" s="382">
        <v>38.18</v>
      </c>
      <c r="S5" s="382">
        <v>125.56</v>
      </c>
      <c r="T5" s="382">
        <v>28062</v>
      </c>
      <c r="U5" s="382">
        <v>104.19</v>
      </c>
      <c r="V5" s="382">
        <v>13176</v>
      </c>
      <c r="W5" s="382">
        <v>161.72</v>
      </c>
      <c r="X5" s="382">
        <v>707</v>
      </c>
      <c r="Y5" s="382">
        <v>949</v>
      </c>
      <c r="Z5" s="382">
        <v>185</v>
      </c>
      <c r="AA5" s="382">
        <v>224</v>
      </c>
      <c r="AB5" s="382">
        <v>977</v>
      </c>
      <c r="AC5" s="382">
        <v>292</v>
      </c>
      <c r="AD5" s="386">
        <v>110969</v>
      </c>
      <c r="AE5" s="382">
        <v>545</v>
      </c>
      <c r="AF5" s="382">
        <v>474</v>
      </c>
      <c r="AG5" s="382">
        <v>1019</v>
      </c>
    </row>
    <row r="6" spans="1:33" x14ac:dyDescent="0.25">
      <c r="A6" s="387" t="s">
        <v>83</v>
      </c>
      <c r="B6" s="387" t="s">
        <v>83</v>
      </c>
      <c r="C6" s="383">
        <v>216625</v>
      </c>
      <c r="D6" s="383">
        <v>1886</v>
      </c>
      <c r="E6" s="383">
        <v>12053</v>
      </c>
      <c r="F6" s="383">
        <v>28069</v>
      </c>
      <c r="G6" s="383">
        <v>19467</v>
      </c>
      <c r="H6" s="383">
        <v>278100</v>
      </c>
      <c r="I6" s="382">
        <v>258633</v>
      </c>
      <c r="J6" s="382">
        <v>1359</v>
      </c>
      <c r="K6" s="384">
        <v>98.99</v>
      </c>
      <c r="L6" s="384">
        <v>98.96</v>
      </c>
      <c r="M6" s="384">
        <v>6.22</v>
      </c>
      <c r="N6" s="384">
        <v>102.07</v>
      </c>
      <c r="O6" s="385">
        <v>184239</v>
      </c>
      <c r="P6" s="382">
        <v>93.46</v>
      </c>
      <c r="Q6" s="382">
        <v>88.01</v>
      </c>
      <c r="R6" s="382">
        <v>38.26</v>
      </c>
      <c r="S6" s="382">
        <v>129.24</v>
      </c>
      <c r="T6" s="382">
        <v>35003</v>
      </c>
      <c r="U6" s="382">
        <v>132.82</v>
      </c>
      <c r="V6" s="382">
        <v>27013</v>
      </c>
      <c r="W6" s="382">
        <v>158.69999999999999</v>
      </c>
      <c r="X6" s="382">
        <v>456</v>
      </c>
      <c r="Y6" s="382">
        <v>606</v>
      </c>
      <c r="Z6" s="382">
        <v>320</v>
      </c>
      <c r="AA6" s="382">
        <v>370</v>
      </c>
      <c r="AB6" s="382">
        <v>1517</v>
      </c>
      <c r="AC6" s="382">
        <v>442</v>
      </c>
      <c r="AD6" s="386">
        <v>214432</v>
      </c>
      <c r="AE6" s="382">
        <v>987</v>
      </c>
      <c r="AF6" s="382">
        <v>1030</v>
      </c>
      <c r="AG6" s="382">
        <v>2017</v>
      </c>
    </row>
    <row r="7" spans="1:33" x14ac:dyDescent="0.25">
      <c r="A7" s="387" t="s">
        <v>84</v>
      </c>
      <c r="B7" s="387" t="s">
        <v>84</v>
      </c>
      <c r="C7" s="383">
        <v>353364</v>
      </c>
      <c r="D7" s="383">
        <v>6870</v>
      </c>
      <c r="E7" s="383">
        <v>25442</v>
      </c>
      <c r="F7" s="383">
        <v>27592</v>
      </c>
      <c r="G7" s="383">
        <v>46693</v>
      </c>
      <c r="H7" s="383">
        <v>459961</v>
      </c>
      <c r="I7" s="382">
        <v>413268</v>
      </c>
      <c r="J7" s="382">
        <v>3466</v>
      </c>
      <c r="K7" s="384">
        <v>121.74</v>
      </c>
      <c r="L7" s="384">
        <v>123.77</v>
      </c>
      <c r="M7" s="384">
        <v>12.27</v>
      </c>
      <c r="N7" s="384">
        <v>130.74</v>
      </c>
      <c r="O7" s="385">
        <v>294197</v>
      </c>
      <c r="P7" s="382">
        <v>112.48</v>
      </c>
      <c r="Q7" s="382">
        <v>107.6</v>
      </c>
      <c r="R7" s="382">
        <v>54.68</v>
      </c>
      <c r="S7" s="382">
        <v>158.19</v>
      </c>
      <c r="T7" s="382">
        <v>42738</v>
      </c>
      <c r="U7" s="382">
        <v>188.35</v>
      </c>
      <c r="V7" s="382">
        <v>31822</v>
      </c>
      <c r="W7" s="382">
        <v>207.27</v>
      </c>
      <c r="X7" s="382">
        <v>1283</v>
      </c>
      <c r="Y7" s="382">
        <v>196</v>
      </c>
      <c r="Z7" s="382">
        <v>266</v>
      </c>
      <c r="AA7" s="382">
        <v>412</v>
      </c>
      <c r="AB7" s="382">
        <v>2137</v>
      </c>
      <c r="AC7" s="382">
        <v>1256</v>
      </c>
      <c r="AD7" s="386">
        <v>331975</v>
      </c>
      <c r="AE7" s="382">
        <v>2108</v>
      </c>
      <c r="AF7" s="382">
        <v>2653</v>
      </c>
      <c r="AG7" s="382">
        <v>4761</v>
      </c>
    </row>
    <row r="8" spans="1:33" x14ac:dyDescent="0.25">
      <c r="A8" s="387" t="s">
        <v>85</v>
      </c>
      <c r="B8" s="387" t="s">
        <v>85</v>
      </c>
      <c r="C8" s="383">
        <v>158196</v>
      </c>
      <c r="D8" s="383">
        <v>446</v>
      </c>
      <c r="E8" s="383">
        <v>8422</v>
      </c>
      <c r="F8" s="383">
        <v>13796</v>
      </c>
      <c r="G8" s="383">
        <v>3188</v>
      </c>
      <c r="H8" s="383">
        <v>184048</v>
      </c>
      <c r="I8" s="382">
        <v>180860</v>
      </c>
      <c r="J8" s="382">
        <v>76</v>
      </c>
      <c r="K8" s="384">
        <v>77.900000000000006</v>
      </c>
      <c r="L8" s="384">
        <v>77</v>
      </c>
      <c r="M8" s="384">
        <v>6.74</v>
      </c>
      <c r="N8" s="384">
        <v>80.069999999999993</v>
      </c>
      <c r="O8" s="385">
        <v>141098</v>
      </c>
      <c r="P8" s="382">
        <v>85.25</v>
      </c>
      <c r="Q8" s="382">
        <v>76.03</v>
      </c>
      <c r="R8" s="382">
        <v>45.83</v>
      </c>
      <c r="S8" s="382">
        <v>126.84</v>
      </c>
      <c r="T8" s="382">
        <v>18551</v>
      </c>
      <c r="U8" s="382">
        <v>95.74</v>
      </c>
      <c r="V8" s="382">
        <v>14364</v>
      </c>
      <c r="W8" s="382">
        <v>159.66999999999999</v>
      </c>
      <c r="X8" s="382">
        <v>2158</v>
      </c>
      <c r="Y8" s="382">
        <v>1293</v>
      </c>
      <c r="Z8" s="382">
        <v>635</v>
      </c>
      <c r="AA8" s="382">
        <v>87</v>
      </c>
      <c r="AB8" s="382">
        <v>169</v>
      </c>
      <c r="AC8" s="382">
        <v>73</v>
      </c>
      <c r="AD8" s="386">
        <v>155188</v>
      </c>
      <c r="AE8" s="382">
        <v>1698</v>
      </c>
      <c r="AF8" s="382">
        <v>997</v>
      </c>
      <c r="AG8" s="382">
        <v>2695</v>
      </c>
    </row>
    <row r="9" spans="1:33" x14ac:dyDescent="0.25">
      <c r="A9" s="387" t="s">
        <v>86</v>
      </c>
      <c r="B9" s="387" t="s">
        <v>86</v>
      </c>
      <c r="C9" s="383">
        <v>429224</v>
      </c>
      <c r="D9" s="383">
        <v>352</v>
      </c>
      <c r="E9" s="383">
        <v>22509</v>
      </c>
      <c r="F9" s="383">
        <v>52564</v>
      </c>
      <c r="G9" s="383">
        <v>13714</v>
      </c>
      <c r="H9" s="383">
        <v>518363</v>
      </c>
      <c r="I9" s="382">
        <v>504649</v>
      </c>
      <c r="J9" s="382">
        <v>1914</v>
      </c>
      <c r="K9" s="384">
        <v>82.14</v>
      </c>
      <c r="L9" s="384">
        <v>81.459999999999994</v>
      </c>
      <c r="M9" s="384">
        <v>4.6100000000000003</v>
      </c>
      <c r="N9" s="384">
        <v>84.69</v>
      </c>
      <c r="O9" s="385">
        <v>372590</v>
      </c>
      <c r="P9" s="382">
        <v>84.25</v>
      </c>
      <c r="Q9" s="382">
        <v>76.7</v>
      </c>
      <c r="R9" s="382">
        <v>35.96</v>
      </c>
      <c r="S9" s="382">
        <v>118.07</v>
      </c>
      <c r="T9" s="382">
        <v>66598</v>
      </c>
      <c r="U9" s="382">
        <v>102.79</v>
      </c>
      <c r="V9" s="382">
        <v>45917</v>
      </c>
      <c r="W9" s="382">
        <v>149.77000000000001</v>
      </c>
      <c r="X9" s="382">
        <v>1845</v>
      </c>
      <c r="Y9" s="382">
        <v>568</v>
      </c>
      <c r="Z9" s="382">
        <v>1979</v>
      </c>
      <c r="AA9" s="382">
        <v>297</v>
      </c>
      <c r="AB9" s="382">
        <v>1027</v>
      </c>
      <c r="AC9" s="382">
        <v>348</v>
      </c>
      <c r="AD9" s="386">
        <v>419037</v>
      </c>
      <c r="AE9" s="382">
        <v>2688</v>
      </c>
      <c r="AF9" s="382">
        <v>2435</v>
      </c>
      <c r="AG9" s="382">
        <v>5123</v>
      </c>
    </row>
    <row r="10" spans="1:33" x14ac:dyDescent="0.25">
      <c r="A10" s="387" t="s">
        <v>87</v>
      </c>
      <c r="B10" s="387" t="s">
        <v>87</v>
      </c>
      <c r="C10" s="383">
        <v>296666</v>
      </c>
      <c r="D10" s="383">
        <v>1258</v>
      </c>
      <c r="E10" s="383">
        <v>15381</v>
      </c>
      <c r="F10" s="383">
        <v>37481</v>
      </c>
      <c r="G10" s="383">
        <v>41610</v>
      </c>
      <c r="H10" s="383">
        <v>392396</v>
      </c>
      <c r="I10" s="382">
        <v>350786</v>
      </c>
      <c r="J10" s="382">
        <v>874</v>
      </c>
      <c r="K10" s="384">
        <v>107.7</v>
      </c>
      <c r="L10" s="384">
        <v>106.15</v>
      </c>
      <c r="M10" s="384">
        <v>6.38</v>
      </c>
      <c r="N10" s="384">
        <v>111.71</v>
      </c>
      <c r="O10" s="385">
        <v>248149</v>
      </c>
      <c r="P10" s="382">
        <v>99.03</v>
      </c>
      <c r="Q10" s="382">
        <v>93.01</v>
      </c>
      <c r="R10" s="382">
        <v>35.89</v>
      </c>
      <c r="S10" s="382">
        <v>132.87</v>
      </c>
      <c r="T10" s="382">
        <v>42074</v>
      </c>
      <c r="U10" s="382">
        <v>151.72</v>
      </c>
      <c r="V10" s="382">
        <v>38536</v>
      </c>
      <c r="W10" s="382">
        <v>169.8</v>
      </c>
      <c r="X10" s="382">
        <v>2238</v>
      </c>
      <c r="Y10" s="382">
        <v>888</v>
      </c>
      <c r="Z10" s="382">
        <v>296</v>
      </c>
      <c r="AA10" s="382">
        <v>503</v>
      </c>
      <c r="AB10" s="382">
        <v>2703</v>
      </c>
      <c r="AC10" s="382">
        <v>735</v>
      </c>
      <c r="AD10" s="386">
        <v>289599</v>
      </c>
      <c r="AE10" s="382">
        <v>1406</v>
      </c>
      <c r="AF10" s="382">
        <v>1339</v>
      </c>
      <c r="AG10" s="382">
        <v>2745</v>
      </c>
    </row>
    <row r="11" spans="1:33" x14ac:dyDescent="0.25">
      <c r="A11" s="387" t="s">
        <v>88</v>
      </c>
      <c r="B11" s="387" t="s">
        <v>88</v>
      </c>
      <c r="C11" s="383">
        <v>196655</v>
      </c>
      <c r="D11" s="383">
        <v>279</v>
      </c>
      <c r="E11" s="383">
        <v>14498</v>
      </c>
      <c r="F11" s="383">
        <v>29798</v>
      </c>
      <c r="G11" s="383">
        <v>19984</v>
      </c>
      <c r="H11" s="383">
        <v>261214</v>
      </c>
      <c r="I11" s="382">
        <v>241230</v>
      </c>
      <c r="J11" s="382">
        <v>344</v>
      </c>
      <c r="K11" s="384">
        <v>92.55</v>
      </c>
      <c r="L11" s="384">
        <v>91.11</v>
      </c>
      <c r="M11" s="384">
        <v>4.8499999999999996</v>
      </c>
      <c r="N11" s="384">
        <v>95.61</v>
      </c>
      <c r="O11" s="385">
        <v>165302</v>
      </c>
      <c r="P11" s="382">
        <v>88.26</v>
      </c>
      <c r="Q11" s="382">
        <v>82.96</v>
      </c>
      <c r="R11" s="382">
        <v>31.74</v>
      </c>
      <c r="S11" s="382">
        <v>119.07</v>
      </c>
      <c r="T11" s="382">
        <v>37663</v>
      </c>
      <c r="U11" s="382">
        <v>121.73</v>
      </c>
      <c r="V11" s="382">
        <v>23446</v>
      </c>
      <c r="W11" s="382">
        <v>156.41999999999999</v>
      </c>
      <c r="X11" s="382">
        <v>1506</v>
      </c>
      <c r="Y11" s="382">
        <v>537</v>
      </c>
      <c r="Z11" s="382">
        <v>335</v>
      </c>
      <c r="AA11" s="382">
        <v>375</v>
      </c>
      <c r="AB11" s="382">
        <v>1306</v>
      </c>
      <c r="AC11" s="382">
        <v>368</v>
      </c>
      <c r="AD11" s="386">
        <v>190494</v>
      </c>
      <c r="AE11" s="382">
        <v>885</v>
      </c>
      <c r="AF11" s="382">
        <v>1070</v>
      </c>
      <c r="AG11" s="382">
        <v>1955</v>
      </c>
    </row>
    <row r="12" spans="1:33" x14ac:dyDescent="0.25">
      <c r="A12" s="387" t="s">
        <v>89</v>
      </c>
      <c r="B12" s="387" t="s">
        <v>89</v>
      </c>
      <c r="C12" s="383">
        <v>220192</v>
      </c>
      <c r="D12" s="383">
        <v>833</v>
      </c>
      <c r="E12" s="383">
        <v>20918</v>
      </c>
      <c r="F12" s="383">
        <v>28565</v>
      </c>
      <c r="G12" s="383">
        <v>15917</v>
      </c>
      <c r="H12" s="383">
        <v>286425</v>
      </c>
      <c r="I12" s="382">
        <v>270508</v>
      </c>
      <c r="J12" s="382">
        <v>362</v>
      </c>
      <c r="K12" s="384">
        <v>88.61</v>
      </c>
      <c r="L12" s="384">
        <v>87.74</v>
      </c>
      <c r="M12" s="384">
        <v>6.04</v>
      </c>
      <c r="N12" s="384">
        <v>92.43</v>
      </c>
      <c r="O12" s="385">
        <v>194093</v>
      </c>
      <c r="P12" s="382">
        <v>91.99</v>
      </c>
      <c r="Q12" s="382">
        <v>90.39</v>
      </c>
      <c r="R12" s="382">
        <v>57.94</v>
      </c>
      <c r="S12" s="382">
        <v>147.38</v>
      </c>
      <c r="T12" s="382">
        <v>41509</v>
      </c>
      <c r="U12" s="382">
        <v>108.77</v>
      </c>
      <c r="V12" s="382">
        <v>19928</v>
      </c>
      <c r="W12" s="382">
        <v>187.59</v>
      </c>
      <c r="X12" s="382">
        <v>2832</v>
      </c>
      <c r="Y12" s="382">
        <v>777</v>
      </c>
      <c r="Z12" s="382">
        <v>495</v>
      </c>
      <c r="AA12" s="382">
        <v>490</v>
      </c>
      <c r="AB12" s="382">
        <v>1026</v>
      </c>
      <c r="AC12" s="382">
        <v>392</v>
      </c>
      <c r="AD12" s="386">
        <v>216083</v>
      </c>
      <c r="AE12" s="382">
        <v>1063</v>
      </c>
      <c r="AF12" s="382">
        <v>1318</v>
      </c>
      <c r="AG12" s="382">
        <v>2381</v>
      </c>
    </row>
    <row r="13" spans="1:33" x14ac:dyDescent="0.25">
      <c r="A13" s="387" t="s">
        <v>792</v>
      </c>
      <c r="B13" s="387" t="s">
        <v>792</v>
      </c>
      <c r="C13" s="383">
        <v>167722</v>
      </c>
      <c r="D13" s="383">
        <v>288</v>
      </c>
      <c r="E13" s="383">
        <v>11417</v>
      </c>
      <c r="F13" s="383">
        <v>17407</v>
      </c>
      <c r="G13" s="383">
        <v>6879</v>
      </c>
      <c r="H13" s="383">
        <v>203713</v>
      </c>
      <c r="I13" s="382">
        <v>196834</v>
      </c>
      <c r="J13" s="382">
        <v>409</v>
      </c>
      <c r="K13" s="384">
        <v>81.59</v>
      </c>
      <c r="L13" s="384">
        <v>81.47</v>
      </c>
      <c r="M13" s="384">
        <v>5.73</v>
      </c>
      <c r="N13" s="384">
        <v>84.87</v>
      </c>
      <c r="O13" s="385">
        <v>147101</v>
      </c>
      <c r="P13" s="382">
        <v>87.61</v>
      </c>
      <c r="Q13" s="382">
        <v>77.59</v>
      </c>
      <c r="R13" s="382">
        <v>40.72</v>
      </c>
      <c r="S13" s="382">
        <v>127.3</v>
      </c>
      <c r="T13" s="382">
        <v>24581</v>
      </c>
      <c r="U13" s="382">
        <v>99.35</v>
      </c>
      <c r="V13" s="382">
        <v>17010</v>
      </c>
      <c r="W13" s="382">
        <v>159</v>
      </c>
      <c r="X13" s="382">
        <v>643</v>
      </c>
      <c r="Y13" s="382">
        <v>260</v>
      </c>
      <c r="Z13" s="382">
        <v>466</v>
      </c>
      <c r="AA13" s="382">
        <v>352</v>
      </c>
      <c r="AB13" s="382">
        <v>444</v>
      </c>
      <c r="AC13" s="382">
        <v>157</v>
      </c>
      <c r="AD13" s="386">
        <v>165981</v>
      </c>
      <c r="AE13" s="382">
        <v>1182</v>
      </c>
      <c r="AF13" s="382">
        <v>1671</v>
      </c>
      <c r="AG13" s="382">
        <v>2853</v>
      </c>
    </row>
    <row r="14" spans="1:33" x14ac:dyDescent="0.25">
      <c r="A14" s="381" t="s">
        <v>90</v>
      </c>
      <c r="B14" s="387" t="s">
        <v>91</v>
      </c>
      <c r="C14" s="383">
        <v>946</v>
      </c>
      <c r="D14" s="383">
        <v>0</v>
      </c>
      <c r="E14" s="383">
        <v>76</v>
      </c>
      <c r="F14" s="383">
        <v>51</v>
      </c>
      <c r="G14" s="383">
        <v>155</v>
      </c>
      <c r="H14" s="383">
        <v>1228</v>
      </c>
      <c r="I14" s="382">
        <v>1073</v>
      </c>
      <c r="J14" s="382">
        <v>3</v>
      </c>
      <c r="K14" s="384">
        <v>108.24</v>
      </c>
      <c r="L14" s="384">
        <v>105.87</v>
      </c>
      <c r="M14" s="384">
        <v>6.46</v>
      </c>
      <c r="N14" s="384">
        <v>113.64</v>
      </c>
      <c r="O14" s="385">
        <v>801</v>
      </c>
      <c r="P14" s="382">
        <v>104.75</v>
      </c>
      <c r="Q14" s="382">
        <v>92.63</v>
      </c>
      <c r="R14" s="382">
        <v>43.6</v>
      </c>
      <c r="S14" s="382">
        <v>146.53</v>
      </c>
      <c r="T14" s="382">
        <v>96</v>
      </c>
      <c r="U14" s="382">
        <v>156.02000000000001</v>
      </c>
      <c r="V14" s="382">
        <v>117</v>
      </c>
      <c r="W14" s="382">
        <v>141.38</v>
      </c>
      <c r="X14" s="382">
        <v>23</v>
      </c>
      <c r="Y14" s="382">
        <v>0</v>
      </c>
      <c r="Z14" s="382">
        <v>3</v>
      </c>
      <c r="AA14" s="382">
        <v>27</v>
      </c>
      <c r="AB14" s="382">
        <v>37</v>
      </c>
      <c r="AC14" s="382">
        <v>6</v>
      </c>
      <c r="AD14" s="386">
        <v>925</v>
      </c>
      <c r="AE14" s="386">
        <v>2</v>
      </c>
      <c r="AF14" s="386">
        <v>8</v>
      </c>
      <c r="AG14" s="386">
        <v>10</v>
      </c>
    </row>
    <row r="15" spans="1:33" x14ac:dyDescent="0.25">
      <c r="A15" s="381" t="s">
        <v>92</v>
      </c>
      <c r="B15" s="387" t="s">
        <v>93</v>
      </c>
      <c r="C15" s="383">
        <v>8279</v>
      </c>
      <c r="D15" s="383">
        <v>44</v>
      </c>
      <c r="E15" s="383">
        <v>138</v>
      </c>
      <c r="F15" s="383">
        <v>396</v>
      </c>
      <c r="G15" s="383">
        <v>116</v>
      </c>
      <c r="H15" s="383">
        <v>8973</v>
      </c>
      <c r="I15" s="382">
        <v>8857</v>
      </c>
      <c r="J15" s="382">
        <v>1</v>
      </c>
      <c r="K15" s="384">
        <v>85.27</v>
      </c>
      <c r="L15" s="384">
        <v>82.11</v>
      </c>
      <c r="M15" s="384">
        <v>2.48</v>
      </c>
      <c r="N15" s="384">
        <v>87.26</v>
      </c>
      <c r="O15" s="385">
        <v>7301</v>
      </c>
      <c r="P15" s="382">
        <v>81.260000000000005</v>
      </c>
      <c r="Q15" s="382">
        <v>73.540000000000006</v>
      </c>
      <c r="R15" s="382">
        <v>42.31</v>
      </c>
      <c r="S15" s="382">
        <v>121.51</v>
      </c>
      <c r="T15" s="382">
        <v>471</v>
      </c>
      <c r="U15" s="382">
        <v>105.51</v>
      </c>
      <c r="V15" s="382">
        <v>463</v>
      </c>
      <c r="W15" s="382">
        <v>132.28</v>
      </c>
      <c r="X15" s="382">
        <v>39</v>
      </c>
      <c r="Y15" s="382">
        <v>0</v>
      </c>
      <c r="Z15" s="382">
        <v>11</v>
      </c>
      <c r="AA15" s="382">
        <v>4</v>
      </c>
      <c r="AB15" s="382">
        <v>6</v>
      </c>
      <c r="AC15" s="382">
        <v>0</v>
      </c>
      <c r="AD15" s="386">
        <v>7585</v>
      </c>
      <c r="AE15" s="386">
        <v>113</v>
      </c>
      <c r="AF15" s="386">
        <v>27</v>
      </c>
      <c r="AG15" s="386">
        <v>140</v>
      </c>
    </row>
    <row r="16" spans="1:33" x14ac:dyDescent="0.25">
      <c r="A16" s="381" t="s">
        <v>94</v>
      </c>
      <c r="B16" s="387" t="s">
        <v>95</v>
      </c>
      <c r="C16" s="383">
        <v>4621</v>
      </c>
      <c r="D16" s="383">
        <v>0</v>
      </c>
      <c r="E16" s="383">
        <v>159</v>
      </c>
      <c r="F16" s="383">
        <v>2438</v>
      </c>
      <c r="G16" s="383">
        <v>173</v>
      </c>
      <c r="H16" s="383">
        <v>7391</v>
      </c>
      <c r="I16" s="382">
        <v>7218</v>
      </c>
      <c r="J16" s="382">
        <v>0</v>
      </c>
      <c r="K16" s="384">
        <v>88.74</v>
      </c>
      <c r="L16" s="384">
        <v>88.32</v>
      </c>
      <c r="M16" s="384">
        <v>2.46</v>
      </c>
      <c r="N16" s="384">
        <v>90.99</v>
      </c>
      <c r="O16" s="385">
        <v>4344</v>
      </c>
      <c r="P16" s="382">
        <v>83.18</v>
      </c>
      <c r="Q16" s="382">
        <v>85.83</v>
      </c>
      <c r="R16" s="382">
        <v>9.09</v>
      </c>
      <c r="S16" s="382">
        <v>92.18</v>
      </c>
      <c r="T16" s="382">
        <v>2553</v>
      </c>
      <c r="U16" s="382">
        <v>100.31</v>
      </c>
      <c r="V16" s="382">
        <v>281</v>
      </c>
      <c r="W16" s="382">
        <v>0</v>
      </c>
      <c r="X16" s="382">
        <v>0</v>
      </c>
      <c r="Y16" s="382">
        <v>0</v>
      </c>
      <c r="Z16" s="382">
        <v>17</v>
      </c>
      <c r="AA16" s="382">
        <v>4</v>
      </c>
      <c r="AB16" s="382">
        <v>20</v>
      </c>
      <c r="AC16" s="382">
        <v>1</v>
      </c>
      <c r="AD16" s="386">
        <v>4621</v>
      </c>
      <c r="AE16" s="386">
        <v>17</v>
      </c>
      <c r="AF16" s="386">
        <v>21</v>
      </c>
      <c r="AG16" s="386">
        <v>38</v>
      </c>
    </row>
    <row r="17" spans="1:33" x14ac:dyDescent="0.25">
      <c r="A17" s="381" t="s">
        <v>96</v>
      </c>
      <c r="B17" s="387" t="s">
        <v>97</v>
      </c>
      <c r="C17" s="383">
        <v>3004</v>
      </c>
      <c r="D17" s="383">
        <v>10</v>
      </c>
      <c r="E17" s="383">
        <v>234</v>
      </c>
      <c r="F17" s="383">
        <v>286</v>
      </c>
      <c r="G17" s="383">
        <v>600</v>
      </c>
      <c r="H17" s="383">
        <v>4134</v>
      </c>
      <c r="I17" s="382">
        <v>3534</v>
      </c>
      <c r="J17" s="382">
        <v>5</v>
      </c>
      <c r="K17" s="384">
        <v>107.82</v>
      </c>
      <c r="L17" s="384">
        <v>105.84</v>
      </c>
      <c r="M17" s="384">
        <v>6.45</v>
      </c>
      <c r="N17" s="384">
        <v>113.28</v>
      </c>
      <c r="O17" s="385">
        <v>2250</v>
      </c>
      <c r="P17" s="382">
        <v>94.05</v>
      </c>
      <c r="Q17" s="382">
        <v>87.93</v>
      </c>
      <c r="R17" s="382">
        <v>52.12</v>
      </c>
      <c r="S17" s="382">
        <v>142.96</v>
      </c>
      <c r="T17" s="382">
        <v>341</v>
      </c>
      <c r="U17" s="382">
        <v>152.72999999999999</v>
      </c>
      <c r="V17" s="382">
        <v>699</v>
      </c>
      <c r="W17" s="382">
        <v>0</v>
      </c>
      <c r="X17" s="382">
        <v>0</v>
      </c>
      <c r="Y17" s="382">
        <v>0</v>
      </c>
      <c r="Z17" s="382">
        <v>8</v>
      </c>
      <c r="AA17" s="382">
        <v>2</v>
      </c>
      <c r="AB17" s="382">
        <v>28</v>
      </c>
      <c r="AC17" s="382">
        <v>5</v>
      </c>
      <c r="AD17" s="386">
        <v>3002</v>
      </c>
      <c r="AE17" s="386">
        <v>9</v>
      </c>
      <c r="AF17" s="386">
        <v>3</v>
      </c>
      <c r="AG17" s="386">
        <v>12</v>
      </c>
    </row>
    <row r="18" spans="1:33" x14ac:dyDescent="0.25">
      <c r="A18" s="381" t="s">
        <v>98</v>
      </c>
      <c r="B18" s="387" t="s">
        <v>99</v>
      </c>
      <c r="C18" s="383">
        <v>1621</v>
      </c>
      <c r="D18" s="383">
        <v>0</v>
      </c>
      <c r="E18" s="383">
        <v>179</v>
      </c>
      <c r="F18" s="383">
        <v>291</v>
      </c>
      <c r="G18" s="383">
        <v>185</v>
      </c>
      <c r="H18" s="383">
        <v>2276</v>
      </c>
      <c r="I18" s="382">
        <v>2091</v>
      </c>
      <c r="J18" s="382">
        <v>0</v>
      </c>
      <c r="K18" s="384">
        <v>86.03</v>
      </c>
      <c r="L18" s="384">
        <v>84.3</v>
      </c>
      <c r="M18" s="384">
        <v>5.55</v>
      </c>
      <c r="N18" s="384">
        <v>88.74</v>
      </c>
      <c r="O18" s="385">
        <v>1362</v>
      </c>
      <c r="P18" s="382">
        <v>91.62</v>
      </c>
      <c r="Q18" s="382">
        <v>84.96</v>
      </c>
      <c r="R18" s="382">
        <v>50.7</v>
      </c>
      <c r="S18" s="382">
        <v>137.78</v>
      </c>
      <c r="T18" s="382">
        <v>469</v>
      </c>
      <c r="U18" s="382">
        <v>98.14</v>
      </c>
      <c r="V18" s="382">
        <v>187</v>
      </c>
      <c r="W18" s="382">
        <v>0</v>
      </c>
      <c r="X18" s="382">
        <v>0</v>
      </c>
      <c r="Y18" s="382">
        <v>67</v>
      </c>
      <c r="Z18" s="382">
        <v>1</v>
      </c>
      <c r="AA18" s="382">
        <v>2</v>
      </c>
      <c r="AB18" s="382">
        <v>2</v>
      </c>
      <c r="AC18" s="382">
        <v>4</v>
      </c>
      <c r="AD18" s="386">
        <v>1621</v>
      </c>
      <c r="AE18" s="386">
        <v>8</v>
      </c>
      <c r="AF18" s="386">
        <v>4</v>
      </c>
      <c r="AG18" s="386">
        <v>12</v>
      </c>
    </row>
    <row r="19" spans="1:33" x14ac:dyDescent="0.25">
      <c r="A19" s="381" t="s">
        <v>100</v>
      </c>
      <c r="B19" s="387" t="s">
        <v>101</v>
      </c>
      <c r="C19" s="383">
        <v>2267</v>
      </c>
      <c r="D19" s="383">
        <v>0</v>
      </c>
      <c r="E19" s="383">
        <v>128</v>
      </c>
      <c r="F19" s="383">
        <v>151</v>
      </c>
      <c r="G19" s="383">
        <v>704</v>
      </c>
      <c r="H19" s="383">
        <v>3250</v>
      </c>
      <c r="I19" s="382">
        <v>2546</v>
      </c>
      <c r="J19" s="382">
        <v>1</v>
      </c>
      <c r="K19" s="384">
        <v>99.73</v>
      </c>
      <c r="L19" s="384">
        <v>97.82</v>
      </c>
      <c r="M19" s="384">
        <v>6.66</v>
      </c>
      <c r="N19" s="384">
        <v>105.2</v>
      </c>
      <c r="O19" s="385">
        <v>1797</v>
      </c>
      <c r="P19" s="382">
        <v>113.64</v>
      </c>
      <c r="Q19" s="382">
        <v>82.96</v>
      </c>
      <c r="R19" s="382">
        <v>51.54</v>
      </c>
      <c r="S19" s="382">
        <v>158.85</v>
      </c>
      <c r="T19" s="382">
        <v>220</v>
      </c>
      <c r="U19" s="382">
        <v>135.66</v>
      </c>
      <c r="V19" s="382">
        <v>402</v>
      </c>
      <c r="W19" s="382">
        <v>182.52</v>
      </c>
      <c r="X19" s="382">
        <v>59</v>
      </c>
      <c r="Y19" s="382">
        <v>0</v>
      </c>
      <c r="Z19" s="382">
        <v>5</v>
      </c>
      <c r="AA19" s="382">
        <v>0</v>
      </c>
      <c r="AB19" s="382">
        <v>30</v>
      </c>
      <c r="AC19" s="382">
        <v>18</v>
      </c>
      <c r="AD19" s="386">
        <v>2227</v>
      </c>
      <c r="AE19" s="386">
        <v>19</v>
      </c>
      <c r="AF19" s="386">
        <v>6</v>
      </c>
      <c r="AG19" s="386">
        <v>25</v>
      </c>
    </row>
    <row r="20" spans="1:33" x14ac:dyDescent="0.25">
      <c r="A20" s="381" t="s">
        <v>102</v>
      </c>
      <c r="B20" s="387" t="s">
        <v>103</v>
      </c>
      <c r="C20" s="383">
        <v>1715</v>
      </c>
      <c r="D20" s="383">
        <v>0</v>
      </c>
      <c r="E20" s="383">
        <v>120</v>
      </c>
      <c r="F20" s="383">
        <v>123</v>
      </c>
      <c r="G20" s="383">
        <v>193</v>
      </c>
      <c r="H20" s="383">
        <v>2151</v>
      </c>
      <c r="I20" s="382">
        <v>1958</v>
      </c>
      <c r="J20" s="382">
        <v>1</v>
      </c>
      <c r="K20" s="384">
        <v>92.86</v>
      </c>
      <c r="L20" s="384">
        <v>92.83</v>
      </c>
      <c r="M20" s="384">
        <v>4.4800000000000004</v>
      </c>
      <c r="N20" s="384">
        <v>95.34</v>
      </c>
      <c r="O20" s="385">
        <v>1270</v>
      </c>
      <c r="P20" s="382">
        <v>107.91</v>
      </c>
      <c r="Q20" s="382">
        <v>94.49</v>
      </c>
      <c r="R20" s="382">
        <v>58.33</v>
      </c>
      <c r="S20" s="382">
        <v>161.6</v>
      </c>
      <c r="T20" s="382">
        <v>201</v>
      </c>
      <c r="U20" s="382">
        <v>114.93</v>
      </c>
      <c r="V20" s="382">
        <v>414</v>
      </c>
      <c r="W20" s="382">
        <v>107.72</v>
      </c>
      <c r="X20" s="382">
        <v>2</v>
      </c>
      <c r="Y20" s="382">
        <v>0</v>
      </c>
      <c r="Z20" s="382">
        <v>0</v>
      </c>
      <c r="AA20" s="382">
        <v>1</v>
      </c>
      <c r="AB20" s="382">
        <v>7</v>
      </c>
      <c r="AC20" s="382">
        <v>1</v>
      </c>
      <c r="AD20" s="386">
        <v>1715</v>
      </c>
      <c r="AE20" s="386">
        <v>4</v>
      </c>
      <c r="AF20" s="386">
        <v>2</v>
      </c>
      <c r="AG20" s="386">
        <v>6</v>
      </c>
    </row>
    <row r="21" spans="1:33" x14ac:dyDescent="0.25">
      <c r="A21" s="381" t="s">
        <v>104</v>
      </c>
      <c r="B21" s="387" t="s">
        <v>105</v>
      </c>
      <c r="C21" s="383">
        <v>4183</v>
      </c>
      <c r="D21" s="383">
        <v>55</v>
      </c>
      <c r="E21" s="383">
        <v>370</v>
      </c>
      <c r="F21" s="383">
        <v>455</v>
      </c>
      <c r="G21" s="383">
        <v>786</v>
      </c>
      <c r="H21" s="383">
        <v>5849</v>
      </c>
      <c r="I21" s="382">
        <v>5063</v>
      </c>
      <c r="J21" s="382">
        <v>20</v>
      </c>
      <c r="K21" s="384">
        <v>116.92</v>
      </c>
      <c r="L21" s="384">
        <v>114.05</v>
      </c>
      <c r="M21" s="384">
        <v>7.71</v>
      </c>
      <c r="N21" s="384">
        <v>121.22</v>
      </c>
      <c r="O21" s="385">
        <v>2771</v>
      </c>
      <c r="P21" s="382">
        <v>103</v>
      </c>
      <c r="Q21" s="382">
        <v>100.63</v>
      </c>
      <c r="R21" s="382">
        <v>62.27</v>
      </c>
      <c r="S21" s="382">
        <v>157.63999999999999</v>
      </c>
      <c r="T21" s="382">
        <v>677</v>
      </c>
      <c r="U21" s="382">
        <v>157.16</v>
      </c>
      <c r="V21" s="382">
        <v>789</v>
      </c>
      <c r="W21" s="382">
        <v>0</v>
      </c>
      <c r="X21" s="382">
        <v>0</v>
      </c>
      <c r="Y21" s="382">
        <v>0</v>
      </c>
      <c r="Z21" s="382">
        <v>16</v>
      </c>
      <c r="AA21" s="382">
        <v>5</v>
      </c>
      <c r="AB21" s="382">
        <v>94</v>
      </c>
      <c r="AC21" s="382">
        <v>37</v>
      </c>
      <c r="AD21" s="386">
        <v>4107</v>
      </c>
      <c r="AE21" s="386">
        <v>14</v>
      </c>
      <c r="AF21" s="386">
        <v>9</v>
      </c>
      <c r="AG21" s="386">
        <v>23</v>
      </c>
    </row>
    <row r="22" spans="1:33" x14ac:dyDescent="0.25">
      <c r="A22" s="381" t="s">
        <v>106</v>
      </c>
      <c r="B22" s="387" t="s">
        <v>107</v>
      </c>
      <c r="C22" s="383">
        <v>7183</v>
      </c>
      <c r="D22" s="383">
        <v>28</v>
      </c>
      <c r="E22" s="383">
        <v>541</v>
      </c>
      <c r="F22" s="383">
        <v>1149</v>
      </c>
      <c r="G22" s="383">
        <v>1388</v>
      </c>
      <c r="H22" s="383">
        <v>10289</v>
      </c>
      <c r="I22" s="382">
        <v>8901</v>
      </c>
      <c r="J22" s="382">
        <v>23</v>
      </c>
      <c r="K22" s="384">
        <v>127.88</v>
      </c>
      <c r="L22" s="384">
        <v>127.63</v>
      </c>
      <c r="M22" s="384">
        <v>14.34</v>
      </c>
      <c r="N22" s="384">
        <v>139.68</v>
      </c>
      <c r="O22" s="385">
        <v>5750</v>
      </c>
      <c r="P22" s="382">
        <v>125.84</v>
      </c>
      <c r="Q22" s="382">
        <v>109.95</v>
      </c>
      <c r="R22" s="382">
        <v>50.04</v>
      </c>
      <c r="S22" s="382">
        <v>169.13</v>
      </c>
      <c r="T22" s="382">
        <v>904</v>
      </c>
      <c r="U22" s="382">
        <v>212.81</v>
      </c>
      <c r="V22" s="382">
        <v>1043</v>
      </c>
      <c r="W22" s="382">
        <v>224.63</v>
      </c>
      <c r="X22" s="382">
        <v>37</v>
      </c>
      <c r="Y22" s="382">
        <v>47</v>
      </c>
      <c r="Z22" s="382">
        <v>2</v>
      </c>
      <c r="AA22" s="382">
        <v>8</v>
      </c>
      <c r="AB22" s="382">
        <v>48</v>
      </c>
      <c r="AC22" s="382">
        <v>24</v>
      </c>
      <c r="AD22" s="386">
        <v>6766</v>
      </c>
      <c r="AE22" s="386">
        <v>21</v>
      </c>
      <c r="AF22" s="386">
        <v>23</v>
      </c>
      <c r="AG22" s="386">
        <v>44</v>
      </c>
    </row>
    <row r="23" spans="1:33" x14ac:dyDescent="0.25">
      <c r="A23" s="381" t="s">
        <v>108</v>
      </c>
      <c r="B23" s="387" t="s">
        <v>109</v>
      </c>
      <c r="C23" s="383">
        <v>2897</v>
      </c>
      <c r="D23" s="383">
        <v>0</v>
      </c>
      <c r="E23" s="383">
        <v>328</v>
      </c>
      <c r="F23" s="383">
        <v>672</v>
      </c>
      <c r="G23" s="383">
        <v>258</v>
      </c>
      <c r="H23" s="383">
        <v>4155</v>
      </c>
      <c r="I23" s="382">
        <v>3897</v>
      </c>
      <c r="J23" s="382">
        <v>1</v>
      </c>
      <c r="K23" s="384">
        <v>85.45</v>
      </c>
      <c r="L23" s="384">
        <v>82.4</v>
      </c>
      <c r="M23" s="384">
        <v>5.46</v>
      </c>
      <c r="N23" s="384">
        <v>87.89</v>
      </c>
      <c r="O23" s="385">
        <v>1913</v>
      </c>
      <c r="P23" s="382">
        <v>91.89</v>
      </c>
      <c r="Q23" s="382">
        <v>82.09</v>
      </c>
      <c r="R23" s="382">
        <v>29.52</v>
      </c>
      <c r="S23" s="382">
        <v>120.3</v>
      </c>
      <c r="T23" s="382">
        <v>988</v>
      </c>
      <c r="U23" s="382">
        <v>93.05</v>
      </c>
      <c r="V23" s="382">
        <v>881</v>
      </c>
      <c r="W23" s="382">
        <v>0</v>
      </c>
      <c r="X23" s="382">
        <v>0</v>
      </c>
      <c r="Y23" s="382">
        <v>0</v>
      </c>
      <c r="Z23" s="382">
        <v>6</v>
      </c>
      <c r="AA23" s="382">
        <v>21</v>
      </c>
      <c r="AB23" s="382">
        <v>11</v>
      </c>
      <c r="AC23" s="382">
        <v>6</v>
      </c>
      <c r="AD23" s="386">
        <v>2892</v>
      </c>
      <c r="AE23" s="386">
        <v>31</v>
      </c>
      <c r="AF23" s="386">
        <v>10</v>
      </c>
      <c r="AG23" s="386">
        <v>41</v>
      </c>
    </row>
    <row r="24" spans="1:33" x14ac:dyDescent="0.25">
      <c r="A24" s="381" t="s">
        <v>110</v>
      </c>
      <c r="B24" s="387" t="s">
        <v>111</v>
      </c>
      <c r="C24" s="383">
        <v>519</v>
      </c>
      <c r="D24" s="383">
        <v>0</v>
      </c>
      <c r="E24" s="383">
        <v>216</v>
      </c>
      <c r="F24" s="383">
        <v>196</v>
      </c>
      <c r="G24" s="383">
        <v>12</v>
      </c>
      <c r="H24" s="383">
        <v>943</v>
      </c>
      <c r="I24" s="382">
        <v>931</v>
      </c>
      <c r="J24" s="382">
        <v>3</v>
      </c>
      <c r="K24" s="384">
        <v>79.08</v>
      </c>
      <c r="L24" s="384">
        <v>76.180000000000007</v>
      </c>
      <c r="M24" s="384">
        <v>5.85</v>
      </c>
      <c r="N24" s="384">
        <v>82.66</v>
      </c>
      <c r="O24" s="385">
        <v>477</v>
      </c>
      <c r="P24" s="382">
        <v>101.51</v>
      </c>
      <c r="Q24" s="382">
        <v>82.3</v>
      </c>
      <c r="R24" s="382">
        <v>72.16</v>
      </c>
      <c r="S24" s="382">
        <v>173.67</v>
      </c>
      <c r="T24" s="382">
        <v>354</v>
      </c>
      <c r="U24" s="382">
        <v>107.56</v>
      </c>
      <c r="V24" s="382">
        <v>27</v>
      </c>
      <c r="W24" s="382">
        <v>0</v>
      </c>
      <c r="X24" s="382">
        <v>0</v>
      </c>
      <c r="Y24" s="382">
        <v>0</v>
      </c>
      <c r="Z24" s="382">
        <v>0</v>
      </c>
      <c r="AA24" s="382">
        <v>0</v>
      </c>
      <c r="AB24" s="382">
        <v>0</v>
      </c>
      <c r="AC24" s="382">
        <v>0</v>
      </c>
      <c r="AD24" s="386">
        <v>519</v>
      </c>
      <c r="AE24" s="386">
        <v>2</v>
      </c>
      <c r="AF24" s="386">
        <v>3</v>
      </c>
      <c r="AG24" s="386">
        <v>5</v>
      </c>
    </row>
    <row r="25" spans="1:33" x14ac:dyDescent="0.25">
      <c r="A25" s="381" t="s">
        <v>112</v>
      </c>
      <c r="B25" s="387" t="s">
        <v>113</v>
      </c>
      <c r="C25" s="383">
        <v>5333</v>
      </c>
      <c r="D25" s="383">
        <v>11</v>
      </c>
      <c r="E25" s="383">
        <v>237</v>
      </c>
      <c r="F25" s="383">
        <v>355</v>
      </c>
      <c r="G25" s="383">
        <v>630</v>
      </c>
      <c r="H25" s="383">
        <v>6566</v>
      </c>
      <c r="I25" s="382">
        <v>5936</v>
      </c>
      <c r="J25" s="382">
        <v>0</v>
      </c>
      <c r="K25" s="384">
        <v>111.38</v>
      </c>
      <c r="L25" s="384">
        <v>111.2</v>
      </c>
      <c r="M25" s="384">
        <v>5.55</v>
      </c>
      <c r="N25" s="384">
        <v>114.13</v>
      </c>
      <c r="O25" s="385">
        <v>5034</v>
      </c>
      <c r="P25" s="382">
        <v>93.85</v>
      </c>
      <c r="Q25" s="382">
        <v>88.49</v>
      </c>
      <c r="R25" s="382">
        <v>37.28</v>
      </c>
      <c r="S25" s="382">
        <v>127.1</v>
      </c>
      <c r="T25" s="382">
        <v>518</v>
      </c>
      <c r="U25" s="382">
        <v>128.69999999999999</v>
      </c>
      <c r="V25" s="382">
        <v>176</v>
      </c>
      <c r="W25" s="382">
        <v>0</v>
      </c>
      <c r="X25" s="382">
        <v>0</v>
      </c>
      <c r="Y25" s="382">
        <v>30</v>
      </c>
      <c r="Z25" s="382">
        <v>3</v>
      </c>
      <c r="AA25" s="382">
        <v>4</v>
      </c>
      <c r="AB25" s="382">
        <v>9</v>
      </c>
      <c r="AC25" s="382">
        <v>16</v>
      </c>
      <c r="AD25" s="386">
        <v>5260</v>
      </c>
      <c r="AE25" s="386">
        <v>26</v>
      </c>
      <c r="AF25" s="386">
        <v>7</v>
      </c>
      <c r="AG25" s="386">
        <v>33</v>
      </c>
    </row>
    <row r="26" spans="1:33" x14ac:dyDescent="0.25">
      <c r="A26" s="381" t="s">
        <v>114</v>
      </c>
      <c r="B26" s="387" t="s">
        <v>115</v>
      </c>
      <c r="C26" s="383">
        <v>12428</v>
      </c>
      <c r="D26" s="383">
        <v>312</v>
      </c>
      <c r="E26" s="383">
        <v>314</v>
      </c>
      <c r="F26" s="383">
        <v>910</v>
      </c>
      <c r="G26" s="383">
        <v>1072</v>
      </c>
      <c r="H26" s="383">
        <v>15036</v>
      </c>
      <c r="I26" s="382">
        <v>13964</v>
      </c>
      <c r="J26" s="382">
        <v>0</v>
      </c>
      <c r="K26" s="384">
        <v>112.79</v>
      </c>
      <c r="L26" s="384">
        <v>109.31</v>
      </c>
      <c r="M26" s="384">
        <v>4.75</v>
      </c>
      <c r="N26" s="384">
        <v>114.75</v>
      </c>
      <c r="O26" s="385">
        <v>11207</v>
      </c>
      <c r="P26" s="382">
        <v>96.83</v>
      </c>
      <c r="Q26" s="382">
        <v>96.83</v>
      </c>
      <c r="R26" s="382">
        <v>32.39</v>
      </c>
      <c r="S26" s="382">
        <v>127.45</v>
      </c>
      <c r="T26" s="382">
        <v>1140</v>
      </c>
      <c r="U26" s="382">
        <v>146.86000000000001</v>
      </c>
      <c r="V26" s="382">
        <v>917</v>
      </c>
      <c r="W26" s="382">
        <v>150.16999999999999</v>
      </c>
      <c r="X26" s="382">
        <v>2</v>
      </c>
      <c r="Y26" s="382">
        <v>21</v>
      </c>
      <c r="Z26" s="382">
        <v>7</v>
      </c>
      <c r="AA26" s="382">
        <v>1</v>
      </c>
      <c r="AB26" s="382">
        <v>70</v>
      </c>
      <c r="AC26" s="382">
        <v>21</v>
      </c>
      <c r="AD26" s="386">
        <v>12402</v>
      </c>
      <c r="AE26" s="386">
        <v>66</v>
      </c>
      <c r="AF26" s="386">
        <v>24</v>
      </c>
      <c r="AG26" s="386">
        <v>90</v>
      </c>
    </row>
    <row r="27" spans="1:33" x14ac:dyDescent="0.25">
      <c r="A27" s="381" t="s">
        <v>116</v>
      </c>
      <c r="B27" s="387" t="s">
        <v>117</v>
      </c>
      <c r="C27" s="383">
        <v>1009</v>
      </c>
      <c r="D27" s="383">
        <v>0</v>
      </c>
      <c r="E27" s="383">
        <v>264</v>
      </c>
      <c r="F27" s="383">
        <v>140</v>
      </c>
      <c r="G27" s="383">
        <v>88</v>
      </c>
      <c r="H27" s="383">
        <v>1501</v>
      </c>
      <c r="I27" s="382">
        <v>1413</v>
      </c>
      <c r="J27" s="382">
        <v>1</v>
      </c>
      <c r="K27" s="384">
        <v>86.68</v>
      </c>
      <c r="L27" s="384">
        <v>84.29</v>
      </c>
      <c r="M27" s="384">
        <v>3.01</v>
      </c>
      <c r="N27" s="384">
        <v>88.52</v>
      </c>
      <c r="O27" s="385">
        <v>871</v>
      </c>
      <c r="P27" s="382">
        <v>122.09</v>
      </c>
      <c r="Q27" s="382">
        <v>73.03</v>
      </c>
      <c r="R27" s="382">
        <v>59.92</v>
      </c>
      <c r="S27" s="382">
        <v>179.67</v>
      </c>
      <c r="T27" s="382">
        <v>359</v>
      </c>
      <c r="U27" s="382">
        <v>97.23</v>
      </c>
      <c r="V27" s="382">
        <v>117</v>
      </c>
      <c r="W27" s="382">
        <v>170.83</v>
      </c>
      <c r="X27" s="382">
        <v>4</v>
      </c>
      <c r="Y27" s="382">
        <v>16</v>
      </c>
      <c r="Z27" s="382">
        <v>0</v>
      </c>
      <c r="AA27" s="382">
        <v>4</v>
      </c>
      <c r="AB27" s="382">
        <v>1</v>
      </c>
      <c r="AC27" s="382">
        <v>1</v>
      </c>
      <c r="AD27" s="386">
        <v>1006</v>
      </c>
      <c r="AE27" s="386">
        <v>9</v>
      </c>
      <c r="AF27" s="386">
        <v>9</v>
      </c>
      <c r="AG27" s="386">
        <v>18</v>
      </c>
    </row>
    <row r="28" spans="1:33" x14ac:dyDescent="0.25">
      <c r="A28" s="381" t="s">
        <v>118</v>
      </c>
      <c r="B28" s="387" t="s">
        <v>119</v>
      </c>
      <c r="C28" s="383">
        <v>9094</v>
      </c>
      <c r="D28" s="383">
        <v>0</v>
      </c>
      <c r="E28" s="383">
        <v>381</v>
      </c>
      <c r="F28" s="383">
        <v>2105</v>
      </c>
      <c r="G28" s="383">
        <v>628</v>
      </c>
      <c r="H28" s="383">
        <v>12208</v>
      </c>
      <c r="I28" s="382">
        <v>11580</v>
      </c>
      <c r="J28" s="382">
        <v>4</v>
      </c>
      <c r="K28" s="384">
        <v>99.15</v>
      </c>
      <c r="L28" s="384">
        <v>99.43</v>
      </c>
      <c r="M28" s="384">
        <v>5.34</v>
      </c>
      <c r="N28" s="384">
        <v>103.82</v>
      </c>
      <c r="O28" s="385">
        <v>8310</v>
      </c>
      <c r="P28" s="382">
        <v>92.72</v>
      </c>
      <c r="Q28" s="382">
        <v>93.16</v>
      </c>
      <c r="R28" s="382">
        <v>16.350000000000001</v>
      </c>
      <c r="S28" s="382">
        <v>108.91</v>
      </c>
      <c r="T28" s="382">
        <v>2207</v>
      </c>
      <c r="U28" s="382">
        <v>132.76</v>
      </c>
      <c r="V28" s="382">
        <v>667</v>
      </c>
      <c r="W28" s="382">
        <v>118.37</v>
      </c>
      <c r="X28" s="382">
        <v>77</v>
      </c>
      <c r="Y28" s="382">
        <v>0</v>
      </c>
      <c r="Z28" s="382">
        <v>9</v>
      </c>
      <c r="AA28" s="382">
        <v>4</v>
      </c>
      <c r="AB28" s="382">
        <v>69</v>
      </c>
      <c r="AC28" s="382">
        <v>7</v>
      </c>
      <c r="AD28" s="386">
        <v>9008</v>
      </c>
      <c r="AE28" s="386">
        <v>37</v>
      </c>
      <c r="AF28" s="386">
        <v>85</v>
      </c>
      <c r="AG28" s="386">
        <v>122</v>
      </c>
    </row>
    <row r="29" spans="1:33" x14ac:dyDescent="0.25">
      <c r="A29" s="381" t="s">
        <v>120</v>
      </c>
      <c r="B29" s="387" t="s">
        <v>121</v>
      </c>
      <c r="C29" s="383">
        <v>10635</v>
      </c>
      <c r="D29" s="383">
        <v>0</v>
      </c>
      <c r="E29" s="383">
        <v>374</v>
      </c>
      <c r="F29" s="383">
        <v>1142</v>
      </c>
      <c r="G29" s="383">
        <v>1087</v>
      </c>
      <c r="H29" s="383">
        <v>13238</v>
      </c>
      <c r="I29" s="382">
        <v>12151</v>
      </c>
      <c r="J29" s="382">
        <v>2</v>
      </c>
      <c r="K29" s="384">
        <v>97.91</v>
      </c>
      <c r="L29" s="384">
        <v>97.23</v>
      </c>
      <c r="M29" s="384">
        <v>8.84</v>
      </c>
      <c r="N29" s="384">
        <v>104.3</v>
      </c>
      <c r="O29" s="385">
        <v>9189</v>
      </c>
      <c r="P29" s="382">
        <v>102.84</v>
      </c>
      <c r="Q29" s="382">
        <v>91.09</v>
      </c>
      <c r="R29" s="382">
        <v>46.48</v>
      </c>
      <c r="S29" s="382">
        <v>149.16999999999999</v>
      </c>
      <c r="T29" s="382">
        <v>1317</v>
      </c>
      <c r="U29" s="382">
        <v>129.35</v>
      </c>
      <c r="V29" s="382">
        <v>1135</v>
      </c>
      <c r="W29" s="382">
        <v>105.11</v>
      </c>
      <c r="X29" s="382">
        <v>5</v>
      </c>
      <c r="Y29" s="382">
        <v>0</v>
      </c>
      <c r="Z29" s="382">
        <v>8</v>
      </c>
      <c r="AA29" s="382">
        <v>3</v>
      </c>
      <c r="AB29" s="382">
        <v>69</v>
      </c>
      <c r="AC29" s="382">
        <v>22</v>
      </c>
      <c r="AD29" s="386">
        <v>10551</v>
      </c>
      <c r="AE29" s="386">
        <v>38</v>
      </c>
      <c r="AF29" s="386">
        <v>14</v>
      </c>
      <c r="AG29" s="386">
        <v>52</v>
      </c>
    </row>
    <row r="30" spans="1:33" x14ac:dyDescent="0.25">
      <c r="A30" s="381" t="s">
        <v>122</v>
      </c>
      <c r="B30" s="387" t="s">
        <v>123</v>
      </c>
      <c r="C30" s="383">
        <v>12494</v>
      </c>
      <c r="D30" s="383">
        <v>54</v>
      </c>
      <c r="E30" s="383">
        <v>122</v>
      </c>
      <c r="F30" s="383">
        <v>1327</v>
      </c>
      <c r="G30" s="383">
        <v>1052</v>
      </c>
      <c r="H30" s="383">
        <v>15049</v>
      </c>
      <c r="I30" s="382">
        <v>13997</v>
      </c>
      <c r="J30" s="382">
        <v>20</v>
      </c>
      <c r="K30" s="384">
        <v>109.11</v>
      </c>
      <c r="L30" s="384">
        <v>108.49</v>
      </c>
      <c r="M30" s="384">
        <v>10.84</v>
      </c>
      <c r="N30" s="384">
        <v>119.13</v>
      </c>
      <c r="O30" s="385">
        <v>10046</v>
      </c>
      <c r="P30" s="382">
        <v>97.87</v>
      </c>
      <c r="Q30" s="382">
        <v>96.59</v>
      </c>
      <c r="R30" s="382">
        <v>30.85</v>
      </c>
      <c r="S30" s="382">
        <v>128.31</v>
      </c>
      <c r="T30" s="382">
        <v>1292</v>
      </c>
      <c r="U30" s="382">
        <v>157.44999999999999</v>
      </c>
      <c r="V30" s="382">
        <v>1432</v>
      </c>
      <c r="W30" s="382">
        <v>0</v>
      </c>
      <c r="X30" s="382">
        <v>0</v>
      </c>
      <c r="Y30" s="382">
        <v>0</v>
      </c>
      <c r="Z30" s="382">
        <v>7</v>
      </c>
      <c r="AA30" s="382">
        <v>2</v>
      </c>
      <c r="AB30" s="382">
        <v>90</v>
      </c>
      <c r="AC30" s="382">
        <v>22</v>
      </c>
      <c r="AD30" s="386">
        <v>11559</v>
      </c>
      <c r="AE30" s="386">
        <v>60</v>
      </c>
      <c r="AF30" s="386">
        <v>461</v>
      </c>
      <c r="AG30" s="386">
        <v>521</v>
      </c>
    </row>
    <row r="31" spans="1:33" x14ac:dyDescent="0.25">
      <c r="A31" s="381" t="s">
        <v>124</v>
      </c>
      <c r="B31" s="387" t="s">
        <v>125</v>
      </c>
      <c r="C31" s="383">
        <v>34233</v>
      </c>
      <c r="D31" s="383">
        <v>688</v>
      </c>
      <c r="E31" s="383">
        <v>11199</v>
      </c>
      <c r="F31" s="383">
        <v>4344</v>
      </c>
      <c r="G31" s="383">
        <v>3153</v>
      </c>
      <c r="H31" s="383">
        <v>53617</v>
      </c>
      <c r="I31" s="382">
        <v>50464</v>
      </c>
      <c r="J31" s="382">
        <v>106</v>
      </c>
      <c r="K31" s="384">
        <v>92.41</v>
      </c>
      <c r="L31" s="384">
        <v>91.3</v>
      </c>
      <c r="M31" s="384">
        <v>7.48</v>
      </c>
      <c r="N31" s="384">
        <v>98.17</v>
      </c>
      <c r="O31" s="385">
        <v>30621</v>
      </c>
      <c r="P31" s="382">
        <v>97.56</v>
      </c>
      <c r="Q31" s="382">
        <v>105.27</v>
      </c>
      <c r="R31" s="382">
        <v>102.14</v>
      </c>
      <c r="S31" s="382">
        <v>198.59</v>
      </c>
      <c r="T31" s="382">
        <v>12621</v>
      </c>
      <c r="U31" s="382">
        <v>115.27</v>
      </c>
      <c r="V31" s="382">
        <v>1604</v>
      </c>
      <c r="W31" s="382">
        <v>180.93</v>
      </c>
      <c r="X31" s="382">
        <v>123</v>
      </c>
      <c r="Y31" s="382">
        <v>77</v>
      </c>
      <c r="Z31" s="382">
        <v>22</v>
      </c>
      <c r="AA31" s="382">
        <v>62</v>
      </c>
      <c r="AB31" s="382">
        <v>45</v>
      </c>
      <c r="AC31" s="382">
        <v>103</v>
      </c>
      <c r="AD31" s="386">
        <v>32692</v>
      </c>
      <c r="AE31" s="386">
        <v>151</v>
      </c>
      <c r="AF31" s="386">
        <v>115</v>
      </c>
      <c r="AG31" s="386">
        <v>266</v>
      </c>
    </row>
    <row r="32" spans="1:33" x14ac:dyDescent="0.25">
      <c r="A32" s="381" t="s">
        <v>126</v>
      </c>
      <c r="B32" s="387" t="s">
        <v>127</v>
      </c>
      <c r="C32" s="383">
        <v>2123</v>
      </c>
      <c r="D32" s="383">
        <v>0</v>
      </c>
      <c r="E32" s="383">
        <v>112</v>
      </c>
      <c r="F32" s="383">
        <v>1376</v>
      </c>
      <c r="G32" s="383">
        <v>380</v>
      </c>
      <c r="H32" s="383">
        <v>3991</v>
      </c>
      <c r="I32" s="382">
        <v>3611</v>
      </c>
      <c r="J32" s="382">
        <v>0</v>
      </c>
      <c r="K32" s="384">
        <v>86.63</v>
      </c>
      <c r="L32" s="384">
        <v>86.17</v>
      </c>
      <c r="M32" s="384">
        <v>4.5</v>
      </c>
      <c r="N32" s="384">
        <v>89.09</v>
      </c>
      <c r="O32" s="385">
        <v>1620</v>
      </c>
      <c r="P32" s="382">
        <v>77.3</v>
      </c>
      <c r="Q32" s="382">
        <v>76.58</v>
      </c>
      <c r="R32" s="382">
        <v>18.77</v>
      </c>
      <c r="S32" s="382">
        <v>95.58</v>
      </c>
      <c r="T32" s="382">
        <v>1482</v>
      </c>
      <c r="U32" s="382">
        <v>109.9</v>
      </c>
      <c r="V32" s="382">
        <v>411</v>
      </c>
      <c r="W32" s="382">
        <v>130.79</v>
      </c>
      <c r="X32" s="382">
        <v>1</v>
      </c>
      <c r="Y32" s="382">
        <v>0</v>
      </c>
      <c r="Z32" s="382">
        <v>9</v>
      </c>
      <c r="AA32" s="382">
        <v>5</v>
      </c>
      <c r="AB32" s="382">
        <v>15</v>
      </c>
      <c r="AC32" s="382">
        <v>9</v>
      </c>
      <c r="AD32" s="386">
        <v>2123</v>
      </c>
      <c r="AE32" s="386">
        <v>6</v>
      </c>
      <c r="AF32" s="386">
        <v>7</v>
      </c>
      <c r="AG32" s="386">
        <v>13</v>
      </c>
    </row>
    <row r="33" spans="1:33" x14ac:dyDescent="0.25">
      <c r="A33" s="381" t="s">
        <v>128</v>
      </c>
      <c r="B33" s="387" t="s">
        <v>129</v>
      </c>
      <c r="C33" s="383">
        <v>10238</v>
      </c>
      <c r="D33" s="383">
        <v>0</v>
      </c>
      <c r="E33" s="383">
        <v>497</v>
      </c>
      <c r="F33" s="383">
        <v>878</v>
      </c>
      <c r="G33" s="383">
        <v>208</v>
      </c>
      <c r="H33" s="383">
        <v>11821</v>
      </c>
      <c r="I33" s="382">
        <v>11613</v>
      </c>
      <c r="J33" s="382">
        <v>2</v>
      </c>
      <c r="K33" s="384">
        <v>77.900000000000006</v>
      </c>
      <c r="L33" s="384">
        <v>74.42</v>
      </c>
      <c r="M33" s="384">
        <v>2.2400000000000002</v>
      </c>
      <c r="N33" s="384">
        <v>79.89</v>
      </c>
      <c r="O33" s="385">
        <v>8886</v>
      </c>
      <c r="P33" s="382">
        <v>88.77</v>
      </c>
      <c r="Q33" s="382">
        <v>71.28</v>
      </c>
      <c r="R33" s="382">
        <v>60.8</v>
      </c>
      <c r="S33" s="382">
        <v>146.34</v>
      </c>
      <c r="T33" s="382">
        <v>1075</v>
      </c>
      <c r="U33" s="382">
        <v>95.31</v>
      </c>
      <c r="V33" s="382">
        <v>1263</v>
      </c>
      <c r="W33" s="382">
        <v>150.74</v>
      </c>
      <c r="X33" s="382">
        <v>210</v>
      </c>
      <c r="Y33" s="382">
        <v>1</v>
      </c>
      <c r="Z33" s="382">
        <v>51</v>
      </c>
      <c r="AA33" s="382">
        <v>2</v>
      </c>
      <c r="AB33" s="382">
        <v>3</v>
      </c>
      <c r="AC33" s="382">
        <v>13</v>
      </c>
      <c r="AD33" s="386">
        <v>10229</v>
      </c>
      <c r="AE33" s="386">
        <v>83</v>
      </c>
      <c r="AF33" s="386">
        <v>28</v>
      </c>
      <c r="AG33" s="386">
        <v>111</v>
      </c>
    </row>
    <row r="34" spans="1:33" x14ac:dyDescent="0.25">
      <c r="A34" s="381" t="s">
        <v>130</v>
      </c>
      <c r="B34" s="387" t="s">
        <v>131</v>
      </c>
      <c r="C34" s="383">
        <v>1682</v>
      </c>
      <c r="D34" s="383">
        <v>0</v>
      </c>
      <c r="E34" s="383">
        <v>450</v>
      </c>
      <c r="F34" s="383">
        <v>199</v>
      </c>
      <c r="G34" s="383">
        <v>131</v>
      </c>
      <c r="H34" s="383">
        <v>2462</v>
      </c>
      <c r="I34" s="382">
        <v>2331</v>
      </c>
      <c r="J34" s="382">
        <v>0</v>
      </c>
      <c r="K34" s="384">
        <v>85.64</v>
      </c>
      <c r="L34" s="384">
        <v>83</v>
      </c>
      <c r="M34" s="384">
        <v>4.37</v>
      </c>
      <c r="N34" s="384">
        <v>89.06</v>
      </c>
      <c r="O34" s="385">
        <v>1200</v>
      </c>
      <c r="P34" s="382">
        <v>108.89</v>
      </c>
      <c r="Q34" s="382">
        <v>82.46</v>
      </c>
      <c r="R34" s="382">
        <v>66.22</v>
      </c>
      <c r="S34" s="382">
        <v>171.55</v>
      </c>
      <c r="T34" s="382">
        <v>595</v>
      </c>
      <c r="U34" s="382">
        <v>103.69</v>
      </c>
      <c r="V34" s="382">
        <v>365</v>
      </c>
      <c r="W34" s="382">
        <v>0</v>
      </c>
      <c r="X34" s="382">
        <v>0</v>
      </c>
      <c r="Y34" s="382">
        <v>67</v>
      </c>
      <c r="Z34" s="382">
        <v>0</v>
      </c>
      <c r="AA34" s="382">
        <v>8</v>
      </c>
      <c r="AB34" s="382">
        <v>0</v>
      </c>
      <c r="AC34" s="382">
        <v>6</v>
      </c>
      <c r="AD34" s="386">
        <v>1625</v>
      </c>
      <c r="AE34" s="386">
        <v>14</v>
      </c>
      <c r="AF34" s="386">
        <v>9</v>
      </c>
      <c r="AG34" s="386">
        <v>23</v>
      </c>
    </row>
    <row r="35" spans="1:33" x14ac:dyDescent="0.25">
      <c r="A35" s="381" t="s">
        <v>132</v>
      </c>
      <c r="B35" s="387" t="s">
        <v>133</v>
      </c>
      <c r="C35" s="383">
        <v>769</v>
      </c>
      <c r="D35" s="383">
        <v>0</v>
      </c>
      <c r="E35" s="383">
        <v>103</v>
      </c>
      <c r="F35" s="383">
        <v>261</v>
      </c>
      <c r="G35" s="383">
        <v>36</v>
      </c>
      <c r="H35" s="383">
        <v>1169</v>
      </c>
      <c r="I35" s="382">
        <v>1133</v>
      </c>
      <c r="J35" s="382">
        <v>0</v>
      </c>
      <c r="K35" s="384">
        <v>88.98</v>
      </c>
      <c r="L35" s="384">
        <v>86.81</v>
      </c>
      <c r="M35" s="384">
        <v>4.08</v>
      </c>
      <c r="N35" s="384">
        <v>91.4</v>
      </c>
      <c r="O35" s="385">
        <v>649</v>
      </c>
      <c r="P35" s="382">
        <v>100.77</v>
      </c>
      <c r="Q35" s="382">
        <v>85.31</v>
      </c>
      <c r="R35" s="382">
        <v>33.08</v>
      </c>
      <c r="S35" s="382">
        <v>132.24</v>
      </c>
      <c r="T35" s="382">
        <v>348</v>
      </c>
      <c r="U35" s="382">
        <v>88.74</v>
      </c>
      <c r="V35" s="382">
        <v>85</v>
      </c>
      <c r="W35" s="382">
        <v>0</v>
      </c>
      <c r="X35" s="382">
        <v>0</v>
      </c>
      <c r="Y35" s="382">
        <v>83</v>
      </c>
      <c r="Z35" s="382">
        <v>0</v>
      </c>
      <c r="AA35" s="382">
        <v>1</v>
      </c>
      <c r="AB35" s="382">
        <v>0</v>
      </c>
      <c r="AC35" s="382">
        <v>0</v>
      </c>
      <c r="AD35" s="386">
        <v>748</v>
      </c>
      <c r="AE35" s="386">
        <v>7</v>
      </c>
      <c r="AF35" s="386">
        <v>2</v>
      </c>
      <c r="AG35" s="386">
        <v>9</v>
      </c>
    </row>
    <row r="36" spans="1:33" x14ac:dyDescent="0.25">
      <c r="A36" s="381" t="s">
        <v>134</v>
      </c>
      <c r="B36" s="387" t="s">
        <v>135</v>
      </c>
      <c r="C36" s="383">
        <v>20848</v>
      </c>
      <c r="D36" s="383">
        <v>1</v>
      </c>
      <c r="E36" s="383">
        <v>875</v>
      </c>
      <c r="F36" s="383">
        <v>3837</v>
      </c>
      <c r="G36" s="383">
        <v>345</v>
      </c>
      <c r="H36" s="383">
        <v>25906</v>
      </c>
      <c r="I36" s="382">
        <v>25561</v>
      </c>
      <c r="J36" s="382">
        <v>45</v>
      </c>
      <c r="K36" s="384">
        <v>77.02</v>
      </c>
      <c r="L36" s="384">
        <v>79</v>
      </c>
      <c r="M36" s="384">
        <v>3.27</v>
      </c>
      <c r="N36" s="384">
        <v>79.98</v>
      </c>
      <c r="O36" s="385">
        <v>17355</v>
      </c>
      <c r="P36" s="382">
        <v>77.13</v>
      </c>
      <c r="Q36" s="382">
        <v>72.02</v>
      </c>
      <c r="R36" s="382">
        <v>35.44</v>
      </c>
      <c r="S36" s="382">
        <v>112.33</v>
      </c>
      <c r="T36" s="382">
        <v>4635</v>
      </c>
      <c r="U36" s="382">
        <v>95.19</v>
      </c>
      <c r="V36" s="382">
        <v>3199</v>
      </c>
      <c r="W36" s="382">
        <v>189.95</v>
      </c>
      <c r="X36" s="382">
        <v>5</v>
      </c>
      <c r="Y36" s="382">
        <v>0</v>
      </c>
      <c r="Z36" s="382">
        <v>166</v>
      </c>
      <c r="AA36" s="382">
        <v>22</v>
      </c>
      <c r="AB36" s="382">
        <v>5</v>
      </c>
      <c r="AC36" s="382">
        <v>17</v>
      </c>
      <c r="AD36" s="386">
        <v>20813</v>
      </c>
      <c r="AE36" s="386">
        <v>106</v>
      </c>
      <c r="AF36" s="386">
        <v>185</v>
      </c>
      <c r="AG36" s="386">
        <v>291</v>
      </c>
    </row>
    <row r="37" spans="1:33" x14ac:dyDescent="0.25">
      <c r="A37" s="381" t="s">
        <v>136</v>
      </c>
      <c r="B37" s="387" t="s">
        <v>137</v>
      </c>
      <c r="C37" s="383">
        <v>4566</v>
      </c>
      <c r="D37" s="383">
        <v>3</v>
      </c>
      <c r="E37" s="383">
        <v>134</v>
      </c>
      <c r="F37" s="383">
        <v>897</v>
      </c>
      <c r="G37" s="383">
        <v>269</v>
      </c>
      <c r="H37" s="383">
        <v>5869</v>
      </c>
      <c r="I37" s="382">
        <v>5600</v>
      </c>
      <c r="J37" s="382">
        <v>0</v>
      </c>
      <c r="K37" s="384">
        <v>79.42</v>
      </c>
      <c r="L37" s="384">
        <v>76.72</v>
      </c>
      <c r="M37" s="384">
        <v>1.87</v>
      </c>
      <c r="N37" s="384">
        <v>81.3</v>
      </c>
      <c r="O37" s="385">
        <v>4063</v>
      </c>
      <c r="P37" s="382">
        <v>76.45</v>
      </c>
      <c r="Q37" s="382">
        <v>72.22</v>
      </c>
      <c r="R37" s="382">
        <v>20.96</v>
      </c>
      <c r="S37" s="382">
        <v>97.41</v>
      </c>
      <c r="T37" s="382">
        <v>1000</v>
      </c>
      <c r="U37" s="382">
        <v>103.39</v>
      </c>
      <c r="V37" s="382">
        <v>364</v>
      </c>
      <c r="W37" s="382">
        <v>302.19</v>
      </c>
      <c r="X37" s="382">
        <v>6</v>
      </c>
      <c r="Y37" s="382">
        <v>0</v>
      </c>
      <c r="Z37" s="382">
        <v>7</v>
      </c>
      <c r="AA37" s="382">
        <v>0</v>
      </c>
      <c r="AB37" s="382">
        <v>41</v>
      </c>
      <c r="AC37" s="382">
        <v>6</v>
      </c>
      <c r="AD37" s="386">
        <v>4530</v>
      </c>
      <c r="AE37" s="386">
        <v>13</v>
      </c>
      <c r="AF37" s="386">
        <v>41</v>
      </c>
      <c r="AG37" s="386">
        <v>54</v>
      </c>
    </row>
    <row r="38" spans="1:33" x14ac:dyDescent="0.25">
      <c r="A38" s="381" t="s">
        <v>138</v>
      </c>
      <c r="B38" s="387" t="s">
        <v>139</v>
      </c>
      <c r="C38" s="382">
        <v>6809</v>
      </c>
      <c r="D38" s="382">
        <v>19</v>
      </c>
      <c r="E38" s="382">
        <v>1312</v>
      </c>
      <c r="F38" s="382">
        <v>1016</v>
      </c>
      <c r="G38" s="382">
        <v>934</v>
      </c>
      <c r="H38" s="382">
        <v>10090</v>
      </c>
      <c r="I38" s="382">
        <v>9156</v>
      </c>
      <c r="J38" s="382">
        <v>13</v>
      </c>
      <c r="K38" s="382">
        <v>103.55</v>
      </c>
      <c r="L38" s="382">
        <v>102.35</v>
      </c>
      <c r="M38" s="382">
        <v>5.37</v>
      </c>
      <c r="N38" s="382">
        <v>107.41</v>
      </c>
      <c r="O38" s="385">
        <v>5847</v>
      </c>
      <c r="P38" s="382">
        <v>96.6</v>
      </c>
      <c r="Q38" s="382">
        <v>83.68</v>
      </c>
      <c r="R38" s="382">
        <v>40.97</v>
      </c>
      <c r="S38" s="382">
        <v>136.02000000000001</v>
      </c>
      <c r="T38" s="382">
        <v>1671</v>
      </c>
      <c r="U38" s="382">
        <v>140.80000000000001</v>
      </c>
      <c r="V38" s="382">
        <v>526</v>
      </c>
      <c r="W38" s="382">
        <v>344.67</v>
      </c>
      <c r="X38" s="382">
        <v>50</v>
      </c>
      <c r="Y38" s="382">
        <v>1</v>
      </c>
      <c r="Z38" s="382">
        <v>1</v>
      </c>
      <c r="AA38" s="382">
        <v>3</v>
      </c>
      <c r="AB38" s="382">
        <v>5</v>
      </c>
      <c r="AC38" s="382">
        <v>17</v>
      </c>
      <c r="AD38" s="382">
        <v>6365</v>
      </c>
      <c r="AE38" s="382">
        <v>12</v>
      </c>
      <c r="AF38" s="382">
        <v>12</v>
      </c>
      <c r="AG38" s="382">
        <v>24</v>
      </c>
    </row>
    <row r="39" spans="1:33" x14ac:dyDescent="0.25">
      <c r="A39" s="381" t="s">
        <v>140</v>
      </c>
      <c r="B39" s="387" t="s">
        <v>141</v>
      </c>
      <c r="C39" s="383">
        <v>7316</v>
      </c>
      <c r="D39" s="383">
        <v>3</v>
      </c>
      <c r="E39" s="383">
        <v>248</v>
      </c>
      <c r="F39" s="383">
        <v>509</v>
      </c>
      <c r="G39" s="383">
        <v>655</v>
      </c>
      <c r="H39" s="383">
        <v>8731</v>
      </c>
      <c r="I39" s="382">
        <v>8076</v>
      </c>
      <c r="J39" s="382">
        <v>0</v>
      </c>
      <c r="K39" s="384">
        <v>108.58</v>
      </c>
      <c r="L39" s="384">
        <v>108.78</v>
      </c>
      <c r="M39" s="384">
        <v>7.52</v>
      </c>
      <c r="N39" s="384">
        <v>111.08</v>
      </c>
      <c r="O39" s="385">
        <v>6752</v>
      </c>
      <c r="P39" s="382">
        <v>99.1</v>
      </c>
      <c r="Q39" s="382">
        <v>96.06</v>
      </c>
      <c r="R39" s="382">
        <v>36.909999999999997</v>
      </c>
      <c r="S39" s="382">
        <v>133.63</v>
      </c>
      <c r="T39" s="382">
        <v>745</v>
      </c>
      <c r="U39" s="382">
        <v>157.22</v>
      </c>
      <c r="V39" s="382">
        <v>487</v>
      </c>
      <c r="W39" s="382">
        <v>0</v>
      </c>
      <c r="X39" s="382">
        <v>0</v>
      </c>
      <c r="Y39" s="382">
        <v>0</v>
      </c>
      <c r="Z39" s="382">
        <v>15</v>
      </c>
      <c r="AA39" s="382">
        <v>3</v>
      </c>
      <c r="AB39" s="382">
        <v>24</v>
      </c>
      <c r="AC39" s="382">
        <v>7</v>
      </c>
      <c r="AD39" s="386">
        <v>7288</v>
      </c>
      <c r="AE39" s="386">
        <v>46</v>
      </c>
      <c r="AF39" s="386">
        <v>122</v>
      </c>
      <c r="AG39" s="386">
        <v>168</v>
      </c>
    </row>
    <row r="40" spans="1:33" x14ac:dyDescent="0.25">
      <c r="A40" s="381" t="s">
        <v>142</v>
      </c>
      <c r="B40" s="387" t="s">
        <v>143</v>
      </c>
      <c r="C40" s="383">
        <v>27560</v>
      </c>
      <c r="D40" s="383">
        <v>132</v>
      </c>
      <c r="E40" s="383">
        <v>1361</v>
      </c>
      <c r="F40" s="383">
        <v>2802</v>
      </c>
      <c r="G40" s="383">
        <v>668</v>
      </c>
      <c r="H40" s="383">
        <v>32523</v>
      </c>
      <c r="I40" s="382">
        <v>31855</v>
      </c>
      <c r="J40" s="382">
        <v>102</v>
      </c>
      <c r="K40" s="384">
        <v>78.28</v>
      </c>
      <c r="L40" s="384">
        <v>82.41</v>
      </c>
      <c r="M40" s="384">
        <v>6.07</v>
      </c>
      <c r="N40" s="384">
        <v>83.92</v>
      </c>
      <c r="O40" s="385">
        <v>24676</v>
      </c>
      <c r="P40" s="382">
        <v>84.81</v>
      </c>
      <c r="Q40" s="382">
        <v>78.069999999999993</v>
      </c>
      <c r="R40" s="382">
        <v>35.71</v>
      </c>
      <c r="S40" s="382">
        <v>120.11</v>
      </c>
      <c r="T40" s="382">
        <v>3488</v>
      </c>
      <c r="U40" s="382">
        <v>103.55</v>
      </c>
      <c r="V40" s="382">
        <v>2926</v>
      </c>
      <c r="W40" s="382">
        <v>140.32</v>
      </c>
      <c r="X40" s="382">
        <v>83</v>
      </c>
      <c r="Y40" s="382">
        <v>194</v>
      </c>
      <c r="Z40" s="382">
        <v>92</v>
      </c>
      <c r="AA40" s="382">
        <v>59</v>
      </c>
      <c r="AB40" s="382">
        <v>6</v>
      </c>
      <c r="AC40" s="382">
        <v>16</v>
      </c>
      <c r="AD40" s="386">
        <v>27544</v>
      </c>
      <c r="AE40" s="386">
        <v>206</v>
      </c>
      <c r="AF40" s="386">
        <v>655</v>
      </c>
      <c r="AG40" s="386">
        <v>861</v>
      </c>
    </row>
    <row r="41" spans="1:33" x14ac:dyDescent="0.25">
      <c r="A41" s="381" t="s">
        <v>144</v>
      </c>
      <c r="B41" s="387" t="s">
        <v>145</v>
      </c>
      <c r="C41" s="383">
        <v>9594</v>
      </c>
      <c r="D41" s="383">
        <v>29</v>
      </c>
      <c r="E41" s="383">
        <v>315</v>
      </c>
      <c r="F41" s="383">
        <v>701</v>
      </c>
      <c r="G41" s="383">
        <v>287</v>
      </c>
      <c r="H41" s="383">
        <v>10926</v>
      </c>
      <c r="I41" s="382">
        <v>10639</v>
      </c>
      <c r="J41" s="382">
        <v>5</v>
      </c>
      <c r="K41" s="384">
        <v>95.88</v>
      </c>
      <c r="L41" s="384">
        <v>96.05</v>
      </c>
      <c r="M41" s="384">
        <v>3.71</v>
      </c>
      <c r="N41" s="384">
        <v>96.89</v>
      </c>
      <c r="O41" s="385">
        <v>8773</v>
      </c>
      <c r="P41" s="382">
        <v>89.22</v>
      </c>
      <c r="Q41" s="382">
        <v>81.55</v>
      </c>
      <c r="R41" s="382">
        <v>39.869999999999997</v>
      </c>
      <c r="S41" s="382">
        <v>127.87</v>
      </c>
      <c r="T41" s="382">
        <v>846</v>
      </c>
      <c r="U41" s="382">
        <v>133.43</v>
      </c>
      <c r="V41" s="382">
        <v>748</v>
      </c>
      <c r="W41" s="382">
        <v>136.02000000000001</v>
      </c>
      <c r="X41" s="382">
        <v>25</v>
      </c>
      <c r="Y41" s="382">
        <v>34</v>
      </c>
      <c r="Z41" s="382">
        <v>28</v>
      </c>
      <c r="AA41" s="382">
        <v>3</v>
      </c>
      <c r="AB41" s="382">
        <v>29</v>
      </c>
      <c r="AC41" s="382">
        <v>5</v>
      </c>
      <c r="AD41" s="386">
        <v>9576</v>
      </c>
      <c r="AE41" s="386">
        <v>6</v>
      </c>
      <c r="AF41" s="386">
        <v>29</v>
      </c>
      <c r="AG41" s="386">
        <v>35</v>
      </c>
    </row>
    <row r="42" spans="1:33" x14ac:dyDescent="0.25">
      <c r="A42" s="381" t="s">
        <v>146</v>
      </c>
      <c r="B42" s="387" t="s">
        <v>147</v>
      </c>
      <c r="C42" s="383">
        <v>7329</v>
      </c>
      <c r="D42" s="383">
        <v>0</v>
      </c>
      <c r="E42" s="383">
        <v>194</v>
      </c>
      <c r="F42" s="383">
        <v>973</v>
      </c>
      <c r="G42" s="383">
        <v>505</v>
      </c>
      <c r="H42" s="383">
        <v>9001</v>
      </c>
      <c r="I42" s="382">
        <v>8496</v>
      </c>
      <c r="J42" s="382">
        <v>0</v>
      </c>
      <c r="K42" s="384">
        <v>88.33</v>
      </c>
      <c r="L42" s="384">
        <v>88.46</v>
      </c>
      <c r="M42" s="384">
        <v>2.97</v>
      </c>
      <c r="N42" s="384">
        <v>89.11</v>
      </c>
      <c r="O42" s="385">
        <v>6725</v>
      </c>
      <c r="P42" s="382">
        <v>80.87</v>
      </c>
      <c r="Q42" s="382">
        <v>78.099999999999994</v>
      </c>
      <c r="R42" s="382">
        <v>24.06</v>
      </c>
      <c r="S42" s="382">
        <v>104.42</v>
      </c>
      <c r="T42" s="382">
        <v>1136</v>
      </c>
      <c r="U42" s="382">
        <v>110.95</v>
      </c>
      <c r="V42" s="382">
        <v>586</v>
      </c>
      <c r="W42" s="382">
        <v>0</v>
      </c>
      <c r="X42" s="382">
        <v>0</v>
      </c>
      <c r="Y42" s="382">
        <v>0</v>
      </c>
      <c r="Z42" s="382">
        <v>7</v>
      </c>
      <c r="AA42" s="382">
        <v>9</v>
      </c>
      <c r="AB42" s="382">
        <v>24</v>
      </c>
      <c r="AC42" s="382">
        <v>24</v>
      </c>
      <c r="AD42" s="386">
        <v>7320</v>
      </c>
      <c r="AE42" s="386">
        <v>22</v>
      </c>
      <c r="AF42" s="386">
        <v>34</v>
      </c>
      <c r="AG42" s="386">
        <v>56</v>
      </c>
    </row>
    <row r="43" spans="1:33" x14ac:dyDescent="0.25">
      <c r="A43" s="381" t="s">
        <v>148</v>
      </c>
      <c r="B43" s="387" t="s">
        <v>149</v>
      </c>
      <c r="C43" s="383">
        <v>15789</v>
      </c>
      <c r="D43" s="383">
        <v>676</v>
      </c>
      <c r="E43" s="383">
        <v>1050</v>
      </c>
      <c r="F43" s="383">
        <v>1070</v>
      </c>
      <c r="G43" s="383">
        <v>1802</v>
      </c>
      <c r="H43" s="383">
        <v>20387</v>
      </c>
      <c r="I43" s="382">
        <v>18585</v>
      </c>
      <c r="J43" s="382">
        <v>247</v>
      </c>
      <c r="K43" s="384">
        <v>133.66</v>
      </c>
      <c r="L43" s="384">
        <v>128.69999999999999</v>
      </c>
      <c r="M43" s="384">
        <v>10.15</v>
      </c>
      <c r="N43" s="384">
        <v>140.80000000000001</v>
      </c>
      <c r="O43" s="385">
        <v>13125</v>
      </c>
      <c r="P43" s="382">
        <v>115.19</v>
      </c>
      <c r="Q43" s="382">
        <v>100.18</v>
      </c>
      <c r="R43" s="382">
        <v>60.6</v>
      </c>
      <c r="S43" s="382">
        <v>161.21</v>
      </c>
      <c r="T43" s="382">
        <v>1792</v>
      </c>
      <c r="U43" s="382">
        <v>205.55</v>
      </c>
      <c r="V43" s="382">
        <v>1487</v>
      </c>
      <c r="W43" s="382">
        <v>198.1</v>
      </c>
      <c r="X43" s="382">
        <v>139</v>
      </c>
      <c r="Y43" s="382">
        <v>0</v>
      </c>
      <c r="Z43" s="382">
        <v>3</v>
      </c>
      <c r="AA43" s="382">
        <v>2</v>
      </c>
      <c r="AB43" s="382">
        <v>79</v>
      </c>
      <c r="AC43" s="382">
        <v>60</v>
      </c>
      <c r="AD43" s="386">
        <v>15004</v>
      </c>
      <c r="AE43" s="386">
        <v>76</v>
      </c>
      <c r="AF43" s="386">
        <v>56</v>
      </c>
      <c r="AG43" s="386">
        <v>132</v>
      </c>
    </row>
    <row r="44" spans="1:33" x14ac:dyDescent="0.25">
      <c r="A44" s="381" t="s">
        <v>150</v>
      </c>
      <c r="B44" s="387" t="s">
        <v>151</v>
      </c>
      <c r="C44" s="383">
        <v>774</v>
      </c>
      <c r="D44" s="383">
        <v>7</v>
      </c>
      <c r="E44" s="383">
        <v>74</v>
      </c>
      <c r="F44" s="383">
        <v>163</v>
      </c>
      <c r="G44" s="383">
        <v>185</v>
      </c>
      <c r="H44" s="383">
        <v>1203</v>
      </c>
      <c r="I44" s="382">
        <v>1018</v>
      </c>
      <c r="J44" s="382">
        <v>2</v>
      </c>
      <c r="K44" s="384">
        <v>117.1</v>
      </c>
      <c r="L44" s="384">
        <v>115.7</v>
      </c>
      <c r="M44" s="384">
        <v>7.02</v>
      </c>
      <c r="N44" s="384">
        <v>123.61</v>
      </c>
      <c r="O44" s="385">
        <v>510</v>
      </c>
      <c r="P44" s="382">
        <v>98.89</v>
      </c>
      <c r="Q44" s="382">
        <v>96.73</v>
      </c>
      <c r="R44" s="382">
        <v>46.23</v>
      </c>
      <c r="S44" s="382">
        <v>140.04</v>
      </c>
      <c r="T44" s="382">
        <v>237</v>
      </c>
      <c r="U44" s="382">
        <v>142.44999999999999</v>
      </c>
      <c r="V44" s="382">
        <v>109</v>
      </c>
      <c r="W44" s="382">
        <v>0</v>
      </c>
      <c r="X44" s="382">
        <v>0</v>
      </c>
      <c r="Y44" s="382">
        <v>0</v>
      </c>
      <c r="Z44" s="382">
        <v>1</v>
      </c>
      <c r="AA44" s="382">
        <v>0</v>
      </c>
      <c r="AB44" s="382">
        <v>17</v>
      </c>
      <c r="AC44" s="382">
        <v>3</v>
      </c>
      <c r="AD44" s="386">
        <v>619</v>
      </c>
      <c r="AE44" s="386">
        <v>4</v>
      </c>
      <c r="AF44" s="386">
        <v>2</v>
      </c>
      <c r="AG44" s="386">
        <v>6</v>
      </c>
    </row>
    <row r="45" spans="1:33" x14ac:dyDescent="0.25">
      <c r="A45" s="381" t="s">
        <v>152</v>
      </c>
      <c r="B45" s="387" t="s">
        <v>153</v>
      </c>
      <c r="C45" s="383">
        <v>4725</v>
      </c>
      <c r="D45" s="383">
        <v>15</v>
      </c>
      <c r="E45" s="383">
        <v>1078</v>
      </c>
      <c r="F45" s="383">
        <v>878</v>
      </c>
      <c r="G45" s="383">
        <v>816</v>
      </c>
      <c r="H45" s="383">
        <v>7512</v>
      </c>
      <c r="I45" s="382">
        <v>6696</v>
      </c>
      <c r="J45" s="382">
        <v>49</v>
      </c>
      <c r="K45" s="384">
        <v>94.51</v>
      </c>
      <c r="L45" s="384">
        <v>93.09</v>
      </c>
      <c r="M45" s="384">
        <v>10.29</v>
      </c>
      <c r="N45" s="384">
        <v>103.11</v>
      </c>
      <c r="O45" s="385">
        <v>3988</v>
      </c>
      <c r="P45" s="382">
        <v>94.79</v>
      </c>
      <c r="Q45" s="382">
        <v>83.81</v>
      </c>
      <c r="R45" s="382">
        <v>62.65</v>
      </c>
      <c r="S45" s="382">
        <v>152.26</v>
      </c>
      <c r="T45" s="382">
        <v>1089</v>
      </c>
      <c r="U45" s="382">
        <v>160.04</v>
      </c>
      <c r="V45" s="382">
        <v>437</v>
      </c>
      <c r="W45" s="382">
        <v>140.27000000000001</v>
      </c>
      <c r="X45" s="382">
        <v>25</v>
      </c>
      <c r="Y45" s="382">
        <v>15</v>
      </c>
      <c r="Z45" s="382">
        <v>21</v>
      </c>
      <c r="AA45" s="382">
        <v>10</v>
      </c>
      <c r="AB45" s="382">
        <v>28</v>
      </c>
      <c r="AC45" s="382">
        <v>24</v>
      </c>
      <c r="AD45" s="386">
        <v>4467</v>
      </c>
      <c r="AE45" s="386">
        <v>24</v>
      </c>
      <c r="AF45" s="386">
        <v>15</v>
      </c>
      <c r="AG45" s="386">
        <v>39</v>
      </c>
    </row>
    <row r="46" spans="1:33" x14ac:dyDescent="0.25">
      <c r="A46" s="381" t="s">
        <v>154</v>
      </c>
      <c r="B46" s="387" t="s">
        <v>155</v>
      </c>
      <c r="C46" s="383">
        <v>9222</v>
      </c>
      <c r="D46" s="383">
        <v>40</v>
      </c>
      <c r="E46" s="383">
        <v>2613</v>
      </c>
      <c r="F46" s="383">
        <v>1004</v>
      </c>
      <c r="G46" s="383">
        <v>1239</v>
      </c>
      <c r="H46" s="383">
        <v>14118</v>
      </c>
      <c r="I46" s="382">
        <v>12879</v>
      </c>
      <c r="J46" s="382">
        <v>8</v>
      </c>
      <c r="K46" s="384">
        <v>96.7</v>
      </c>
      <c r="L46" s="384">
        <v>95.48</v>
      </c>
      <c r="M46" s="384">
        <v>9.32</v>
      </c>
      <c r="N46" s="384">
        <v>103.34</v>
      </c>
      <c r="O46" s="385">
        <v>7570</v>
      </c>
      <c r="P46" s="382">
        <v>89.58</v>
      </c>
      <c r="Q46" s="382">
        <v>86.32</v>
      </c>
      <c r="R46" s="382">
        <v>37.47</v>
      </c>
      <c r="S46" s="382">
        <v>125.7</v>
      </c>
      <c r="T46" s="382">
        <v>2970</v>
      </c>
      <c r="U46" s="382">
        <v>129.97</v>
      </c>
      <c r="V46" s="382">
        <v>1101</v>
      </c>
      <c r="W46" s="382">
        <v>128.91999999999999</v>
      </c>
      <c r="X46" s="382">
        <v>10</v>
      </c>
      <c r="Y46" s="382">
        <v>0</v>
      </c>
      <c r="Z46" s="382">
        <v>1</v>
      </c>
      <c r="AA46" s="382">
        <v>9</v>
      </c>
      <c r="AB46" s="382">
        <v>53</v>
      </c>
      <c r="AC46" s="382">
        <v>38</v>
      </c>
      <c r="AD46" s="386">
        <v>8869</v>
      </c>
      <c r="AE46" s="386">
        <v>40</v>
      </c>
      <c r="AF46" s="386">
        <v>25</v>
      </c>
      <c r="AG46" s="386">
        <v>65</v>
      </c>
    </row>
    <row r="47" spans="1:33" x14ac:dyDescent="0.25">
      <c r="A47" s="381" t="s">
        <v>156</v>
      </c>
      <c r="B47" s="387" t="s">
        <v>157</v>
      </c>
      <c r="C47" s="383">
        <v>4764</v>
      </c>
      <c r="D47" s="383">
        <v>0</v>
      </c>
      <c r="E47" s="383">
        <v>165</v>
      </c>
      <c r="F47" s="383">
        <v>551</v>
      </c>
      <c r="G47" s="383">
        <v>350</v>
      </c>
      <c r="H47" s="383">
        <v>5830</v>
      </c>
      <c r="I47" s="382">
        <v>5480</v>
      </c>
      <c r="J47" s="382">
        <v>1</v>
      </c>
      <c r="K47" s="384">
        <v>91.92</v>
      </c>
      <c r="L47" s="384">
        <v>88.71</v>
      </c>
      <c r="M47" s="384">
        <v>2.42</v>
      </c>
      <c r="N47" s="384">
        <v>92.98</v>
      </c>
      <c r="O47" s="385">
        <v>3700</v>
      </c>
      <c r="P47" s="382">
        <v>90.75</v>
      </c>
      <c r="Q47" s="382">
        <v>82.24</v>
      </c>
      <c r="R47" s="382">
        <v>28.5</v>
      </c>
      <c r="S47" s="382">
        <v>118.97</v>
      </c>
      <c r="T47" s="382">
        <v>714</v>
      </c>
      <c r="U47" s="382">
        <v>108.87</v>
      </c>
      <c r="V47" s="382">
        <v>980</v>
      </c>
      <c r="W47" s="382">
        <v>0</v>
      </c>
      <c r="X47" s="382">
        <v>0</v>
      </c>
      <c r="Y47" s="382">
        <v>0</v>
      </c>
      <c r="Z47" s="382">
        <v>4</v>
      </c>
      <c r="AA47" s="382">
        <v>4</v>
      </c>
      <c r="AB47" s="382">
        <v>16</v>
      </c>
      <c r="AC47" s="382">
        <v>8</v>
      </c>
      <c r="AD47" s="386">
        <v>4733</v>
      </c>
      <c r="AE47" s="386">
        <v>24</v>
      </c>
      <c r="AF47" s="386">
        <v>8</v>
      </c>
      <c r="AG47" s="386">
        <v>32</v>
      </c>
    </row>
    <row r="48" spans="1:33" x14ac:dyDescent="0.25">
      <c r="A48" s="381" t="s">
        <v>158</v>
      </c>
      <c r="B48" s="387" t="s">
        <v>159</v>
      </c>
      <c r="C48" s="383">
        <v>16322</v>
      </c>
      <c r="D48" s="383">
        <v>110</v>
      </c>
      <c r="E48" s="383">
        <v>600</v>
      </c>
      <c r="F48" s="383">
        <v>2041</v>
      </c>
      <c r="G48" s="383">
        <v>1043</v>
      </c>
      <c r="H48" s="383">
        <v>20116</v>
      </c>
      <c r="I48" s="382">
        <v>19073</v>
      </c>
      <c r="J48" s="382">
        <v>57</v>
      </c>
      <c r="K48" s="384">
        <v>115.86</v>
      </c>
      <c r="L48" s="384">
        <v>114.34</v>
      </c>
      <c r="M48" s="384">
        <v>9.6999999999999993</v>
      </c>
      <c r="N48" s="384">
        <v>121.63</v>
      </c>
      <c r="O48" s="385">
        <v>13591</v>
      </c>
      <c r="P48" s="382">
        <v>107.81</v>
      </c>
      <c r="Q48" s="382">
        <v>103.52</v>
      </c>
      <c r="R48" s="382">
        <v>41.18</v>
      </c>
      <c r="S48" s="382">
        <v>147.12</v>
      </c>
      <c r="T48" s="382">
        <v>2153</v>
      </c>
      <c r="U48" s="382">
        <v>171.58</v>
      </c>
      <c r="V48" s="382">
        <v>1746</v>
      </c>
      <c r="W48" s="382">
        <v>0</v>
      </c>
      <c r="X48" s="382">
        <v>0</v>
      </c>
      <c r="Y48" s="382">
        <v>0</v>
      </c>
      <c r="Z48" s="382">
        <v>2</v>
      </c>
      <c r="AA48" s="382">
        <v>10</v>
      </c>
      <c r="AB48" s="382">
        <v>66</v>
      </c>
      <c r="AC48" s="382">
        <v>19</v>
      </c>
      <c r="AD48" s="386">
        <v>15527</v>
      </c>
      <c r="AE48" s="386">
        <v>178</v>
      </c>
      <c r="AF48" s="386">
        <v>137</v>
      </c>
      <c r="AG48" s="386">
        <v>315</v>
      </c>
    </row>
    <row r="49" spans="1:33" x14ac:dyDescent="0.25">
      <c r="A49" s="381" t="s">
        <v>160</v>
      </c>
      <c r="B49" s="387" t="s">
        <v>161</v>
      </c>
      <c r="C49" s="383">
        <v>3394</v>
      </c>
      <c r="D49" s="383">
        <v>0</v>
      </c>
      <c r="E49" s="383">
        <v>83</v>
      </c>
      <c r="F49" s="383">
        <v>995</v>
      </c>
      <c r="G49" s="383">
        <v>427</v>
      </c>
      <c r="H49" s="383">
        <v>4899</v>
      </c>
      <c r="I49" s="382">
        <v>4472</v>
      </c>
      <c r="J49" s="382">
        <v>0</v>
      </c>
      <c r="K49" s="384">
        <v>91.2</v>
      </c>
      <c r="L49" s="384">
        <v>90.72</v>
      </c>
      <c r="M49" s="384">
        <v>4.5199999999999996</v>
      </c>
      <c r="N49" s="384">
        <v>93.9</v>
      </c>
      <c r="O49" s="385">
        <v>3022</v>
      </c>
      <c r="P49" s="382">
        <v>83.32</v>
      </c>
      <c r="Q49" s="382">
        <v>84.51</v>
      </c>
      <c r="R49" s="382">
        <v>24.94</v>
      </c>
      <c r="S49" s="382">
        <v>108.19</v>
      </c>
      <c r="T49" s="382">
        <v>1036</v>
      </c>
      <c r="U49" s="382">
        <v>114.15</v>
      </c>
      <c r="V49" s="382">
        <v>326</v>
      </c>
      <c r="W49" s="382">
        <v>0</v>
      </c>
      <c r="X49" s="382">
        <v>0</v>
      </c>
      <c r="Y49" s="382">
        <v>0</v>
      </c>
      <c r="Z49" s="382">
        <v>10</v>
      </c>
      <c r="AA49" s="382">
        <v>4</v>
      </c>
      <c r="AB49" s="382">
        <v>59</v>
      </c>
      <c r="AC49" s="382">
        <v>15</v>
      </c>
      <c r="AD49" s="386">
        <v>3394</v>
      </c>
      <c r="AE49" s="386">
        <v>24</v>
      </c>
      <c r="AF49" s="386">
        <v>4</v>
      </c>
      <c r="AG49" s="386">
        <v>28</v>
      </c>
    </row>
    <row r="50" spans="1:33" x14ac:dyDescent="0.25">
      <c r="A50" s="381" t="s">
        <v>162</v>
      </c>
      <c r="B50" s="387" t="s">
        <v>163</v>
      </c>
      <c r="C50" s="383">
        <v>4802</v>
      </c>
      <c r="D50" s="383">
        <v>0</v>
      </c>
      <c r="E50" s="383">
        <v>137</v>
      </c>
      <c r="F50" s="383">
        <v>383</v>
      </c>
      <c r="G50" s="383">
        <v>369</v>
      </c>
      <c r="H50" s="383">
        <v>5691</v>
      </c>
      <c r="I50" s="382">
        <v>5322</v>
      </c>
      <c r="J50" s="382">
        <v>5</v>
      </c>
      <c r="K50" s="384">
        <v>112.96</v>
      </c>
      <c r="L50" s="384">
        <v>109.86</v>
      </c>
      <c r="M50" s="384">
        <v>6.59</v>
      </c>
      <c r="N50" s="384">
        <v>116.89</v>
      </c>
      <c r="O50" s="385">
        <v>3988</v>
      </c>
      <c r="P50" s="382">
        <v>98.63</v>
      </c>
      <c r="Q50" s="382">
        <v>93.37</v>
      </c>
      <c r="R50" s="382">
        <v>34.99</v>
      </c>
      <c r="S50" s="382">
        <v>132.65</v>
      </c>
      <c r="T50" s="382">
        <v>504</v>
      </c>
      <c r="U50" s="382">
        <v>167</v>
      </c>
      <c r="V50" s="382">
        <v>796</v>
      </c>
      <c r="W50" s="382">
        <v>0</v>
      </c>
      <c r="X50" s="382">
        <v>0</v>
      </c>
      <c r="Y50" s="382">
        <v>0</v>
      </c>
      <c r="Z50" s="382">
        <v>16</v>
      </c>
      <c r="AA50" s="382">
        <v>2</v>
      </c>
      <c r="AB50" s="382">
        <v>3</v>
      </c>
      <c r="AC50" s="382">
        <v>6</v>
      </c>
      <c r="AD50" s="386">
        <v>4802</v>
      </c>
      <c r="AE50" s="386">
        <v>22</v>
      </c>
      <c r="AF50" s="386">
        <v>60</v>
      </c>
      <c r="AG50" s="386">
        <v>82</v>
      </c>
    </row>
    <row r="51" spans="1:33" x14ac:dyDescent="0.25">
      <c r="A51" s="381" t="s">
        <v>164</v>
      </c>
      <c r="B51" s="387" t="s">
        <v>165</v>
      </c>
      <c r="C51" s="383">
        <v>1091</v>
      </c>
      <c r="D51" s="383">
        <v>0</v>
      </c>
      <c r="E51" s="383">
        <v>109</v>
      </c>
      <c r="F51" s="383">
        <v>108</v>
      </c>
      <c r="G51" s="383">
        <v>112</v>
      </c>
      <c r="H51" s="383">
        <v>1420</v>
      </c>
      <c r="I51" s="382">
        <v>1308</v>
      </c>
      <c r="J51" s="382">
        <v>1</v>
      </c>
      <c r="K51" s="384">
        <v>80.17</v>
      </c>
      <c r="L51" s="384">
        <v>78.59</v>
      </c>
      <c r="M51" s="384">
        <v>7.42</v>
      </c>
      <c r="N51" s="384">
        <v>86.26</v>
      </c>
      <c r="O51" s="385">
        <v>919</v>
      </c>
      <c r="P51" s="382">
        <v>98</v>
      </c>
      <c r="Q51" s="382">
        <v>77.08</v>
      </c>
      <c r="R51" s="382">
        <v>57.48</v>
      </c>
      <c r="S51" s="382">
        <v>155.18</v>
      </c>
      <c r="T51" s="382">
        <v>190</v>
      </c>
      <c r="U51" s="382">
        <v>95.44</v>
      </c>
      <c r="V51" s="382">
        <v>159</v>
      </c>
      <c r="W51" s="382">
        <v>196.19</v>
      </c>
      <c r="X51" s="382">
        <v>27</v>
      </c>
      <c r="Y51" s="382">
        <v>0</v>
      </c>
      <c r="Z51" s="382">
        <v>0</v>
      </c>
      <c r="AA51" s="382">
        <v>3</v>
      </c>
      <c r="AB51" s="382">
        <v>0</v>
      </c>
      <c r="AC51" s="382">
        <v>4</v>
      </c>
      <c r="AD51" s="386">
        <v>1091</v>
      </c>
      <c r="AE51" s="386">
        <v>3</v>
      </c>
      <c r="AF51" s="386">
        <v>2</v>
      </c>
      <c r="AG51" s="386">
        <v>5</v>
      </c>
    </row>
    <row r="52" spans="1:33" ht="14.5" x14ac:dyDescent="0.35">
      <c r="A52" s="388" t="s">
        <v>779</v>
      </c>
      <c r="B52" s="388" t="s">
        <v>774</v>
      </c>
      <c r="C52" s="382">
        <v>24732</v>
      </c>
      <c r="D52" s="382">
        <v>68</v>
      </c>
      <c r="E52" s="382">
        <v>953</v>
      </c>
      <c r="F52" s="382">
        <v>3375</v>
      </c>
      <c r="G52" s="382">
        <v>2266</v>
      </c>
      <c r="H52" s="382">
        <v>31394</v>
      </c>
      <c r="I52" s="382">
        <v>29128</v>
      </c>
      <c r="J52" s="382">
        <v>45</v>
      </c>
      <c r="K52" s="389">
        <v>109.81</v>
      </c>
      <c r="L52" s="389">
        <v>109.77</v>
      </c>
      <c r="M52" s="389">
        <v>5.0599999999999996</v>
      </c>
      <c r="N52" s="389">
        <v>113.12</v>
      </c>
      <c r="O52" s="382">
        <v>21258</v>
      </c>
      <c r="P52" s="389">
        <v>102.78</v>
      </c>
      <c r="Q52" s="389">
        <v>98.5</v>
      </c>
      <c r="R52" s="389">
        <v>28.79</v>
      </c>
      <c r="S52" s="389">
        <v>128.24</v>
      </c>
      <c r="T52" s="382">
        <v>3916</v>
      </c>
      <c r="U52" s="389">
        <v>158.05000000000001</v>
      </c>
      <c r="V52" s="382">
        <v>3057</v>
      </c>
      <c r="W52" s="389">
        <v>105.86</v>
      </c>
      <c r="X52" s="382">
        <v>45</v>
      </c>
      <c r="Y52" s="382">
        <v>12</v>
      </c>
      <c r="Z52" s="382">
        <v>37</v>
      </c>
      <c r="AA52" s="382">
        <v>2</v>
      </c>
      <c r="AB52" s="382">
        <v>160</v>
      </c>
      <c r="AC52" s="382">
        <v>42</v>
      </c>
      <c r="AD52" s="382">
        <v>24370</v>
      </c>
      <c r="AE52" s="382">
        <v>59</v>
      </c>
      <c r="AF52" s="382">
        <v>195</v>
      </c>
      <c r="AG52" s="382">
        <v>254</v>
      </c>
    </row>
    <row r="53" spans="1:33" x14ac:dyDescent="0.25">
      <c r="A53" s="381" t="s">
        <v>166</v>
      </c>
      <c r="B53" s="387" t="s">
        <v>167</v>
      </c>
      <c r="C53" s="383">
        <v>4351</v>
      </c>
      <c r="D53" s="383">
        <v>0</v>
      </c>
      <c r="E53" s="383">
        <v>345</v>
      </c>
      <c r="F53" s="383">
        <v>1434</v>
      </c>
      <c r="G53" s="383">
        <v>22</v>
      </c>
      <c r="H53" s="383">
        <v>6152</v>
      </c>
      <c r="I53" s="382">
        <v>6130</v>
      </c>
      <c r="J53" s="382">
        <v>6</v>
      </c>
      <c r="K53" s="384">
        <v>80.010000000000005</v>
      </c>
      <c r="L53" s="384">
        <v>76.739999999999995</v>
      </c>
      <c r="M53" s="384">
        <v>2.52</v>
      </c>
      <c r="N53" s="384">
        <v>82.31</v>
      </c>
      <c r="O53" s="385">
        <v>3873</v>
      </c>
      <c r="P53" s="382">
        <v>80.42</v>
      </c>
      <c r="Q53" s="382">
        <v>69.37</v>
      </c>
      <c r="R53" s="382">
        <v>23.42</v>
      </c>
      <c r="S53" s="382">
        <v>103.35</v>
      </c>
      <c r="T53" s="382">
        <v>1571</v>
      </c>
      <c r="U53" s="382">
        <v>97.44</v>
      </c>
      <c r="V53" s="382">
        <v>439</v>
      </c>
      <c r="W53" s="382">
        <v>303.70999999999998</v>
      </c>
      <c r="X53" s="382">
        <v>67</v>
      </c>
      <c r="Y53" s="382">
        <v>0</v>
      </c>
      <c r="Z53" s="382">
        <v>28</v>
      </c>
      <c r="AA53" s="382">
        <v>5</v>
      </c>
      <c r="AB53" s="382">
        <v>0</v>
      </c>
      <c r="AC53" s="382">
        <v>0</v>
      </c>
      <c r="AD53" s="386">
        <v>4318</v>
      </c>
      <c r="AE53" s="386">
        <v>81</v>
      </c>
      <c r="AF53" s="386">
        <v>14</v>
      </c>
      <c r="AG53" s="386">
        <v>95</v>
      </c>
    </row>
    <row r="54" spans="1:33" x14ac:dyDescent="0.25">
      <c r="A54" s="381" t="s">
        <v>168</v>
      </c>
      <c r="B54" s="387" t="s">
        <v>169</v>
      </c>
      <c r="C54" s="383">
        <v>3908</v>
      </c>
      <c r="D54" s="383">
        <v>0</v>
      </c>
      <c r="E54" s="383">
        <v>425</v>
      </c>
      <c r="F54" s="383">
        <v>570</v>
      </c>
      <c r="G54" s="383">
        <v>136</v>
      </c>
      <c r="H54" s="383">
        <v>5039</v>
      </c>
      <c r="I54" s="382">
        <v>4903</v>
      </c>
      <c r="J54" s="382">
        <v>17</v>
      </c>
      <c r="K54" s="384">
        <v>81.59</v>
      </c>
      <c r="L54" s="384">
        <v>81.25</v>
      </c>
      <c r="M54" s="384">
        <v>6.37</v>
      </c>
      <c r="N54" s="384">
        <v>85.46</v>
      </c>
      <c r="O54" s="385">
        <v>3121</v>
      </c>
      <c r="P54" s="382">
        <v>91.34</v>
      </c>
      <c r="Q54" s="382">
        <v>79.3</v>
      </c>
      <c r="R54" s="382">
        <v>45.73</v>
      </c>
      <c r="S54" s="382">
        <v>135.22</v>
      </c>
      <c r="T54" s="382">
        <v>767</v>
      </c>
      <c r="U54" s="382">
        <v>103.81</v>
      </c>
      <c r="V54" s="382">
        <v>465</v>
      </c>
      <c r="W54" s="382">
        <v>108.78</v>
      </c>
      <c r="X54" s="382">
        <v>16</v>
      </c>
      <c r="Y54" s="382">
        <v>0</v>
      </c>
      <c r="Z54" s="382">
        <v>9</v>
      </c>
      <c r="AA54" s="382">
        <v>3</v>
      </c>
      <c r="AB54" s="382">
        <v>14</v>
      </c>
      <c r="AC54" s="382">
        <v>7</v>
      </c>
      <c r="AD54" s="386">
        <v>3499</v>
      </c>
      <c r="AE54" s="386">
        <v>14</v>
      </c>
      <c r="AF54" s="386">
        <v>15</v>
      </c>
      <c r="AG54" s="386">
        <v>29</v>
      </c>
    </row>
    <row r="55" spans="1:33" x14ac:dyDescent="0.25">
      <c r="A55" s="381" t="s">
        <v>170</v>
      </c>
      <c r="B55" s="387" t="s">
        <v>171</v>
      </c>
      <c r="C55" s="383">
        <v>12849</v>
      </c>
      <c r="D55" s="383">
        <v>0</v>
      </c>
      <c r="E55" s="383">
        <v>275</v>
      </c>
      <c r="F55" s="383">
        <v>897</v>
      </c>
      <c r="G55" s="383">
        <v>226</v>
      </c>
      <c r="H55" s="383">
        <v>14247</v>
      </c>
      <c r="I55" s="382">
        <v>14021</v>
      </c>
      <c r="J55" s="382">
        <v>9</v>
      </c>
      <c r="K55" s="384">
        <v>77.22</v>
      </c>
      <c r="L55" s="384">
        <v>75.8</v>
      </c>
      <c r="M55" s="384">
        <v>7.3</v>
      </c>
      <c r="N55" s="384">
        <v>84.12</v>
      </c>
      <c r="O55" s="385">
        <v>12171</v>
      </c>
      <c r="P55" s="382">
        <v>86.49</v>
      </c>
      <c r="Q55" s="382">
        <v>77.33</v>
      </c>
      <c r="R55" s="382">
        <v>35.11</v>
      </c>
      <c r="S55" s="382">
        <v>120.4</v>
      </c>
      <c r="T55" s="382">
        <v>1085</v>
      </c>
      <c r="U55" s="382">
        <v>96.63</v>
      </c>
      <c r="V55" s="382">
        <v>596</v>
      </c>
      <c r="W55" s="382">
        <v>0</v>
      </c>
      <c r="X55" s="382">
        <v>0</v>
      </c>
      <c r="Y55" s="382">
        <v>22</v>
      </c>
      <c r="Z55" s="382">
        <v>30</v>
      </c>
      <c r="AA55" s="382">
        <v>4</v>
      </c>
      <c r="AB55" s="382">
        <v>1</v>
      </c>
      <c r="AC55" s="382">
        <v>6</v>
      </c>
      <c r="AD55" s="386">
        <v>12823</v>
      </c>
      <c r="AE55" s="386">
        <v>160</v>
      </c>
      <c r="AF55" s="386">
        <v>313</v>
      </c>
      <c r="AG55" s="386">
        <v>473</v>
      </c>
    </row>
    <row r="56" spans="1:33" x14ac:dyDescent="0.25">
      <c r="A56" s="381" t="s">
        <v>172</v>
      </c>
      <c r="B56" s="387" t="s">
        <v>173</v>
      </c>
      <c r="C56" s="383">
        <v>3687</v>
      </c>
      <c r="D56" s="383">
        <v>610</v>
      </c>
      <c r="E56" s="383">
        <v>562</v>
      </c>
      <c r="F56" s="383">
        <v>501</v>
      </c>
      <c r="G56" s="383">
        <v>689</v>
      </c>
      <c r="H56" s="383">
        <v>6049</v>
      </c>
      <c r="I56" s="382">
        <v>5360</v>
      </c>
      <c r="J56" s="382">
        <v>0</v>
      </c>
      <c r="K56" s="384">
        <v>108.24</v>
      </c>
      <c r="L56" s="384">
        <v>106.49</v>
      </c>
      <c r="M56" s="384">
        <v>7.46</v>
      </c>
      <c r="N56" s="384">
        <v>113.36</v>
      </c>
      <c r="O56" s="385">
        <v>2596</v>
      </c>
      <c r="P56" s="382">
        <v>108.87</v>
      </c>
      <c r="Q56" s="382">
        <v>103.65</v>
      </c>
      <c r="R56" s="382">
        <v>63.65</v>
      </c>
      <c r="S56" s="382">
        <v>170.79</v>
      </c>
      <c r="T56" s="382">
        <v>953</v>
      </c>
      <c r="U56" s="382">
        <v>149.94</v>
      </c>
      <c r="V56" s="382">
        <v>816</v>
      </c>
      <c r="W56" s="382">
        <v>162.72999999999999</v>
      </c>
      <c r="X56" s="382">
        <v>2</v>
      </c>
      <c r="Y56" s="382">
        <v>3</v>
      </c>
      <c r="Z56" s="382">
        <v>0</v>
      </c>
      <c r="AA56" s="382">
        <v>2</v>
      </c>
      <c r="AB56" s="382">
        <v>69</v>
      </c>
      <c r="AC56" s="382">
        <v>32</v>
      </c>
      <c r="AD56" s="386">
        <v>3592</v>
      </c>
      <c r="AE56" s="386">
        <v>49</v>
      </c>
      <c r="AF56" s="386">
        <v>11</v>
      </c>
      <c r="AG56" s="386">
        <v>60</v>
      </c>
    </row>
    <row r="57" spans="1:33" x14ac:dyDescent="0.25">
      <c r="A57" s="381" t="s">
        <v>174</v>
      </c>
      <c r="B57" s="387" t="s">
        <v>175</v>
      </c>
      <c r="C57" s="383">
        <v>8567</v>
      </c>
      <c r="D57" s="383">
        <v>1569</v>
      </c>
      <c r="E57" s="383">
        <v>941</v>
      </c>
      <c r="F57" s="383">
        <v>948</v>
      </c>
      <c r="G57" s="383">
        <v>530</v>
      </c>
      <c r="H57" s="383">
        <v>12555</v>
      </c>
      <c r="I57" s="382">
        <v>12025</v>
      </c>
      <c r="J57" s="382">
        <v>118</v>
      </c>
      <c r="K57" s="384">
        <v>129.84</v>
      </c>
      <c r="L57" s="384">
        <v>134.86000000000001</v>
      </c>
      <c r="M57" s="384">
        <v>17.809999999999999</v>
      </c>
      <c r="N57" s="384">
        <v>146.53</v>
      </c>
      <c r="O57" s="385">
        <v>6742</v>
      </c>
      <c r="P57" s="382">
        <v>111.24</v>
      </c>
      <c r="Q57" s="382">
        <v>110.21</v>
      </c>
      <c r="R57" s="382">
        <v>71.849999999999994</v>
      </c>
      <c r="S57" s="382">
        <v>170.4</v>
      </c>
      <c r="T57" s="382">
        <v>1716</v>
      </c>
      <c r="U57" s="382">
        <v>214.56</v>
      </c>
      <c r="V57" s="382">
        <v>434</v>
      </c>
      <c r="W57" s="382">
        <v>0</v>
      </c>
      <c r="X57" s="382">
        <v>0</v>
      </c>
      <c r="Y57" s="382">
        <v>0</v>
      </c>
      <c r="Z57" s="382">
        <v>4</v>
      </c>
      <c r="AA57" s="382">
        <v>2</v>
      </c>
      <c r="AB57" s="382">
        <v>22</v>
      </c>
      <c r="AC57" s="382">
        <v>16</v>
      </c>
      <c r="AD57" s="386">
        <v>7187</v>
      </c>
      <c r="AE57" s="386">
        <v>93</v>
      </c>
      <c r="AF57" s="386">
        <v>103</v>
      </c>
      <c r="AG57" s="386">
        <v>196</v>
      </c>
    </row>
    <row r="58" spans="1:33" x14ac:dyDescent="0.25">
      <c r="A58" s="381" t="s">
        <v>176</v>
      </c>
      <c r="B58" s="387" t="s">
        <v>177</v>
      </c>
      <c r="C58" s="383">
        <v>1576</v>
      </c>
      <c r="D58" s="383">
        <v>2</v>
      </c>
      <c r="E58" s="383">
        <v>221</v>
      </c>
      <c r="F58" s="383">
        <v>269</v>
      </c>
      <c r="G58" s="383">
        <v>244</v>
      </c>
      <c r="H58" s="383">
        <v>2312</v>
      </c>
      <c r="I58" s="382">
        <v>2068</v>
      </c>
      <c r="J58" s="382">
        <v>0</v>
      </c>
      <c r="K58" s="384">
        <v>90.17</v>
      </c>
      <c r="L58" s="384">
        <v>88.43</v>
      </c>
      <c r="M58" s="384">
        <v>4.99</v>
      </c>
      <c r="N58" s="384">
        <v>93.27</v>
      </c>
      <c r="O58" s="385">
        <v>1258</v>
      </c>
      <c r="P58" s="382">
        <v>86.5</v>
      </c>
      <c r="Q58" s="382">
        <v>85.08</v>
      </c>
      <c r="R58" s="382">
        <v>56.96</v>
      </c>
      <c r="S58" s="382">
        <v>143.30000000000001</v>
      </c>
      <c r="T58" s="382">
        <v>343</v>
      </c>
      <c r="U58" s="382">
        <v>112.29</v>
      </c>
      <c r="V58" s="382">
        <v>279</v>
      </c>
      <c r="W58" s="382">
        <v>203</v>
      </c>
      <c r="X58" s="382">
        <v>63</v>
      </c>
      <c r="Y58" s="382">
        <v>0</v>
      </c>
      <c r="Z58" s="382">
        <v>1</v>
      </c>
      <c r="AA58" s="382">
        <v>1</v>
      </c>
      <c r="AB58" s="382">
        <v>6</v>
      </c>
      <c r="AC58" s="382">
        <v>8</v>
      </c>
      <c r="AD58" s="386">
        <v>1554</v>
      </c>
      <c r="AE58" s="386">
        <v>7</v>
      </c>
      <c r="AF58" s="386">
        <v>49</v>
      </c>
      <c r="AG58" s="386">
        <v>56</v>
      </c>
    </row>
    <row r="59" spans="1:33" x14ac:dyDescent="0.25">
      <c r="A59" s="381" t="s">
        <v>178</v>
      </c>
      <c r="B59" s="387" t="s">
        <v>179</v>
      </c>
      <c r="C59" s="383">
        <v>1996</v>
      </c>
      <c r="D59" s="383">
        <v>0</v>
      </c>
      <c r="E59" s="383">
        <v>170</v>
      </c>
      <c r="F59" s="383">
        <v>380</v>
      </c>
      <c r="G59" s="383">
        <v>456</v>
      </c>
      <c r="H59" s="383">
        <v>3002</v>
      </c>
      <c r="I59" s="382">
        <v>2546</v>
      </c>
      <c r="J59" s="382">
        <v>10</v>
      </c>
      <c r="K59" s="384">
        <v>103.27</v>
      </c>
      <c r="L59" s="384">
        <v>101.32</v>
      </c>
      <c r="M59" s="384">
        <v>7.38</v>
      </c>
      <c r="N59" s="384">
        <v>109.34</v>
      </c>
      <c r="O59" s="385">
        <v>1388</v>
      </c>
      <c r="P59" s="382">
        <v>93.66</v>
      </c>
      <c r="Q59" s="382">
        <v>83.12</v>
      </c>
      <c r="R59" s="382">
        <v>48.82</v>
      </c>
      <c r="S59" s="382">
        <v>139.24</v>
      </c>
      <c r="T59" s="382">
        <v>544</v>
      </c>
      <c r="U59" s="382">
        <v>145.44</v>
      </c>
      <c r="V59" s="382">
        <v>321</v>
      </c>
      <c r="W59" s="382">
        <v>118.25</v>
      </c>
      <c r="X59" s="382">
        <v>6</v>
      </c>
      <c r="Y59" s="382">
        <v>0</v>
      </c>
      <c r="Z59" s="382">
        <v>2</v>
      </c>
      <c r="AA59" s="382">
        <v>10</v>
      </c>
      <c r="AB59" s="382">
        <v>43</v>
      </c>
      <c r="AC59" s="382">
        <v>4</v>
      </c>
      <c r="AD59" s="386">
        <v>1810</v>
      </c>
      <c r="AE59" s="386">
        <v>6</v>
      </c>
      <c r="AF59" s="386">
        <v>7</v>
      </c>
      <c r="AG59" s="386">
        <v>13</v>
      </c>
    </row>
    <row r="60" spans="1:33" x14ac:dyDescent="0.25">
      <c r="A60" s="381" t="s">
        <v>180</v>
      </c>
      <c r="B60" s="387" t="s">
        <v>181</v>
      </c>
      <c r="C60" s="383">
        <v>7052</v>
      </c>
      <c r="D60" s="383">
        <v>11</v>
      </c>
      <c r="E60" s="383">
        <v>294</v>
      </c>
      <c r="F60" s="383">
        <v>337</v>
      </c>
      <c r="G60" s="383">
        <v>208</v>
      </c>
      <c r="H60" s="383">
        <v>7902</v>
      </c>
      <c r="I60" s="382">
        <v>7694</v>
      </c>
      <c r="J60" s="382">
        <v>0</v>
      </c>
      <c r="K60" s="384">
        <v>80.989999999999995</v>
      </c>
      <c r="L60" s="384">
        <v>77.81</v>
      </c>
      <c r="M60" s="384">
        <v>3.48</v>
      </c>
      <c r="N60" s="384">
        <v>83.63</v>
      </c>
      <c r="O60" s="385">
        <v>5718</v>
      </c>
      <c r="P60" s="382">
        <v>93.24</v>
      </c>
      <c r="Q60" s="382">
        <v>77.66</v>
      </c>
      <c r="R60" s="382">
        <v>51.59</v>
      </c>
      <c r="S60" s="382">
        <v>142.38999999999999</v>
      </c>
      <c r="T60" s="382">
        <v>547</v>
      </c>
      <c r="U60" s="382">
        <v>89.21</v>
      </c>
      <c r="V60" s="382">
        <v>1325</v>
      </c>
      <c r="W60" s="382">
        <v>0</v>
      </c>
      <c r="X60" s="382">
        <v>0</v>
      </c>
      <c r="Y60" s="382">
        <v>0</v>
      </c>
      <c r="Z60" s="382">
        <v>30</v>
      </c>
      <c r="AA60" s="382">
        <v>24</v>
      </c>
      <c r="AB60" s="382">
        <v>0</v>
      </c>
      <c r="AC60" s="382">
        <v>0</v>
      </c>
      <c r="AD60" s="386">
        <v>7036</v>
      </c>
      <c r="AE60" s="386">
        <v>35</v>
      </c>
      <c r="AF60" s="386">
        <v>37</v>
      </c>
      <c r="AG60" s="386">
        <v>72</v>
      </c>
    </row>
    <row r="61" spans="1:33" x14ac:dyDescent="0.25">
      <c r="A61" s="381" t="s">
        <v>182</v>
      </c>
      <c r="B61" s="387" t="s">
        <v>183</v>
      </c>
      <c r="C61" s="383">
        <v>460</v>
      </c>
      <c r="D61" s="383">
        <v>0</v>
      </c>
      <c r="E61" s="383">
        <v>71</v>
      </c>
      <c r="F61" s="383">
        <v>73</v>
      </c>
      <c r="G61" s="383">
        <v>94</v>
      </c>
      <c r="H61" s="383">
        <v>698</v>
      </c>
      <c r="I61" s="382">
        <v>604</v>
      </c>
      <c r="J61" s="382">
        <v>4</v>
      </c>
      <c r="K61" s="384">
        <v>107.58</v>
      </c>
      <c r="L61" s="384">
        <v>106.09</v>
      </c>
      <c r="M61" s="384">
        <v>6.82</v>
      </c>
      <c r="N61" s="384">
        <v>111.56</v>
      </c>
      <c r="O61" s="385">
        <v>370</v>
      </c>
      <c r="P61" s="382">
        <v>91.85</v>
      </c>
      <c r="Q61" s="382">
        <v>88.12</v>
      </c>
      <c r="R61" s="382">
        <v>61.28</v>
      </c>
      <c r="S61" s="382">
        <v>147.66</v>
      </c>
      <c r="T61" s="382">
        <v>123</v>
      </c>
      <c r="U61" s="382">
        <v>147.04</v>
      </c>
      <c r="V61" s="382">
        <v>75</v>
      </c>
      <c r="W61" s="382">
        <v>0</v>
      </c>
      <c r="X61" s="382">
        <v>0</v>
      </c>
      <c r="Y61" s="382">
        <v>29</v>
      </c>
      <c r="Z61" s="382">
        <v>0</v>
      </c>
      <c r="AA61" s="382">
        <v>1</v>
      </c>
      <c r="AB61" s="382">
        <v>0</v>
      </c>
      <c r="AC61" s="382">
        <v>3</v>
      </c>
      <c r="AD61" s="386">
        <v>455</v>
      </c>
      <c r="AE61" s="386">
        <v>2</v>
      </c>
      <c r="AF61" s="386">
        <v>0</v>
      </c>
      <c r="AG61" s="386">
        <v>2</v>
      </c>
    </row>
    <row r="62" spans="1:33" x14ac:dyDescent="0.25">
      <c r="A62" s="381" t="s">
        <v>184</v>
      </c>
      <c r="B62" s="387" t="s">
        <v>185</v>
      </c>
      <c r="C62" s="383">
        <v>8815</v>
      </c>
      <c r="D62" s="383">
        <v>0</v>
      </c>
      <c r="E62" s="383">
        <v>310</v>
      </c>
      <c r="F62" s="383">
        <v>1639</v>
      </c>
      <c r="G62" s="383">
        <v>1683</v>
      </c>
      <c r="H62" s="383">
        <v>12447</v>
      </c>
      <c r="I62" s="382">
        <v>10764</v>
      </c>
      <c r="J62" s="382">
        <v>6</v>
      </c>
      <c r="K62" s="384">
        <v>102.37</v>
      </c>
      <c r="L62" s="384">
        <v>103.67</v>
      </c>
      <c r="M62" s="384">
        <v>5</v>
      </c>
      <c r="N62" s="384">
        <v>104</v>
      </c>
      <c r="O62" s="385">
        <v>7553</v>
      </c>
      <c r="P62" s="382">
        <v>90.42</v>
      </c>
      <c r="Q62" s="382">
        <v>87.72</v>
      </c>
      <c r="R62" s="382">
        <v>34.35</v>
      </c>
      <c r="S62" s="382">
        <v>107.79</v>
      </c>
      <c r="T62" s="382">
        <v>1857</v>
      </c>
      <c r="U62" s="382">
        <v>137.80000000000001</v>
      </c>
      <c r="V62" s="382">
        <v>1097</v>
      </c>
      <c r="W62" s="382">
        <v>122.28</v>
      </c>
      <c r="X62" s="382">
        <v>50</v>
      </c>
      <c r="Y62" s="382">
        <v>0</v>
      </c>
      <c r="Z62" s="382">
        <v>12</v>
      </c>
      <c r="AA62" s="382">
        <v>2</v>
      </c>
      <c r="AB62" s="382">
        <v>272</v>
      </c>
      <c r="AC62" s="382">
        <v>27</v>
      </c>
      <c r="AD62" s="386">
        <v>8724</v>
      </c>
      <c r="AE62" s="386">
        <v>26</v>
      </c>
      <c r="AF62" s="386">
        <v>30</v>
      </c>
      <c r="AG62" s="386">
        <v>56</v>
      </c>
    </row>
    <row r="63" spans="1:33" x14ac:dyDescent="0.25">
      <c r="A63" s="381" t="s">
        <v>186</v>
      </c>
      <c r="B63" s="387" t="s">
        <v>187</v>
      </c>
      <c r="C63" s="383">
        <v>2950</v>
      </c>
      <c r="D63" s="383">
        <v>0</v>
      </c>
      <c r="E63" s="383">
        <v>322</v>
      </c>
      <c r="F63" s="383">
        <v>264</v>
      </c>
      <c r="G63" s="383">
        <v>637</v>
      </c>
      <c r="H63" s="383">
        <v>4173</v>
      </c>
      <c r="I63" s="382">
        <v>3536</v>
      </c>
      <c r="J63" s="382">
        <v>2</v>
      </c>
      <c r="K63" s="384">
        <v>91.05</v>
      </c>
      <c r="L63" s="384">
        <v>89.34</v>
      </c>
      <c r="M63" s="384">
        <v>6.83</v>
      </c>
      <c r="N63" s="384">
        <v>96.22</v>
      </c>
      <c r="O63" s="385">
        <v>2224</v>
      </c>
      <c r="P63" s="382">
        <v>94.29</v>
      </c>
      <c r="Q63" s="382">
        <v>84.64</v>
      </c>
      <c r="R63" s="382">
        <v>62.38</v>
      </c>
      <c r="S63" s="382">
        <v>154.24</v>
      </c>
      <c r="T63" s="382">
        <v>512</v>
      </c>
      <c r="U63" s="382">
        <v>106.59</v>
      </c>
      <c r="V63" s="382">
        <v>644</v>
      </c>
      <c r="W63" s="382">
        <v>0</v>
      </c>
      <c r="X63" s="382">
        <v>0</v>
      </c>
      <c r="Y63" s="382">
        <v>0</v>
      </c>
      <c r="Z63" s="382">
        <v>3</v>
      </c>
      <c r="AA63" s="382">
        <v>3</v>
      </c>
      <c r="AB63" s="382">
        <v>61</v>
      </c>
      <c r="AC63" s="382">
        <v>20</v>
      </c>
      <c r="AD63" s="386">
        <v>2950</v>
      </c>
      <c r="AE63" s="386">
        <v>16</v>
      </c>
      <c r="AF63" s="386">
        <v>6</v>
      </c>
      <c r="AG63" s="386">
        <v>22</v>
      </c>
    </row>
    <row r="64" spans="1:33" x14ac:dyDescent="0.25">
      <c r="A64" s="381" t="s">
        <v>188</v>
      </c>
      <c r="B64" s="387" t="s">
        <v>189</v>
      </c>
      <c r="C64" s="383">
        <v>9556</v>
      </c>
      <c r="D64" s="383">
        <v>251</v>
      </c>
      <c r="E64" s="383">
        <v>352</v>
      </c>
      <c r="F64" s="383">
        <v>286</v>
      </c>
      <c r="G64" s="383">
        <v>621</v>
      </c>
      <c r="H64" s="383">
        <v>11066</v>
      </c>
      <c r="I64" s="382">
        <v>10445</v>
      </c>
      <c r="J64" s="382">
        <v>8</v>
      </c>
      <c r="K64" s="384">
        <v>100.83</v>
      </c>
      <c r="L64" s="384">
        <v>100.55</v>
      </c>
      <c r="M64" s="384">
        <v>10.41</v>
      </c>
      <c r="N64" s="384">
        <v>105.83</v>
      </c>
      <c r="O64" s="385">
        <v>8637</v>
      </c>
      <c r="P64" s="382">
        <v>97.43</v>
      </c>
      <c r="Q64" s="382">
        <v>94.81</v>
      </c>
      <c r="R64" s="382">
        <v>75.36</v>
      </c>
      <c r="S64" s="382">
        <v>166.98</v>
      </c>
      <c r="T64" s="382">
        <v>518</v>
      </c>
      <c r="U64" s="382">
        <v>137.54</v>
      </c>
      <c r="V64" s="382">
        <v>730</v>
      </c>
      <c r="W64" s="382">
        <v>0</v>
      </c>
      <c r="X64" s="382">
        <v>0</v>
      </c>
      <c r="Y64" s="382">
        <v>8</v>
      </c>
      <c r="Z64" s="382">
        <v>7</v>
      </c>
      <c r="AA64" s="382">
        <v>2</v>
      </c>
      <c r="AB64" s="382">
        <v>127</v>
      </c>
      <c r="AC64" s="382">
        <v>13</v>
      </c>
      <c r="AD64" s="386">
        <v>9548</v>
      </c>
      <c r="AE64" s="386">
        <v>56</v>
      </c>
      <c r="AF64" s="386">
        <v>69</v>
      </c>
      <c r="AG64" s="386">
        <v>125</v>
      </c>
    </row>
    <row r="65" spans="1:33" x14ac:dyDescent="0.25">
      <c r="A65" s="381" t="s">
        <v>190</v>
      </c>
      <c r="B65" s="387" t="s">
        <v>191</v>
      </c>
      <c r="C65" s="383">
        <v>1852</v>
      </c>
      <c r="D65" s="383">
        <v>3</v>
      </c>
      <c r="E65" s="383">
        <v>396</v>
      </c>
      <c r="F65" s="383">
        <v>222</v>
      </c>
      <c r="G65" s="383">
        <v>344</v>
      </c>
      <c r="H65" s="383">
        <v>2817</v>
      </c>
      <c r="I65" s="382">
        <v>2473</v>
      </c>
      <c r="J65" s="382">
        <v>0</v>
      </c>
      <c r="K65" s="384">
        <v>95.93</v>
      </c>
      <c r="L65" s="384">
        <v>91.13</v>
      </c>
      <c r="M65" s="384">
        <v>5.15</v>
      </c>
      <c r="N65" s="384">
        <v>99.75</v>
      </c>
      <c r="O65" s="385">
        <v>1485</v>
      </c>
      <c r="P65" s="382">
        <v>89.69</v>
      </c>
      <c r="Q65" s="382">
        <v>81.8</v>
      </c>
      <c r="R65" s="382">
        <v>52.81</v>
      </c>
      <c r="S65" s="382">
        <v>136.82</v>
      </c>
      <c r="T65" s="382">
        <v>474</v>
      </c>
      <c r="U65" s="382">
        <v>130.63</v>
      </c>
      <c r="V65" s="382">
        <v>283</v>
      </c>
      <c r="W65" s="382">
        <v>234.74</v>
      </c>
      <c r="X65" s="382">
        <v>110</v>
      </c>
      <c r="Y65" s="382">
        <v>0</v>
      </c>
      <c r="Z65" s="382">
        <v>0</v>
      </c>
      <c r="AA65" s="382">
        <v>3</v>
      </c>
      <c r="AB65" s="382">
        <v>16</v>
      </c>
      <c r="AC65" s="382">
        <v>6</v>
      </c>
      <c r="AD65" s="386">
        <v>1695</v>
      </c>
      <c r="AE65" s="386">
        <v>8</v>
      </c>
      <c r="AF65" s="386">
        <v>38</v>
      </c>
      <c r="AG65" s="386">
        <v>46</v>
      </c>
    </row>
    <row r="66" spans="1:33" x14ac:dyDescent="0.25">
      <c r="A66" s="381" t="s">
        <v>192</v>
      </c>
      <c r="B66" s="387" t="s">
        <v>193</v>
      </c>
      <c r="C66" s="383">
        <v>6596</v>
      </c>
      <c r="D66" s="383">
        <v>7</v>
      </c>
      <c r="E66" s="383">
        <v>195</v>
      </c>
      <c r="F66" s="383">
        <v>1500</v>
      </c>
      <c r="G66" s="383">
        <v>724</v>
      </c>
      <c r="H66" s="383">
        <v>9022</v>
      </c>
      <c r="I66" s="382">
        <v>8298</v>
      </c>
      <c r="J66" s="382">
        <v>4</v>
      </c>
      <c r="K66" s="384">
        <v>104.44</v>
      </c>
      <c r="L66" s="384">
        <v>104.07</v>
      </c>
      <c r="M66" s="384">
        <v>6.15</v>
      </c>
      <c r="N66" s="384">
        <v>106.42</v>
      </c>
      <c r="O66" s="385">
        <v>5094</v>
      </c>
      <c r="P66" s="382">
        <v>94.65</v>
      </c>
      <c r="Q66" s="382">
        <v>96.18</v>
      </c>
      <c r="R66" s="382">
        <v>22.55</v>
      </c>
      <c r="S66" s="382">
        <v>116.37</v>
      </c>
      <c r="T66" s="382">
        <v>1526</v>
      </c>
      <c r="U66" s="382">
        <v>155.49</v>
      </c>
      <c r="V66" s="382">
        <v>1433</v>
      </c>
      <c r="W66" s="382">
        <v>186.38</v>
      </c>
      <c r="X66" s="382">
        <v>140</v>
      </c>
      <c r="Y66" s="382">
        <v>0</v>
      </c>
      <c r="Z66" s="382">
        <v>10</v>
      </c>
      <c r="AA66" s="382">
        <v>2</v>
      </c>
      <c r="AB66" s="382">
        <v>106</v>
      </c>
      <c r="AC66" s="382">
        <v>10</v>
      </c>
      <c r="AD66" s="386">
        <v>6501</v>
      </c>
      <c r="AE66" s="386">
        <v>33</v>
      </c>
      <c r="AF66" s="386">
        <v>56</v>
      </c>
      <c r="AG66" s="386">
        <v>89</v>
      </c>
    </row>
    <row r="67" spans="1:33" x14ac:dyDescent="0.25">
      <c r="A67" s="381" t="s">
        <v>194</v>
      </c>
      <c r="B67" s="387" t="s">
        <v>195</v>
      </c>
      <c r="C67" s="383">
        <v>16984</v>
      </c>
      <c r="D67" s="383">
        <v>23</v>
      </c>
      <c r="E67" s="383">
        <v>880</v>
      </c>
      <c r="F67" s="383">
        <v>2985</v>
      </c>
      <c r="G67" s="383">
        <v>1101</v>
      </c>
      <c r="H67" s="383">
        <v>21973</v>
      </c>
      <c r="I67" s="382">
        <v>20872</v>
      </c>
      <c r="J67" s="382">
        <v>366</v>
      </c>
      <c r="K67" s="384">
        <v>88.79</v>
      </c>
      <c r="L67" s="384">
        <v>87.8</v>
      </c>
      <c r="M67" s="384">
        <v>6.25</v>
      </c>
      <c r="N67" s="384">
        <v>91.36</v>
      </c>
      <c r="O67" s="385">
        <v>13283</v>
      </c>
      <c r="P67" s="382">
        <v>87.96</v>
      </c>
      <c r="Q67" s="382">
        <v>80.45</v>
      </c>
      <c r="R67" s="382">
        <v>28.73</v>
      </c>
      <c r="S67" s="382">
        <v>110.4</v>
      </c>
      <c r="T67" s="382">
        <v>3465</v>
      </c>
      <c r="U67" s="382">
        <v>109.35</v>
      </c>
      <c r="V67" s="382">
        <v>3622</v>
      </c>
      <c r="W67" s="382">
        <v>104.17</v>
      </c>
      <c r="X67" s="382">
        <v>160</v>
      </c>
      <c r="Y67" s="382">
        <v>0</v>
      </c>
      <c r="Z67" s="382">
        <v>61</v>
      </c>
      <c r="AA67" s="382">
        <v>8</v>
      </c>
      <c r="AB67" s="382">
        <v>183</v>
      </c>
      <c r="AC67" s="382">
        <v>23</v>
      </c>
      <c r="AD67" s="386">
        <v>16942</v>
      </c>
      <c r="AE67" s="386">
        <v>112</v>
      </c>
      <c r="AF67" s="386">
        <v>118</v>
      </c>
      <c r="AG67" s="386">
        <v>230</v>
      </c>
    </row>
    <row r="68" spans="1:33" x14ac:dyDescent="0.25">
      <c r="A68" s="381" t="s">
        <v>196</v>
      </c>
      <c r="B68" s="387" t="s">
        <v>197</v>
      </c>
      <c r="C68" s="383">
        <v>14274</v>
      </c>
      <c r="D68" s="383">
        <v>11</v>
      </c>
      <c r="E68" s="383">
        <v>767</v>
      </c>
      <c r="F68" s="383">
        <v>3344</v>
      </c>
      <c r="G68" s="383">
        <v>1612</v>
      </c>
      <c r="H68" s="383">
        <v>20008</v>
      </c>
      <c r="I68" s="382">
        <v>18396</v>
      </c>
      <c r="J68" s="382">
        <v>7</v>
      </c>
      <c r="K68" s="384">
        <v>91.96</v>
      </c>
      <c r="L68" s="384">
        <v>93.34</v>
      </c>
      <c r="M68" s="384">
        <v>4.3899999999999997</v>
      </c>
      <c r="N68" s="384">
        <v>93.49</v>
      </c>
      <c r="O68" s="385">
        <v>11877</v>
      </c>
      <c r="P68" s="382">
        <v>89.22</v>
      </c>
      <c r="Q68" s="382">
        <v>86.94</v>
      </c>
      <c r="R68" s="382">
        <v>29.79</v>
      </c>
      <c r="S68" s="382">
        <v>110.49</v>
      </c>
      <c r="T68" s="382">
        <v>3313</v>
      </c>
      <c r="U68" s="382">
        <v>111.72</v>
      </c>
      <c r="V68" s="382">
        <v>2112</v>
      </c>
      <c r="W68" s="382">
        <v>155.35</v>
      </c>
      <c r="X68" s="382">
        <v>453</v>
      </c>
      <c r="Y68" s="382">
        <v>0</v>
      </c>
      <c r="Z68" s="382">
        <v>57</v>
      </c>
      <c r="AA68" s="382">
        <v>1</v>
      </c>
      <c r="AB68" s="382">
        <v>140</v>
      </c>
      <c r="AC68" s="382">
        <v>29</v>
      </c>
      <c r="AD68" s="386">
        <v>14120</v>
      </c>
      <c r="AE68" s="386">
        <v>86</v>
      </c>
      <c r="AF68" s="386">
        <v>64</v>
      </c>
      <c r="AG68" s="386">
        <v>150</v>
      </c>
    </row>
    <row r="69" spans="1:33" x14ac:dyDescent="0.25">
      <c r="A69" s="381" t="s">
        <v>198</v>
      </c>
      <c r="B69" s="387" t="s">
        <v>199</v>
      </c>
      <c r="C69" s="383">
        <v>827</v>
      </c>
      <c r="D69" s="383">
        <v>0</v>
      </c>
      <c r="E69" s="383">
        <v>152</v>
      </c>
      <c r="F69" s="383">
        <v>496</v>
      </c>
      <c r="G69" s="383">
        <v>98</v>
      </c>
      <c r="H69" s="383">
        <v>1573</v>
      </c>
      <c r="I69" s="382">
        <v>1475</v>
      </c>
      <c r="J69" s="382">
        <v>0</v>
      </c>
      <c r="K69" s="384">
        <v>86.78</v>
      </c>
      <c r="L69" s="384">
        <v>84.96</v>
      </c>
      <c r="M69" s="384">
        <v>6.31</v>
      </c>
      <c r="N69" s="384">
        <v>89.38</v>
      </c>
      <c r="O69" s="385">
        <v>651</v>
      </c>
      <c r="P69" s="382">
        <v>89.13</v>
      </c>
      <c r="Q69" s="382">
        <v>83.65</v>
      </c>
      <c r="R69" s="382">
        <v>26</v>
      </c>
      <c r="S69" s="382">
        <v>114.08</v>
      </c>
      <c r="T69" s="382">
        <v>591</v>
      </c>
      <c r="U69" s="382">
        <v>96.27</v>
      </c>
      <c r="V69" s="382">
        <v>70</v>
      </c>
      <c r="W69" s="382">
        <v>0</v>
      </c>
      <c r="X69" s="382">
        <v>0</v>
      </c>
      <c r="Y69" s="382">
        <v>0</v>
      </c>
      <c r="Z69" s="382">
        <v>0</v>
      </c>
      <c r="AA69" s="382">
        <v>3</v>
      </c>
      <c r="AB69" s="382">
        <v>4</v>
      </c>
      <c r="AC69" s="382">
        <v>2</v>
      </c>
      <c r="AD69" s="386">
        <v>722</v>
      </c>
      <c r="AE69" s="386">
        <v>17</v>
      </c>
      <c r="AF69" s="386">
        <v>1</v>
      </c>
      <c r="AG69" s="386">
        <v>18</v>
      </c>
    </row>
    <row r="70" spans="1:33" x14ac:dyDescent="0.25">
      <c r="A70" s="381" t="s">
        <v>200</v>
      </c>
      <c r="B70" s="387" t="s">
        <v>201</v>
      </c>
      <c r="C70" s="383">
        <v>7275</v>
      </c>
      <c r="D70" s="383">
        <v>0</v>
      </c>
      <c r="E70" s="383">
        <v>156</v>
      </c>
      <c r="F70" s="383">
        <v>736</v>
      </c>
      <c r="G70" s="383">
        <v>646</v>
      </c>
      <c r="H70" s="383">
        <v>8813</v>
      </c>
      <c r="I70" s="382">
        <v>8167</v>
      </c>
      <c r="J70" s="382">
        <v>227</v>
      </c>
      <c r="K70" s="384">
        <v>104.87</v>
      </c>
      <c r="L70" s="384">
        <v>105.6</v>
      </c>
      <c r="M70" s="384">
        <v>7.47</v>
      </c>
      <c r="N70" s="384">
        <v>108.44</v>
      </c>
      <c r="O70" s="385">
        <v>6294</v>
      </c>
      <c r="P70" s="382">
        <v>95.25</v>
      </c>
      <c r="Q70" s="382">
        <v>94.94</v>
      </c>
      <c r="R70" s="382">
        <v>29.85</v>
      </c>
      <c r="S70" s="382">
        <v>123.46</v>
      </c>
      <c r="T70" s="382">
        <v>675</v>
      </c>
      <c r="U70" s="382">
        <v>155.66</v>
      </c>
      <c r="V70" s="382">
        <v>931</v>
      </c>
      <c r="W70" s="382">
        <v>141.1</v>
      </c>
      <c r="X70" s="382">
        <v>4</v>
      </c>
      <c r="Y70" s="382">
        <v>7</v>
      </c>
      <c r="Z70" s="382">
        <v>6</v>
      </c>
      <c r="AA70" s="382">
        <v>3</v>
      </c>
      <c r="AB70" s="382">
        <v>53</v>
      </c>
      <c r="AC70" s="382">
        <v>16</v>
      </c>
      <c r="AD70" s="386">
        <v>7261</v>
      </c>
      <c r="AE70" s="386">
        <v>88</v>
      </c>
      <c r="AF70" s="386">
        <v>14</v>
      </c>
      <c r="AG70" s="386">
        <v>102</v>
      </c>
    </row>
    <row r="71" spans="1:33" x14ac:dyDescent="0.25">
      <c r="A71" s="381" t="s">
        <v>202</v>
      </c>
      <c r="B71" s="387" t="s">
        <v>203</v>
      </c>
      <c r="C71" s="383">
        <v>6054</v>
      </c>
      <c r="D71" s="383">
        <v>1</v>
      </c>
      <c r="E71" s="383">
        <v>379</v>
      </c>
      <c r="F71" s="383">
        <v>525</v>
      </c>
      <c r="G71" s="383">
        <v>209</v>
      </c>
      <c r="H71" s="383">
        <v>7168</v>
      </c>
      <c r="I71" s="382">
        <v>6959</v>
      </c>
      <c r="J71" s="382">
        <v>10</v>
      </c>
      <c r="K71" s="384">
        <v>80.180000000000007</v>
      </c>
      <c r="L71" s="384">
        <v>77.37</v>
      </c>
      <c r="M71" s="384">
        <v>6.06</v>
      </c>
      <c r="N71" s="384">
        <v>84.56</v>
      </c>
      <c r="O71" s="385">
        <v>5255</v>
      </c>
      <c r="P71" s="382">
        <v>89.14</v>
      </c>
      <c r="Q71" s="382">
        <v>69.900000000000006</v>
      </c>
      <c r="R71" s="382">
        <v>28.8</v>
      </c>
      <c r="S71" s="382">
        <v>116.8</v>
      </c>
      <c r="T71" s="382">
        <v>784</v>
      </c>
      <c r="U71" s="382">
        <v>100.87</v>
      </c>
      <c r="V71" s="382">
        <v>746</v>
      </c>
      <c r="W71" s="382">
        <v>0</v>
      </c>
      <c r="X71" s="382">
        <v>0</v>
      </c>
      <c r="Y71" s="382">
        <v>5</v>
      </c>
      <c r="Z71" s="382">
        <v>19</v>
      </c>
      <c r="AA71" s="382">
        <v>8</v>
      </c>
      <c r="AB71" s="382">
        <v>4</v>
      </c>
      <c r="AC71" s="382">
        <v>5</v>
      </c>
      <c r="AD71" s="386">
        <v>6022</v>
      </c>
      <c r="AE71" s="386">
        <v>48</v>
      </c>
      <c r="AF71" s="386">
        <v>9</v>
      </c>
      <c r="AG71" s="386">
        <v>57</v>
      </c>
    </row>
    <row r="72" spans="1:33" x14ac:dyDescent="0.25">
      <c r="A72" s="381" t="s">
        <v>204</v>
      </c>
      <c r="B72" s="387" t="s">
        <v>205</v>
      </c>
      <c r="C72" s="383">
        <v>194</v>
      </c>
      <c r="D72" s="383">
        <v>0</v>
      </c>
      <c r="E72" s="383">
        <v>17</v>
      </c>
      <c r="F72" s="383">
        <v>19</v>
      </c>
      <c r="G72" s="383">
        <v>0</v>
      </c>
      <c r="H72" s="383">
        <v>230</v>
      </c>
      <c r="I72" s="382">
        <v>230</v>
      </c>
      <c r="J72" s="382">
        <v>0</v>
      </c>
      <c r="K72" s="384">
        <v>126.59</v>
      </c>
      <c r="L72" s="384">
        <v>128.87</v>
      </c>
      <c r="M72" s="384">
        <v>15.74</v>
      </c>
      <c r="N72" s="384">
        <v>142.22999999999999</v>
      </c>
      <c r="O72" s="385">
        <v>160</v>
      </c>
      <c r="P72" s="382">
        <v>114.68</v>
      </c>
      <c r="Q72" s="382">
        <v>111.67</v>
      </c>
      <c r="R72" s="382">
        <v>109.21</v>
      </c>
      <c r="S72" s="382">
        <v>223.89</v>
      </c>
      <c r="T72" s="382">
        <v>36</v>
      </c>
      <c r="U72" s="382">
        <v>210.07</v>
      </c>
      <c r="V72" s="382">
        <v>34</v>
      </c>
      <c r="W72" s="382">
        <v>0</v>
      </c>
      <c r="X72" s="382">
        <v>0</v>
      </c>
      <c r="Y72" s="382">
        <v>0</v>
      </c>
      <c r="Z72" s="382">
        <v>0</v>
      </c>
      <c r="AA72" s="382">
        <v>0</v>
      </c>
      <c r="AB72" s="382">
        <v>0</v>
      </c>
      <c r="AC72" s="382">
        <v>0</v>
      </c>
      <c r="AD72" s="386">
        <v>194</v>
      </c>
      <c r="AE72" s="386">
        <v>1</v>
      </c>
      <c r="AF72" s="386">
        <v>0</v>
      </c>
      <c r="AG72" s="386">
        <v>1</v>
      </c>
    </row>
    <row r="73" spans="1:33" x14ac:dyDescent="0.25">
      <c r="A73" s="381" t="s">
        <v>206</v>
      </c>
      <c r="B73" s="387" t="s">
        <v>207</v>
      </c>
      <c r="C73" s="383">
        <v>4066</v>
      </c>
      <c r="D73" s="383">
        <v>173</v>
      </c>
      <c r="E73" s="383">
        <v>668</v>
      </c>
      <c r="F73" s="383">
        <v>348</v>
      </c>
      <c r="G73" s="383">
        <v>311</v>
      </c>
      <c r="H73" s="383">
        <v>5566</v>
      </c>
      <c r="I73" s="382">
        <v>5255</v>
      </c>
      <c r="J73" s="382">
        <v>43</v>
      </c>
      <c r="K73" s="384">
        <v>102.31</v>
      </c>
      <c r="L73" s="384">
        <v>102.02</v>
      </c>
      <c r="M73" s="384">
        <v>6.12</v>
      </c>
      <c r="N73" s="384">
        <v>107.35</v>
      </c>
      <c r="O73" s="385">
        <v>2792</v>
      </c>
      <c r="P73" s="382">
        <v>99.52</v>
      </c>
      <c r="Q73" s="382">
        <v>82.91</v>
      </c>
      <c r="R73" s="382">
        <v>56.14</v>
      </c>
      <c r="S73" s="382">
        <v>148.80000000000001</v>
      </c>
      <c r="T73" s="382">
        <v>655</v>
      </c>
      <c r="U73" s="382">
        <v>130.72</v>
      </c>
      <c r="V73" s="382">
        <v>988</v>
      </c>
      <c r="W73" s="382">
        <v>117.2</v>
      </c>
      <c r="X73" s="382">
        <v>34</v>
      </c>
      <c r="Y73" s="382">
        <v>43</v>
      </c>
      <c r="Z73" s="382">
        <v>1</v>
      </c>
      <c r="AA73" s="382">
        <v>10</v>
      </c>
      <c r="AB73" s="382">
        <v>30</v>
      </c>
      <c r="AC73" s="382">
        <v>4</v>
      </c>
      <c r="AD73" s="386">
        <v>3991</v>
      </c>
      <c r="AE73" s="386">
        <v>58</v>
      </c>
      <c r="AF73" s="386">
        <v>44</v>
      </c>
      <c r="AG73" s="386">
        <v>102</v>
      </c>
    </row>
    <row r="74" spans="1:33" x14ac:dyDescent="0.25">
      <c r="A74" s="381" t="s">
        <v>208</v>
      </c>
      <c r="B74" s="387" t="s">
        <v>209</v>
      </c>
      <c r="C74" s="383">
        <v>5633</v>
      </c>
      <c r="D74" s="383">
        <v>26</v>
      </c>
      <c r="E74" s="383">
        <v>77</v>
      </c>
      <c r="F74" s="383">
        <v>308</v>
      </c>
      <c r="G74" s="383">
        <v>7</v>
      </c>
      <c r="H74" s="383">
        <v>6051</v>
      </c>
      <c r="I74" s="382">
        <v>6044</v>
      </c>
      <c r="J74" s="382">
        <v>2</v>
      </c>
      <c r="K74" s="384">
        <v>85.3</v>
      </c>
      <c r="L74" s="384">
        <v>82.13</v>
      </c>
      <c r="M74" s="384">
        <v>1.1599999999999999</v>
      </c>
      <c r="N74" s="384">
        <v>86.32</v>
      </c>
      <c r="O74" s="385">
        <v>5332</v>
      </c>
      <c r="P74" s="382">
        <v>79.3</v>
      </c>
      <c r="Q74" s="382">
        <v>74.86</v>
      </c>
      <c r="R74" s="382">
        <v>43.06</v>
      </c>
      <c r="S74" s="382">
        <v>121.3</v>
      </c>
      <c r="T74" s="382">
        <v>367</v>
      </c>
      <c r="U74" s="382">
        <v>93.59</v>
      </c>
      <c r="V74" s="382">
        <v>294</v>
      </c>
      <c r="W74" s="382">
        <v>0</v>
      </c>
      <c r="X74" s="382">
        <v>0</v>
      </c>
      <c r="Y74" s="382">
        <v>0</v>
      </c>
      <c r="Z74" s="382">
        <v>0</v>
      </c>
      <c r="AA74" s="382">
        <v>1</v>
      </c>
      <c r="AB74" s="382">
        <v>0</v>
      </c>
      <c r="AC74" s="382">
        <v>0</v>
      </c>
      <c r="AD74" s="386">
        <v>5600</v>
      </c>
      <c r="AE74" s="386">
        <v>70</v>
      </c>
      <c r="AF74" s="386">
        <v>153</v>
      </c>
      <c r="AG74" s="386">
        <v>223</v>
      </c>
    </row>
    <row r="75" spans="1:33" x14ac:dyDescent="0.25">
      <c r="A75" s="381" t="s">
        <v>210</v>
      </c>
      <c r="B75" s="387" t="s">
        <v>211</v>
      </c>
      <c r="C75" s="383">
        <v>18622</v>
      </c>
      <c r="D75" s="383">
        <v>0</v>
      </c>
      <c r="E75" s="383">
        <v>939</v>
      </c>
      <c r="F75" s="383">
        <v>2468</v>
      </c>
      <c r="G75" s="383">
        <v>2240</v>
      </c>
      <c r="H75" s="383">
        <v>24269</v>
      </c>
      <c r="I75" s="382">
        <v>22029</v>
      </c>
      <c r="J75" s="382">
        <v>10</v>
      </c>
      <c r="K75" s="384">
        <v>83.94</v>
      </c>
      <c r="L75" s="384">
        <v>78.66</v>
      </c>
      <c r="M75" s="384">
        <v>3.32</v>
      </c>
      <c r="N75" s="384">
        <v>86.68</v>
      </c>
      <c r="O75" s="385">
        <v>14250</v>
      </c>
      <c r="P75" s="382">
        <v>81.569999999999993</v>
      </c>
      <c r="Q75" s="382">
        <v>71.44</v>
      </c>
      <c r="R75" s="382">
        <v>39.18</v>
      </c>
      <c r="S75" s="382">
        <v>119.49</v>
      </c>
      <c r="T75" s="382">
        <v>3162</v>
      </c>
      <c r="U75" s="382">
        <v>117.34</v>
      </c>
      <c r="V75" s="382">
        <v>2979</v>
      </c>
      <c r="W75" s="382">
        <v>136.66999999999999</v>
      </c>
      <c r="X75" s="382">
        <v>59</v>
      </c>
      <c r="Y75" s="382">
        <v>1</v>
      </c>
      <c r="Z75" s="382">
        <v>20</v>
      </c>
      <c r="AA75" s="382">
        <v>80</v>
      </c>
      <c r="AB75" s="382">
        <v>209</v>
      </c>
      <c r="AC75" s="382">
        <v>34</v>
      </c>
      <c r="AD75" s="386">
        <v>18204</v>
      </c>
      <c r="AE75" s="386">
        <v>108</v>
      </c>
      <c r="AF75" s="386">
        <v>68</v>
      </c>
      <c r="AG75" s="386">
        <v>176</v>
      </c>
    </row>
    <row r="76" spans="1:33" x14ac:dyDescent="0.25">
      <c r="A76" s="381" t="s">
        <v>212</v>
      </c>
      <c r="B76" s="387" t="s">
        <v>213</v>
      </c>
      <c r="C76" s="383">
        <v>5531</v>
      </c>
      <c r="D76" s="383">
        <v>0</v>
      </c>
      <c r="E76" s="383">
        <v>58</v>
      </c>
      <c r="F76" s="383">
        <v>553</v>
      </c>
      <c r="G76" s="383">
        <v>725</v>
      </c>
      <c r="H76" s="383">
        <v>6867</v>
      </c>
      <c r="I76" s="382">
        <v>6142</v>
      </c>
      <c r="J76" s="382">
        <v>0</v>
      </c>
      <c r="K76" s="384">
        <v>103.16</v>
      </c>
      <c r="L76" s="384">
        <v>98.68</v>
      </c>
      <c r="M76" s="384">
        <v>4.0199999999999996</v>
      </c>
      <c r="N76" s="384">
        <v>104.71</v>
      </c>
      <c r="O76" s="385">
        <v>4439</v>
      </c>
      <c r="P76" s="382">
        <v>95.34</v>
      </c>
      <c r="Q76" s="382">
        <v>87.01</v>
      </c>
      <c r="R76" s="382">
        <v>22.99</v>
      </c>
      <c r="S76" s="382">
        <v>117.21</v>
      </c>
      <c r="T76" s="382">
        <v>552</v>
      </c>
      <c r="U76" s="382">
        <v>135.09</v>
      </c>
      <c r="V76" s="382">
        <v>854</v>
      </c>
      <c r="W76" s="382">
        <v>172.5</v>
      </c>
      <c r="X76" s="382">
        <v>52</v>
      </c>
      <c r="Y76" s="382">
        <v>0</v>
      </c>
      <c r="Z76" s="382">
        <v>6</v>
      </c>
      <c r="AA76" s="382">
        <v>3</v>
      </c>
      <c r="AB76" s="382">
        <v>84</v>
      </c>
      <c r="AC76" s="382">
        <v>13</v>
      </c>
      <c r="AD76" s="386">
        <v>5286</v>
      </c>
      <c r="AE76" s="386">
        <v>35</v>
      </c>
      <c r="AF76" s="386">
        <v>107</v>
      </c>
      <c r="AG76" s="386">
        <v>142</v>
      </c>
    </row>
    <row r="77" spans="1:33" x14ac:dyDescent="0.25">
      <c r="A77" s="381" t="s">
        <v>214</v>
      </c>
      <c r="B77" s="387" t="s">
        <v>215</v>
      </c>
      <c r="C77" s="383">
        <v>45436</v>
      </c>
      <c r="D77" s="383">
        <v>82</v>
      </c>
      <c r="E77" s="383">
        <v>1066</v>
      </c>
      <c r="F77" s="383">
        <v>1438</v>
      </c>
      <c r="G77" s="383">
        <v>279</v>
      </c>
      <c r="H77" s="383">
        <v>48301</v>
      </c>
      <c r="I77" s="382">
        <v>48022</v>
      </c>
      <c r="J77" s="382">
        <v>11</v>
      </c>
      <c r="K77" s="384">
        <v>72.12</v>
      </c>
      <c r="L77" s="384">
        <v>72.31</v>
      </c>
      <c r="M77" s="384">
        <v>6.78</v>
      </c>
      <c r="N77" s="384">
        <v>73.11</v>
      </c>
      <c r="O77" s="385">
        <v>41194</v>
      </c>
      <c r="P77" s="382">
        <v>100.31</v>
      </c>
      <c r="Q77" s="382">
        <v>78.19</v>
      </c>
      <c r="R77" s="382">
        <v>53.79</v>
      </c>
      <c r="S77" s="382">
        <v>151.69</v>
      </c>
      <c r="T77" s="382">
        <v>1964</v>
      </c>
      <c r="U77" s="382">
        <v>90.12</v>
      </c>
      <c r="V77" s="382">
        <v>3511</v>
      </c>
      <c r="W77" s="382">
        <v>150.5</v>
      </c>
      <c r="X77" s="382">
        <v>155</v>
      </c>
      <c r="Y77" s="382">
        <v>0</v>
      </c>
      <c r="Z77" s="382">
        <v>225</v>
      </c>
      <c r="AA77" s="382">
        <v>42</v>
      </c>
      <c r="AB77" s="382">
        <v>31</v>
      </c>
      <c r="AC77" s="382">
        <v>11</v>
      </c>
      <c r="AD77" s="386">
        <v>44499</v>
      </c>
      <c r="AE77" s="386">
        <v>527</v>
      </c>
      <c r="AF77" s="386">
        <v>311</v>
      </c>
      <c r="AG77" s="386">
        <v>838</v>
      </c>
    </row>
    <row r="78" spans="1:33" x14ac:dyDescent="0.25">
      <c r="A78" s="381" t="s">
        <v>216</v>
      </c>
      <c r="B78" s="387" t="s">
        <v>217</v>
      </c>
      <c r="C78" s="383">
        <v>22402</v>
      </c>
      <c r="D78" s="383">
        <v>4</v>
      </c>
      <c r="E78" s="383">
        <v>689</v>
      </c>
      <c r="F78" s="383">
        <v>1765</v>
      </c>
      <c r="G78" s="383">
        <v>652</v>
      </c>
      <c r="H78" s="383">
        <v>25512</v>
      </c>
      <c r="I78" s="382">
        <v>24860</v>
      </c>
      <c r="J78" s="382">
        <v>3</v>
      </c>
      <c r="K78" s="384">
        <v>84.26</v>
      </c>
      <c r="L78" s="384">
        <v>84.56</v>
      </c>
      <c r="M78" s="384">
        <v>5.66</v>
      </c>
      <c r="N78" s="384">
        <v>89.52</v>
      </c>
      <c r="O78" s="385">
        <v>19986</v>
      </c>
      <c r="P78" s="382">
        <v>90.83</v>
      </c>
      <c r="Q78" s="382">
        <v>86.47</v>
      </c>
      <c r="R78" s="382">
        <v>49.94</v>
      </c>
      <c r="S78" s="382">
        <v>139.66999999999999</v>
      </c>
      <c r="T78" s="382">
        <v>2189</v>
      </c>
      <c r="U78" s="382">
        <v>109.07</v>
      </c>
      <c r="V78" s="382">
        <v>2068</v>
      </c>
      <c r="W78" s="382">
        <v>0</v>
      </c>
      <c r="X78" s="382">
        <v>0</v>
      </c>
      <c r="Y78" s="382">
        <v>309</v>
      </c>
      <c r="Z78" s="382">
        <v>75</v>
      </c>
      <c r="AA78" s="382">
        <v>19</v>
      </c>
      <c r="AB78" s="382">
        <v>59</v>
      </c>
      <c r="AC78" s="382">
        <v>22</v>
      </c>
      <c r="AD78" s="386">
        <v>22277</v>
      </c>
      <c r="AE78" s="386">
        <v>137</v>
      </c>
      <c r="AF78" s="386">
        <v>146</v>
      </c>
      <c r="AG78" s="386">
        <v>283</v>
      </c>
    </row>
    <row r="79" spans="1:33" x14ac:dyDescent="0.25">
      <c r="A79" s="381" t="s">
        <v>218</v>
      </c>
      <c r="B79" s="387" t="s">
        <v>219</v>
      </c>
      <c r="C79" s="383">
        <v>2228</v>
      </c>
      <c r="D79" s="383">
        <v>17</v>
      </c>
      <c r="E79" s="383">
        <v>30</v>
      </c>
      <c r="F79" s="383">
        <v>169</v>
      </c>
      <c r="G79" s="383">
        <v>63</v>
      </c>
      <c r="H79" s="383">
        <v>2507</v>
      </c>
      <c r="I79" s="382">
        <v>2444</v>
      </c>
      <c r="J79" s="382">
        <v>7</v>
      </c>
      <c r="K79" s="384">
        <v>84.81</v>
      </c>
      <c r="L79" s="384">
        <v>81.290000000000006</v>
      </c>
      <c r="M79" s="384">
        <v>6.59</v>
      </c>
      <c r="N79" s="384">
        <v>88.53</v>
      </c>
      <c r="O79" s="385">
        <v>1596</v>
      </c>
      <c r="P79" s="382">
        <v>78.47</v>
      </c>
      <c r="Q79" s="382">
        <v>71.75</v>
      </c>
      <c r="R79" s="382">
        <v>28.37</v>
      </c>
      <c r="S79" s="382">
        <v>105.51</v>
      </c>
      <c r="T79" s="382">
        <v>149</v>
      </c>
      <c r="U79" s="382">
        <v>94.46</v>
      </c>
      <c r="V79" s="382">
        <v>597</v>
      </c>
      <c r="W79" s="382">
        <v>155.69999999999999</v>
      </c>
      <c r="X79" s="382">
        <v>34</v>
      </c>
      <c r="Y79" s="382">
        <v>34</v>
      </c>
      <c r="Z79" s="382">
        <v>6</v>
      </c>
      <c r="AA79" s="382">
        <v>8</v>
      </c>
      <c r="AB79" s="382">
        <v>19</v>
      </c>
      <c r="AC79" s="382">
        <v>2</v>
      </c>
      <c r="AD79" s="386">
        <v>2212</v>
      </c>
      <c r="AE79" s="386">
        <v>6</v>
      </c>
      <c r="AF79" s="386">
        <v>5</v>
      </c>
      <c r="AG79" s="386">
        <v>11</v>
      </c>
    </row>
    <row r="80" spans="1:33" x14ac:dyDescent="0.25">
      <c r="A80" s="381" t="s">
        <v>220</v>
      </c>
      <c r="B80" s="387" t="s">
        <v>221</v>
      </c>
      <c r="C80" s="383">
        <v>2061</v>
      </c>
      <c r="D80" s="383">
        <v>0</v>
      </c>
      <c r="E80" s="383">
        <v>174</v>
      </c>
      <c r="F80" s="383">
        <v>285</v>
      </c>
      <c r="G80" s="383">
        <v>400</v>
      </c>
      <c r="H80" s="383">
        <v>2920</v>
      </c>
      <c r="I80" s="382">
        <v>2520</v>
      </c>
      <c r="J80" s="382">
        <v>1</v>
      </c>
      <c r="K80" s="384">
        <v>110.98</v>
      </c>
      <c r="L80" s="384">
        <v>103.99</v>
      </c>
      <c r="M80" s="384">
        <v>8.93</v>
      </c>
      <c r="N80" s="384">
        <v>118.94</v>
      </c>
      <c r="O80" s="385">
        <v>1678</v>
      </c>
      <c r="P80" s="382">
        <v>100.53</v>
      </c>
      <c r="Q80" s="382">
        <v>99.77</v>
      </c>
      <c r="R80" s="382">
        <v>36.6</v>
      </c>
      <c r="S80" s="382">
        <v>130.54</v>
      </c>
      <c r="T80" s="382">
        <v>200</v>
      </c>
      <c r="U80" s="382">
        <v>155.54</v>
      </c>
      <c r="V80" s="382">
        <v>404</v>
      </c>
      <c r="W80" s="382">
        <v>254.56</v>
      </c>
      <c r="X80" s="382">
        <v>103</v>
      </c>
      <c r="Y80" s="382">
        <v>0</v>
      </c>
      <c r="Z80" s="382">
        <v>7</v>
      </c>
      <c r="AA80" s="382">
        <v>2</v>
      </c>
      <c r="AB80" s="382">
        <v>25</v>
      </c>
      <c r="AC80" s="382">
        <v>7</v>
      </c>
      <c r="AD80" s="386">
        <v>2032</v>
      </c>
      <c r="AE80" s="386">
        <v>21</v>
      </c>
      <c r="AF80" s="386">
        <v>7</v>
      </c>
      <c r="AG80" s="386">
        <v>28</v>
      </c>
    </row>
    <row r="81" spans="1:33" x14ac:dyDescent="0.25">
      <c r="A81" s="381" t="s">
        <v>222</v>
      </c>
      <c r="B81" s="387" t="s">
        <v>223</v>
      </c>
      <c r="C81" s="383">
        <v>11198</v>
      </c>
      <c r="D81" s="383">
        <v>106</v>
      </c>
      <c r="E81" s="383">
        <v>998</v>
      </c>
      <c r="F81" s="383">
        <v>801</v>
      </c>
      <c r="G81" s="383">
        <v>1988</v>
      </c>
      <c r="H81" s="383">
        <v>15091</v>
      </c>
      <c r="I81" s="382">
        <v>13103</v>
      </c>
      <c r="J81" s="382">
        <v>62</v>
      </c>
      <c r="K81" s="384">
        <v>122.2</v>
      </c>
      <c r="L81" s="384">
        <v>121.24</v>
      </c>
      <c r="M81" s="384">
        <v>9.39</v>
      </c>
      <c r="N81" s="384">
        <v>128.08000000000001</v>
      </c>
      <c r="O81" s="385">
        <v>8839</v>
      </c>
      <c r="P81" s="382">
        <v>101.76</v>
      </c>
      <c r="Q81" s="382">
        <v>96.84</v>
      </c>
      <c r="R81" s="382">
        <v>61.63</v>
      </c>
      <c r="S81" s="382">
        <v>157.91999999999999</v>
      </c>
      <c r="T81" s="382">
        <v>1139</v>
      </c>
      <c r="U81" s="382">
        <v>184.07</v>
      </c>
      <c r="V81" s="382">
        <v>1827</v>
      </c>
      <c r="W81" s="382">
        <v>0</v>
      </c>
      <c r="X81" s="382">
        <v>0</v>
      </c>
      <c r="Y81" s="382">
        <v>1</v>
      </c>
      <c r="Z81" s="382">
        <v>3</v>
      </c>
      <c r="AA81" s="382">
        <v>15</v>
      </c>
      <c r="AB81" s="382">
        <v>105</v>
      </c>
      <c r="AC81" s="382">
        <v>46</v>
      </c>
      <c r="AD81" s="386">
        <v>10952</v>
      </c>
      <c r="AE81" s="386">
        <v>75</v>
      </c>
      <c r="AF81" s="386">
        <v>54</v>
      </c>
      <c r="AG81" s="386">
        <v>129</v>
      </c>
    </row>
    <row r="82" spans="1:33" x14ac:dyDescent="0.25">
      <c r="A82" s="381" t="s">
        <v>224</v>
      </c>
      <c r="B82" s="387" t="s">
        <v>225</v>
      </c>
      <c r="C82" s="383">
        <v>2864</v>
      </c>
      <c r="D82" s="383">
        <v>0</v>
      </c>
      <c r="E82" s="383">
        <v>250</v>
      </c>
      <c r="F82" s="383">
        <v>267</v>
      </c>
      <c r="G82" s="383">
        <v>334</v>
      </c>
      <c r="H82" s="383">
        <v>3715</v>
      </c>
      <c r="I82" s="382">
        <v>3381</v>
      </c>
      <c r="J82" s="382">
        <v>8</v>
      </c>
      <c r="K82" s="384">
        <v>116.28</v>
      </c>
      <c r="L82" s="384">
        <v>114.12</v>
      </c>
      <c r="M82" s="384">
        <v>6.82</v>
      </c>
      <c r="N82" s="384">
        <v>122.1</v>
      </c>
      <c r="O82" s="385">
        <v>1961</v>
      </c>
      <c r="P82" s="382">
        <v>115.97</v>
      </c>
      <c r="Q82" s="382">
        <v>98.69</v>
      </c>
      <c r="R82" s="382">
        <v>35.299999999999997</v>
      </c>
      <c r="S82" s="382">
        <v>150.16999999999999</v>
      </c>
      <c r="T82" s="382">
        <v>417</v>
      </c>
      <c r="U82" s="382">
        <v>169.49</v>
      </c>
      <c r="V82" s="382">
        <v>706</v>
      </c>
      <c r="W82" s="382">
        <v>153.99</v>
      </c>
      <c r="X82" s="382">
        <v>8</v>
      </c>
      <c r="Y82" s="382">
        <v>0</v>
      </c>
      <c r="Z82" s="382">
        <v>3</v>
      </c>
      <c r="AA82" s="382">
        <v>1</v>
      </c>
      <c r="AB82" s="382">
        <v>6</v>
      </c>
      <c r="AC82" s="382">
        <v>7</v>
      </c>
      <c r="AD82" s="386">
        <v>2831</v>
      </c>
      <c r="AE82" s="386">
        <v>21</v>
      </c>
      <c r="AF82" s="386">
        <v>5</v>
      </c>
      <c r="AG82" s="386">
        <v>26</v>
      </c>
    </row>
    <row r="83" spans="1:33" x14ac:dyDescent="0.25">
      <c r="A83" s="381" t="s">
        <v>226</v>
      </c>
      <c r="B83" s="387" t="s">
        <v>227</v>
      </c>
      <c r="C83" s="383">
        <v>2040</v>
      </c>
      <c r="D83" s="383">
        <v>22</v>
      </c>
      <c r="E83" s="383">
        <v>298</v>
      </c>
      <c r="F83" s="383">
        <v>525</v>
      </c>
      <c r="G83" s="383">
        <v>125</v>
      </c>
      <c r="H83" s="383">
        <v>3010</v>
      </c>
      <c r="I83" s="382">
        <v>2885</v>
      </c>
      <c r="J83" s="382">
        <v>1</v>
      </c>
      <c r="K83" s="384">
        <v>79.55</v>
      </c>
      <c r="L83" s="384">
        <v>76.959999999999994</v>
      </c>
      <c r="M83" s="384">
        <v>4.6500000000000004</v>
      </c>
      <c r="N83" s="384">
        <v>82.49</v>
      </c>
      <c r="O83" s="385">
        <v>1161</v>
      </c>
      <c r="P83" s="382">
        <v>88.52</v>
      </c>
      <c r="Q83" s="382">
        <v>79.38</v>
      </c>
      <c r="R83" s="382">
        <v>49.52</v>
      </c>
      <c r="S83" s="382">
        <v>137.88</v>
      </c>
      <c r="T83" s="382">
        <v>581</v>
      </c>
      <c r="U83" s="382">
        <v>94.76</v>
      </c>
      <c r="V83" s="382">
        <v>537</v>
      </c>
      <c r="W83" s="382">
        <v>95.53</v>
      </c>
      <c r="X83" s="382">
        <v>22</v>
      </c>
      <c r="Y83" s="382">
        <v>0</v>
      </c>
      <c r="Z83" s="382">
        <v>0</v>
      </c>
      <c r="AA83" s="382">
        <v>4</v>
      </c>
      <c r="AB83" s="382">
        <v>0</v>
      </c>
      <c r="AC83" s="382">
        <v>5</v>
      </c>
      <c r="AD83" s="386">
        <v>1807</v>
      </c>
      <c r="AE83" s="386">
        <v>40</v>
      </c>
      <c r="AF83" s="386">
        <v>7</v>
      </c>
      <c r="AG83" s="386">
        <v>47</v>
      </c>
    </row>
    <row r="84" spans="1:33" x14ac:dyDescent="0.25">
      <c r="A84" s="381" t="s">
        <v>228</v>
      </c>
      <c r="B84" s="387" t="s">
        <v>229</v>
      </c>
      <c r="C84" s="383">
        <v>1739</v>
      </c>
      <c r="D84" s="383">
        <v>12</v>
      </c>
      <c r="E84" s="383">
        <v>151</v>
      </c>
      <c r="F84" s="383">
        <v>107</v>
      </c>
      <c r="G84" s="383">
        <v>892</v>
      </c>
      <c r="H84" s="383">
        <v>2901</v>
      </c>
      <c r="I84" s="382">
        <v>2009</v>
      </c>
      <c r="J84" s="382">
        <v>2</v>
      </c>
      <c r="K84" s="384">
        <v>107.99</v>
      </c>
      <c r="L84" s="384">
        <v>103.82</v>
      </c>
      <c r="M84" s="384">
        <v>6.88</v>
      </c>
      <c r="N84" s="384">
        <v>114.28</v>
      </c>
      <c r="O84" s="385">
        <v>860</v>
      </c>
      <c r="P84" s="382">
        <v>124.19</v>
      </c>
      <c r="Q84" s="382">
        <v>84.1</v>
      </c>
      <c r="R84" s="382">
        <v>38.78</v>
      </c>
      <c r="S84" s="382">
        <v>159.69</v>
      </c>
      <c r="T84" s="382">
        <v>142</v>
      </c>
      <c r="U84" s="382">
        <v>156.69</v>
      </c>
      <c r="V84" s="382">
        <v>438</v>
      </c>
      <c r="W84" s="382">
        <v>0</v>
      </c>
      <c r="X84" s="382">
        <v>0</v>
      </c>
      <c r="Y84" s="382">
        <v>0</v>
      </c>
      <c r="Z84" s="382">
        <v>0</v>
      </c>
      <c r="AA84" s="382">
        <v>0</v>
      </c>
      <c r="AB84" s="382">
        <v>114</v>
      </c>
      <c r="AC84" s="382">
        <v>21</v>
      </c>
      <c r="AD84" s="386">
        <v>1361</v>
      </c>
      <c r="AE84" s="386">
        <v>8</v>
      </c>
      <c r="AF84" s="386">
        <v>7</v>
      </c>
      <c r="AG84" s="386">
        <v>15</v>
      </c>
    </row>
    <row r="85" spans="1:33" x14ac:dyDescent="0.25">
      <c r="A85" s="381" t="s">
        <v>230</v>
      </c>
      <c r="B85" s="387" t="s">
        <v>231</v>
      </c>
      <c r="C85" s="383">
        <v>5999</v>
      </c>
      <c r="D85" s="383">
        <v>18</v>
      </c>
      <c r="E85" s="383">
        <v>604</v>
      </c>
      <c r="F85" s="383">
        <v>1315</v>
      </c>
      <c r="G85" s="383">
        <v>511</v>
      </c>
      <c r="H85" s="383">
        <v>8447</v>
      </c>
      <c r="I85" s="382">
        <v>7936</v>
      </c>
      <c r="J85" s="382">
        <v>2</v>
      </c>
      <c r="K85" s="384">
        <v>87.91</v>
      </c>
      <c r="L85" s="384">
        <v>86.75</v>
      </c>
      <c r="M85" s="384">
        <v>6.35</v>
      </c>
      <c r="N85" s="384">
        <v>92.41</v>
      </c>
      <c r="O85" s="385">
        <v>5470</v>
      </c>
      <c r="P85" s="382">
        <v>100.18</v>
      </c>
      <c r="Q85" s="382">
        <v>91.71</v>
      </c>
      <c r="R85" s="382">
        <v>51.97</v>
      </c>
      <c r="S85" s="382">
        <v>150.74</v>
      </c>
      <c r="T85" s="382">
        <v>1468</v>
      </c>
      <c r="U85" s="382">
        <v>100.54</v>
      </c>
      <c r="V85" s="382">
        <v>386</v>
      </c>
      <c r="W85" s="382">
        <v>149.08000000000001</v>
      </c>
      <c r="X85" s="382">
        <v>107</v>
      </c>
      <c r="Y85" s="382">
        <v>0</v>
      </c>
      <c r="Z85" s="382">
        <v>0</v>
      </c>
      <c r="AA85" s="382">
        <v>8</v>
      </c>
      <c r="AB85" s="382">
        <v>4</v>
      </c>
      <c r="AC85" s="382">
        <v>14</v>
      </c>
      <c r="AD85" s="386">
        <v>5867</v>
      </c>
      <c r="AE85" s="386">
        <v>56</v>
      </c>
      <c r="AF85" s="386">
        <v>5</v>
      </c>
      <c r="AG85" s="386">
        <v>61</v>
      </c>
    </row>
    <row r="86" spans="1:33" x14ac:dyDescent="0.25">
      <c r="A86" s="381" t="s">
        <v>232</v>
      </c>
      <c r="B86" s="387" t="s">
        <v>233</v>
      </c>
      <c r="C86" s="383">
        <v>3758</v>
      </c>
      <c r="D86" s="383">
        <v>0</v>
      </c>
      <c r="E86" s="383">
        <v>61</v>
      </c>
      <c r="F86" s="383">
        <v>274</v>
      </c>
      <c r="G86" s="383">
        <v>215</v>
      </c>
      <c r="H86" s="383">
        <v>4308</v>
      </c>
      <c r="I86" s="382">
        <v>4093</v>
      </c>
      <c r="J86" s="382">
        <v>0</v>
      </c>
      <c r="K86" s="384">
        <v>91.32</v>
      </c>
      <c r="L86" s="384">
        <v>93.48</v>
      </c>
      <c r="M86" s="384">
        <v>2.75</v>
      </c>
      <c r="N86" s="384">
        <v>93.73</v>
      </c>
      <c r="O86" s="385">
        <v>3382</v>
      </c>
      <c r="P86" s="382">
        <v>85.39</v>
      </c>
      <c r="Q86" s="382">
        <v>82.93</v>
      </c>
      <c r="R86" s="382">
        <v>27.65</v>
      </c>
      <c r="S86" s="382">
        <v>112.19</v>
      </c>
      <c r="T86" s="382">
        <v>323</v>
      </c>
      <c r="U86" s="382">
        <v>110.15</v>
      </c>
      <c r="V86" s="382">
        <v>266</v>
      </c>
      <c r="W86" s="382">
        <v>189.69</v>
      </c>
      <c r="X86" s="382">
        <v>2</v>
      </c>
      <c r="Y86" s="382">
        <v>0</v>
      </c>
      <c r="Z86" s="382">
        <v>7</v>
      </c>
      <c r="AA86" s="382">
        <v>2</v>
      </c>
      <c r="AB86" s="382">
        <v>30</v>
      </c>
      <c r="AC86" s="382">
        <v>3</v>
      </c>
      <c r="AD86" s="386">
        <v>3643</v>
      </c>
      <c r="AE86" s="386">
        <v>21</v>
      </c>
      <c r="AF86" s="386">
        <v>10</v>
      </c>
      <c r="AG86" s="386">
        <v>31</v>
      </c>
    </row>
    <row r="87" spans="1:33" x14ac:dyDescent="0.25">
      <c r="A87" s="381" t="s">
        <v>234</v>
      </c>
      <c r="B87" s="387" t="s">
        <v>235</v>
      </c>
      <c r="C87" s="383">
        <v>2419</v>
      </c>
      <c r="D87" s="383">
        <v>3</v>
      </c>
      <c r="E87" s="383">
        <v>659</v>
      </c>
      <c r="F87" s="383">
        <v>888</v>
      </c>
      <c r="G87" s="383">
        <v>199</v>
      </c>
      <c r="H87" s="383">
        <v>4168</v>
      </c>
      <c r="I87" s="382">
        <v>3969</v>
      </c>
      <c r="J87" s="382">
        <v>0</v>
      </c>
      <c r="K87" s="384">
        <v>81.17</v>
      </c>
      <c r="L87" s="384">
        <v>78.81</v>
      </c>
      <c r="M87" s="384">
        <v>5.93</v>
      </c>
      <c r="N87" s="384">
        <v>84.75</v>
      </c>
      <c r="O87" s="385">
        <v>1716</v>
      </c>
      <c r="P87" s="382">
        <v>97.73</v>
      </c>
      <c r="Q87" s="382">
        <v>78.599999999999994</v>
      </c>
      <c r="R87" s="382">
        <v>34.06</v>
      </c>
      <c r="S87" s="382">
        <v>131.44</v>
      </c>
      <c r="T87" s="382">
        <v>1341</v>
      </c>
      <c r="U87" s="382">
        <v>93.23</v>
      </c>
      <c r="V87" s="382">
        <v>593</v>
      </c>
      <c r="W87" s="382">
        <v>145.12</v>
      </c>
      <c r="X87" s="382">
        <v>91</v>
      </c>
      <c r="Y87" s="382">
        <v>0</v>
      </c>
      <c r="Z87" s="382">
        <v>1</v>
      </c>
      <c r="AA87" s="382">
        <v>5</v>
      </c>
      <c r="AB87" s="382">
        <v>15</v>
      </c>
      <c r="AC87" s="382">
        <v>4</v>
      </c>
      <c r="AD87" s="386">
        <v>2354</v>
      </c>
      <c r="AE87" s="386">
        <v>32</v>
      </c>
      <c r="AF87" s="386">
        <v>10</v>
      </c>
      <c r="AG87" s="386">
        <v>42</v>
      </c>
    </row>
    <row r="88" spans="1:33" x14ac:dyDescent="0.25">
      <c r="A88" s="381" t="s">
        <v>236</v>
      </c>
      <c r="B88" s="387" t="s">
        <v>237</v>
      </c>
      <c r="C88" s="382">
        <v>16237</v>
      </c>
      <c r="D88" s="382">
        <v>39</v>
      </c>
      <c r="E88" s="382">
        <v>759</v>
      </c>
      <c r="F88" s="382">
        <v>3935</v>
      </c>
      <c r="G88" s="382">
        <v>1124</v>
      </c>
      <c r="H88" s="382">
        <v>22094</v>
      </c>
      <c r="I88" s="382">
        <v>20970</v>
      </c>
      <c r="J88" s="382">
        <v>0</v>
      </c>
      <c r="K88" s="382">
        <v>98.54</v>
      </c>
      <c r="L88" s="384">
        <v>98.19</v>
      </c>
      <c r="M88" s="384">
        <v>3.26</v>
      </c>
      <c r="N88" s="384">
        <v>100.77</v>
      </c>
      <c r="O88" s="385">
        <v>14643</v>
      </c>
      <c r="P88" s="382">
        <v>92.45</v>
      </c>
      <c r="Q88" s="382">
        <v>87.11</v>
      </c>
      <c r="R88" s="382">
        <v>23.24</v>
      </c>
      <c r="S88" s="382">
        <v>115.51</v>
      </c>
      <c r="T88" s="382">
        <v>4178</v>
      </c>
      <c r="U88" s="382">
        <v>133.36000000000001</v>
      </c>
      <c r="V88" s="382">
        <v>1471</v>
      </c>
      <c r="W88" s="382">
        <v>161.94</v>
      </c>
      <c r="X88" s="382">
        <v>86</v>
      </c>
      <c r="Y88" s="382">
        <v>65</v>
      </c>
      <c r="Z88" s="382">
        <v>12</v>
      </c>
      <c r="AA88" s="382">
        <v>53</v>
      </c>
      <c r="AB88" s="382">
        <v>55</v>
      </c>
      <c r="AC88" s="382">
        <v>12</v>
      </c>
      <c r="AD88" s="382">
        <v>16098</v>
      </c>
      <c r="AE88" s="382">
        <v>45</v>
      </c>
      <c r="AF88" s="382">
        <v>43</v>
      </c>
      <c r="AG88" s="382">
        <v>88</v>
      </c>
    </row>
    <row r="89" spans="1:33" x14ac:dyDescent="0.25">
      <c r="A89" s="381" t="s">
        <v>238</v>
      </c>
      <c r="B89" s="387" t="s">
        <v>239</v>
      </c>
      <c r="C89" s="383">
        <v>2106</v>
      </c>
      <c r="D89" s="383">
        <v>0</v>
      </c>
      <c r="E89" s="383">
        <v>123</v>
      </c>
      <c r="F89" s="383">
        <v>460</v>
      </c>
      <c r="G89" s="383">
        <v>232</v>
      </c>
      <c r="H89" s="383">
        <v>2921</v>
      </c>
      <c r="I89" s="382">
        <v>2689</v>
      </c>
      <c r="J89" s="382">
        <v>2</v>
      </c>
      <c r="K89" s="384">
        <v>89.35</v>
      </c>
      <c r="L89" s="384">
        <v>88.2</v>
      </c>
      <c r="M89" s="384">
        <v>7.4</v>
      </c>
      <c r="N89" s="384">
        <v>95.17</v>
      </c>
      <c r="O89" s="385">
        <v>1784</v>
      </c>
      <c r="P89" s="382">
        <v>107.27</v>
      </c>
      <c r="Q89" s="382">
        <v>89.93</v>
      </c>
      <c r="R89" s="382">
        <v>42.67</v>
      </c>
      <c r="S89" s="382">
        <v>149.72</v>
      </c>
      <c r="T89" s="382">
        <v>579</v>
      </c>
      <c r="U89" s="382">
        <v>119.9</v>
      </c>
      <c r="V89" s="382">
        <v>237</v>
      </c>
      <c r="W89" s="382">
        <v>0</v>
      </c>
      <c r="X89" s="382">
        <v>0</v>
      </c>
      <c r="Y89" s="382">
        <v>0</v>
      </c>
      <c r="Z89" s="382">
        <v>1</v>
      </c>
      <c r="AA89" s="382">
        <v>1</v>
      </c>
      <c r="AB89" s="382">
        <v>33</v>
      </c>
      <c r="AC89" s="382">
        <v>3</v>
      </c>
      <c r="AD89" s="386">
        <v>2054</v>
      </c>
      <c r="AE89" s="386">
        <v>4</v>
      </c>
      <c r="AF89" s="386">
        <v>8</v>
      </c>
      <c r="AG89" s="386">
        <v>12</v>
      </c>
    </row>
    <row r="90" spans="1:33" x14ac:dyDescent="0.25">
      <c r="A90" s="381" t="s">
        <v>240</v>
      </c>
      <c r="B90" s="387" t="s">
        <v>241</v>
      </c>
      <c r="C90" s="383">
        <v>3703</v>
      </c>
      <c r="D90" s="383">
        <v>0</v>
      </c>
      <c r="E90" s="383">
        <v>417</v>
      </c>
      <c r="F90" s="383">
        <v>789</v>
      </c>
      <c r="G90" s="383">
        <v>696</v>
      </c>
      <c r="H90" s="383">
        <v>5605</v>
      </c>
      <c r="I90" s="382">
        <v>4909</v>
      </c>
      <c r="J90" s="382">
        <v>0</v>
      </c>
      <c r="K90" s="384">
        <v>93.21</v>
      </c>
      <c r="L90" s="384">
        <v>90.22</v>
      </c>
      <c r="M90" s="384">
        <v>6.42</v>
      </c>
      <c r="N90" s="384">
        <v>98.52</v>
      </c>
      <c r="O90" s="385">
        <v>3283</v>
      </c>
      <c r="P90" s="382">
        <v>104.2</v>
      </c>
      <c r="Q90" s="382">
        <v>94.9</v>
      </c>
      <c r="R90" s="382">
        <v>52.23</v>
      </c>
      <c r="S90" s="382">
        <v>154.19999999999999</v>
      </c>
      <c r="T90" s="382">
        <v>865</v>
      </c>
      <c r="U90" s="382">
        <v>109.91</v>
      </c>
      <c r="V90" s="382">
        <v>347</v>
      </c>
      <c r="W90" s="382">
        <v>177.81</v>
      </c>
      <c r="X90" s="382">
        <v>100</v>
      </c>
      <c r="Y90" s="382">
        <v>0</v>
      </c>
      <c r="Z90" s="382">
        <v>14</v>
      </c>
      <c r="AA90" s="382">
        <v>7</v>
      </c>
      <c r="AB90" s="382">
        <v>12</v>
      </c>
      <c r="AC90" s="382">
        <v>16</v>
      </c>
      <c r="AD90" s="386">
        <v>3703</v>
      </c>
      <c r="AE90" s="386">
        <v>10</v>
      </c>
      <c r="AF90" s="386">
        <v>26</v>
      </c>
      <c r="AG90" s="386">
        <v>36</v>
      </c>
    </row>
    <row r="91" spans="1:33" x14ac:dyDescent="0.25">
      <c r="A91" s="381" t="s">
        <v>242</v>
      </c>
      <c r="B91" s="387" t="s">
        <v>243</v>
      </c>
      <c r="C91" s="383">
        <v>10109</v>
      </c>
      <c r="D91" s="383">
        <v>346</v>
      </c>
      <c r="E91" s="383">
        <v>929</v>
      </c>
      <c r="F91" s="383">
        <v>787</v>
      </c>
      <c r="G91" s="383">
        <v>2422</v>
      </c>
      <c r="H91" s="383">
        <v>14593</v>
      </c>
      <c r="I91" s="382">
        <v>12171</v>
      </c>
      <c r="J91" s="382">
        <v>89</v>
      </c>
      <c r="K91" s="384">
        <v>130.37</v>
      </c>
      <c r="L91" s="384">
        <v>127.4</v>
      </c>
      <c r="M91" s="384">
        <v>10.68</v>
      </c>
      <c r="N91" s="384">
        <v>138.12</v>
      </c>
      <c r="O91" s="385">
        <v>8387</v>
      </c>
      <c r="P91" s="382">
        <v>122.93</v>
      </c>
      <c r="Q91" s="382">
        <v>115.33</v>
      </c>
      <c r="R91" s="382">
        <v>45.06</v>
      </c>
      <c r="S91" s="382">
        <v>161.87</v>
      </c>
      <c r="T91" s="382">
        <v>1089</v>
      </c>
      <c r="U91" s="382">
        <v>194.56</v>
      </c>
      <c r="V91" s="382">
        <v>1180</v>
      </c>
      <c r="W91" s="382">
        <v>192.02</v>
      </c>
      <c r="X91" s="382">
        <v>44</v>
      </c>
      <c r="Y91" s="382">
        <v>1</v>
      </c>
      <c r="Z91" s="382">
        <v>1</v>
      </c>
      <c r="AA91" s="382">
        <v>3</v>
      </c>
      <c r="AB91" s="382">
        <v>115</v>
      </c>
      <c r="AC91" s="382">
        <v>49</v>
      </c>
      <c r="AD91" s="386">
        <v>9730</v>
      </c>
      <c r="AE91" s="386">
        <v>56</v>
      </c>
      <c r="AF91" s="386">
        <v>44</v>
      </c>
      <c r="AG91" s="386">
        <v>100</v>
      </c>
    </row>
    <row r="92" spans="1:33" x14ac:dyDescent="0.25">
      <c r="A92" s="381" t="s">
        <v>244</v>
      </c>
      <c r="B92" s="387" t="s">
        <v>245</v>
      </c>
      <c r="C92" s="383">
        <v>4085</v>
      </c>
      <c r="D92" s="383">
        <v>5</v>
      </c>
      <c r="E92" s="383">
        <v>127</v>
      </c>
      <c r="F92" s="383">
        <v>1023</v>
      </c>
      <c r="G92" s="383">
        <v>430</v>
      </c>
      <c r="H92" s="383">
        <v>5670</v>
      </c>
      <c r="I92" s="382">
        <v>5240</v>
      </c>
      <c r="J92" s="382">
        <v>4</v>
      </c>
      <c r="K92" s="384">
        <v>101.29</v>
      </c>
      <c r="L92" s="384">
        <v>101.12</v>
      </c>
      <c r="M92" s="384">
        <v>3.14</v>
      </c>
      <c r="N92" s="384">
        <v>102.51</v>
      </c>
      <c r="O92" s="385">
        <v>3664</v>
      </c>
      <c r="P92" s="382">
        <v>98.26</v>
      </c>
      <c r="Q92" s="382">
        <v>98.16</v>
      </c>
      <c r="R92" s="382">
        <v>24.22</v>
      </c>
      <c r="S92" s="382">
        <v>122.19</v>
      </c>
      <c r="T92" s="382">
        <v>1139</v>
      </c>
      <c r="U92" s="382">
        <v>126.26</v>
      </c>
      <c r="V92" s="382">
        <v>364</v>
      </c>
      <c r="W92" s="382">
        <v>0</v>
      </c>
      <c r="X92" s="382">
        <v>0</v>
      </c>
      <c r="Y92" s="382">
        <v>2</v>
      </c>
      <c r="Z92" s="382">
        <v>1</v>
      </c>
      <c r="AA92" s="382">
        <v>1</v>
      </c>
      <c r="AB92" s="382">
        <v>15</v>
      </c>
      <c r="AC92" s="382">
        <v>8</v>
      </c>
      <c r="AD92" s="386">
        <v>4077</v>
      </c>
      <c r="AE92" s="386">
        <v>3</v>
      </c>
      <c r="AF92" s="386">
        <v>14</v>
      </c>
      <c r="AG92" s="386">
        <v>17</v>
      </c>
    </row>
    <row r="93" spans="1:33" x14ac:dyDescent="0.25">
      <c r="A93" s="381" t="s">
        <v>246</v>
      </c>
      <c r="B93" s="387" t="s">
        <v>247</v>
      </c>
      <c r="C93" s="383">
        <v>2217</v>
      </c>
      <c r="D93" s="383">
        <v>1</v>
      </c>
      <c r="E93" s="383">
        <v>179</v>
      </c>
      <c r="F93" s="383">
        <v>154</v>
      </c>
      <c r="G93" s="383">
        <v>565</v>
      </c>
      <c r="H93" s="383">
        <v>3116</v>
      </c>
      <c r="I93" s="382">
        <v>2551</v>
      </c>
      <c r="J93" s="382">
        <v>0</v>
      </c>
      <c r="K93" s="384">
        <v>93.31</v>
      </c>
      <c r="L93" s="384">
        <v>90.71</v>
      </c>
      <c r="M93" s="384">
        <v>2.77</v>
      </c>
      <c r="N93" s="384">
        <v>95.39</v>
      </c>
      <c r="O93" s="385">
        <v>1484</v>
      </c>
      <c r="P93" s="382">
        <v>110.26</v>
      </c>
      <c r="Q93" s="382">
        <v>78.81</v>
      </c>
      <c r="R93" s="382">
        <v>56.37</v>
      </c>
      <c r="S93" s="382">
        <v>162.30000000000001</v>
      </c>
      <c r="T93" s="382">
        <v>234</v>
      </c>
      <c r="U93" s="382">
        <v>127.04</v>
      </c>
      <c r="V93" s="382">
        <v>520</v>
      </c>
      <c r="W93" s="382">
        <v>0</v>
      </c>
      <c r="X93" s="382">
        <v>0</v>
      </c>
      <c r="Y93" s="382">
        <v>0</v>
      </c>
      <c r="Z93" s="382">
        <v>0</v>
      </c>
      <c r="AA93" s="382">
        <v>5</v>
      </c>
      <c r="AB93" s="382">
        <v>82</v>
      </c>
      <c r="AC93" s="382">
        <v>4</v>
      </c>
      <c r="AD93" s="386">
        <v>2172</v>
      </c>
      <c r="AE93" s="386">
        <v>24</v>
      </c>
      <c r="AF93" s="386">
        <v>3</v>
      </c>
      <c r="AG93" s="386">
        <v>27</v>
      </c>
    </row>
    <row r="94" spans="1:33" x14ac:dyDescent="0.25">
      <c r="A94" s="381" t="s">
        <v>248</v>
      </c>
      <c r="B94" s="387" t="s">
        <v>249</v>
      </c>
      <c r="C94" s="383">
        <v>5650</v>
      </c>
      <c r="D94" s="383">
        <v>9</v>
      </c>
      <c r="E94" s="383">
        <v>92</v>
      </c>
      <c r="F94" s="383">
        <v>785</v>
      </c>
      <c r="G94" s="383">
        <v>597</v>
      </c>
      <c r="H94" s="383">
        <v>7133</v>
      </c>
      <c r="I94" s="382">
        <v>6536</v>
      </c>
      <c r="J94" s="382">
        <v>0</v>
      </c>
      <c r="K94" s="384">
        <v>114.8</v>
      </c>
      <c r="L94" s="384">
        <v>112.62</v>
      </c>
      <c r="M94" s="384">
        <v>4.21</v>
      </c>
      <c r="N94" s="384">
        <v>116.22</v>
      </c>
      <c r="O94" s="385">
        <v>4256</v>
      </c>
      <c r="P94" s="382">
        <v>95.11</v>
      </c>
      <c r="Q94" s="382">
        <v>93.43</v>
      </c>
      <c r="R94" s="382">
        <v>14.29</v>
      </c>
      <c r="S94" s="382">
        <v>109</v>
      </c>
      <c r="T94" s="382">
        <v>873</v>
      </c>
      <c r="U94" s="382">
        <v>151.9</v>
      </c>
      <c r="V94" s="382">
        <v>997</v>
      </c>
      <c r="W94" s="382">
        <v>0</v>
      </c>
      <c r="X94" s="382">
        <v>0</v>
      </c>
      <c r="Y94" s="382">
        <v>17</v>
      </c>
      <c r="Z94" s="382">
        <v>3</v>
      </c>
      <c r="AA94" s="382">
        <v>0</v>
      </c>
      <c r="AB94" s="382">
        <v>49</v>
      </c>
      <c r="AC94" s="382">
        <v>7</v>
      </c>
      <c r="AD94" s="386">
        <v>5337</v>
      </c>
      <c r="AE94" s="386">
        <v>44</v>
      </c>
      <c r="AF94" s="386">
        <v>4</v>
      </c>
      <c r="AG94" s="386">
        <v>48</v>
      </c>
    </row>
    <row r="95" spans="1:33" x14ac:dyDescent="0.25">
      <c r="A95" s="381" t="s">
        <v>250</v>
      </c>
      <c r="B95" s="387" t="s">
        <v>251</v>
      </c>
      <c r="C95" s="383">
        <v>6909</v>
      </c>
      <c r="D95" s="383">
        <v>6</v>
      </c>
      <c r="E95" s="383">
        <v>190</v>
      </c>
      <c r="F95" s="383">
        <v>1060</v>
      </c>
      <c r="G95" s="383">
        <v>706</v>
      </c>
      <c r="H95" s="383">
        <v>8871</v>
      </c>
      <c r="I95" s="382">
        <v>8165</v>
      </c>
      <c r="J95" s="382">
        <v>24</v>
      </c>
      <c r="K95" s="384">
        <v>115.39</v>
      </c>
      <c r="L95" s="384">
        <v>117.04</v>
      </c>
      <c r="M95" s="384">
        <v>4.97</v>
      </c>
      <c r="N95" s="384">
        <v>117.15</v>
      </c>
      <c r="O95" s="385">
        <v>5125</v>
      </c>
      <c r="P95" s="382">
        <v>104.63</v>
      </c>
      <c r="Q95" s="382">
        <v>104.44</v>
      </c>
      <c r="R95" s="382">
        <v>31.46</v>
      </c>
      <c r="S95" s="382">
        <v>135.25</v>
      </c>
      <c r="T95" s="382">
        <v>1207</v>
      </c>
      <c r="U95" s="382">
        <v>160.33000000000001</v>
      </c>
      <c r="V95" s="382">
        <v>1673</v>
      </c>
      <c r="W95" s="382">
        <v>0</v>
      </c>
      <c r="X95" s="382">
        <v>0</v>
      </c>
      <c r="Y95" s="382">
        <v>0</v>
      </c>
      <c r="Z95" s="382">
        <v>7</v>
      </c>
      <c r="AA95" s="382">
        <v>2</v>
      </c>
      <c r="AB95" s="382">
        <v>109</v>
      </c>
      <c r="AC95" s="382">
        <v>17</v>
      </c>
      <c r="AD95" s="386">
        <v>6899</v>
      </c>
      <c r="AE95" s="386">
        <v>42</v>
      </c>
      <c r="AF95" s="386">
        <v>12</v>
      </c>
      <c r="AG95" s="386">
        <v>54</v>
      </c>
    </row>
    <row r="96" spans="1:33" x14ac:dyDescent="0.25">
      <c r="A96" s="381" t="s">
        <v>252</v>
      </c>
      <c r="B96" s="387" t="s">
        <v>253</v>
      </c>
      <c r="C96" s="383">
        <v>6819</v>
      </c>
      <c r="D96" s="383">
        <v>11</v>
      </c>
      <c r="E96" s="383">
        <v>252</v>
      </c>
      <c r="F96" s="383">
        <v>594</v>
      </c>
      <c r="G96" s="383">
        <v>559</v>
      </c>
      <c r="H96" s="383">
        <v>8235</v>
      </c>
      <c r="I96" s="382">
        <v>7676</v>
      </c>
      <c r="J96" s="382">
        <v>1</v>
      </c>
      <c r="K96" s="384">
        <v>82.46</v>
      </c>
      <c r="L96" s="384">
        <v>82.1</v>
      </c>
      <c r="M96" s="384">
        <v>2.95</v>
      </c>
      <c r="N96" s="384">
        <v>84.9</v>
      </c>
      <c r="O96" s="385">
        <v>5209</v>
      </c>
      <c r="P96" s="382">
        <v>83.56</v>
      </c>
      <c r="Q96" s="382">
        <v>77.77</v>
      </c>
      <c r="R96" s="382">
        <v>40.74</v>
      </c>
      <c r="S96" s="382">
        <v>122.62</v>
      </c>
      <c r="T96" s="382">
        <v>779</v>
      </c>
      <c r="U96" s="382">
        <v>92.4</v>
      </c>
      <c r="V96" s="382">
        <v>1399</v>
      </c>
      <c r="W96" s="382">
        <v>132.18</v>
      </c>
      <c r="X96" s="382">
        <v>59</v>
      </c>
      <c r="Y96" s="382">
        <v>0</v>
      </c>
      <c r="Z96" s="382">
        <v>7</v>
      </c>
      <c r="AA96" s="382">
        <v>3</v>
      </c>
      <c r="AB96" s="382">
        <v>35</v>
      </c>
      <c r="AC96" s="382">
        <v>2</v>
      </c>
      <c r="AD96" s="386">
        <v>6684</v>
      </c>
      <c r="AE96" s="386">
        <v>38</v>
      </c>
      <c r="AF96" s="386">
        <v>15</v>
      </c>
      <c r="AG96" s="386">
        <v>53</v>
      </c>
    </row>
    <row r="97" spans="1:33" x14ac:dyDescent="0.25">
      <c r="A97" s="381" t="s">
        <v>254</v>
      </c>
      <c r="B97" s="387" t="s">
        <v>255</v>
      </c>
      <c r="C97" s="383">
        <v>2106</v>
      </c>
      <c r="D97" s="383">
        <v>1</v>
      </c>
      <c r="E97" s="383">
        <v>269</v>
      </c>
      <c r="F97" s="383">
        <v>634</v>
      </c>
      <c r="G97" s="383">
        <v>181</v>
      </c>
      <c r="H97" s="383">
        <v>3191</v>
      </c>
      <c r="I97" s="382">
        <v>3010</v>
      </c>
      <c r="J97" s="382">
        <v>6</v>
      </c>
      <c r="K97" s="384">
        <v>89.63</v>
      </c>
      <c r="L97" s="384">
        <v>85.84</v>
      </c>
      <c r="M97" s="384">
        <v>5.2</v>
      </c>
      <c r="N97" s="384">
        <v>92.71</v>
      </c>
      <c r="O97" s="385">
        <v>1402</v>
      </c>
      <c r="P97" s="382">
        <v>89.61</v>
      </c>
      <c r="Q97" s="382">
        <v>82.6</v>
      </c>
      <c r="R97" s="382">
        <v>45.41</v>
      </c>
      <c r="S97" s="382">
        <v>134.21</v>
      </c>
      <c r="T97" s="382">
        <v>781</v>
      </c>
      <c r="U97" s="382">
        <v>101.6</v>
      </c>
      <c r="V97" s="382">
        <v>366</v>
      </c>
      <c r="W97" s="382">
        <v>115.98</v>
      </c>
      <c r="X97" s="382">
        <v>36</v>
      </c>
      <c r="Y97" s="382">
        <v>0</v>
      </c>
      <c r="Z97" s="382">
        <v>0</v>
      </c>
      <c r="AA97" s="382">
        <v>1</v>
      </c>
      <c r="AB97" s="382">
        <v>22</v>
      </c>
      <c r="AC97" s="382">
        <v>8</v>
      </c>
      <c r="AD97" s="386">
        <v>1924</v>
      </c>
      <c r="AE97" s="386">
        <v>22</v>
      </c>
      <c r="AF97" s="386">
        <v>5</v>
      </c>
      <c r="AG97" s="386">
        <v>27</v>
      </c>
    </row>
    <row r="98" spans="1:33" x14ac:dyDescent="0.25">
      <c r="A98" s="381" t="s">
        <v>256</v>
      </c>
      <c r="B98" s="387" t="s">
        <v>257</v>
      </c>
      <c r="C98" s="383">
        <v>6131</v>
      </c>
      <c r="D98" s="383">
        <v>4</v>
      </c>
      <c r="E98" s="383">
        <v>134</v>
      </c>
      <c r="F98" s="383">
        <v>463</v>
      </c>
      <c r="G98" s="383">
        <v>205</v>
      </c>
      <c r="H98" s="383">
        <v>6937</v>
      </c>
      <c r="I98" s="382">
        <v>6732</v>
      </c>
      <c r="J98" s="382">
        <v>2</v>
      </c>
      <c r="K98" s="384">
        <v>81.53</v>
      </c>
      <c r="L98" s="384">
        <v>78.81</v>
      </c>
      <c r="M98" s="384">
        <v>7.4</v>
      </c>
      <c r="N98" s="384">
        <v>84.48</v>
      </c>
      <c r="O98" s="385">
        <v>5036</v>
      </c>
      <c r="P98" s="382">
        <v>79.48</v>
      </c>
      <c r="Q98" s="382">
        <v>77.52</v>
      </c>
      <c r="R98" s="382">
        <v>46.66</v>
      </c>
      <c r="S98" s="382">
        <v>125.98</v>
      </c>
      <c r="T98" s="382">
        <v>591</v>
      </c>
      <c r="U98" s="382">
        <v>93.14</v>
      </c>
      <c r="V98" s="382">
        <v>1075</v>
      </c>
      <c r="W98" s="382">
        <v>0</v>
      </c>
      <c r="X98" s="382">
        <v>0</v>
      </c>
      <c r="Y98" s="382">
        <v>0</v>
      </c>
      <c r="Z98" s="382">
        <v>25</v>
      </c>
      <c r="AA98" s="382">
        <v>19</v>
      </c>
      <c r="AB98" s="382">
        <v>21</v>
      </c>
      <c r="AC98" s="382">
        <v>2</v>
      </c>
      <c r="AD98" s="386">
        <v>6131</v>
      </c>
      <c r="AE98" s="386">
        <v>33</v>
      </c>
      <c r="AF98" s="386">
        <v>23</v>
      </c>
      <c r="AG98" s="386">
        <v>56</v>
      </c>
    </row>
    <row r="99" spans="1:33" x14ac:dyDescent="0.25">
      <c r="A99" s="381" t="s">
        <v>258</v>
      </c>
      <c r="B99" s="387" t="s">
        <v>259</v>
      </c>
      <c r="C99" s="382">
        <v>8121</v>
      </c>
      <c r="D99" s="382">
        <v>0</v>
      </c>
      <c r="E99" s="382">
        <v>421</v>
      </c>
      <c r="F99" s="382">
        <v>1385</v>
      </c>
      <c r="G99" s="382">
        <v>256</v>
      </c>
      <c r="H99" s="382">
        <v>10183</v>
      </c>
      <c r="I99" s="382">
        <v>9927</v>
      </c>
      <c r="J99" s="382">
        <v>8</v>
      </c>
      <c r="K99" s="382">
        <v>91.46</v>
      </c>
      <c r="L99" s="384">
        <v>91.59</v>
      </c>
      <c r="M99" s="384">
        <v>3.7</v>
      </c>
      <c r="N99" s="384">
        <v>93.06</v>
      </c>
      <c r="O99" s="385">
        <v>7056</v>
      </c>
      <c r="P99" s="382">
        <v>83.33</v>
      </c>
      <c r="Q99" s="382">
        <v>77.5</v>
      </c>
      <c r="R99" s="382">
        <v>32.69</v>
      </c>
      <c r="S99" s="382">
        <v>114.53</v>
      </c>
      <c r="T99" s="382">
        <v>1724</v>
      </c>
      <c r="U99" s="382">
        <v>102.32</v>
      </c>
      <c r="V99" s="382">
        <v>888</v>
      </c>
      <c r="W99" s="382">
        <v>151.01</v>
      </c>
      <c r="X99" s="382">
        <v>44</v>
      </c>
      <c r="Y99" s="382">
        <v>0</v>
      </c>
      <c r="Z99" s="382">
        <v>3</v>
      </c>
      <c r="AA99" s="382">
        <v>3</v>
      </c>
      <c r="AB99" s="382">
        <v>11</v>
      </c>
      <c r="AC99" s="382">
        <v>4</v>
      </c>
      <c r="AD99" s="382">
        <v>8080</v>
      </c>
      <c r="AE99" s="382">
        <v>32</v>
      </c>
      <c r="AF99" s="382">
        <v>27</v>
      </c>
      <c r="AG99" s="382">
        <v>59</v>
      </c>
    </row>
    <row r="100" spans="1:33" x14ac:dyDescent="0.25">
      <c r="A100" s="381" t="s">
        <v>260</v>
      </c>
      <c r="B100" s="387" t="s">
        <v>261</v>
      </c>
      <c r="C100" s="383">
        <v>1791</v>
      </c>
      <c r="D100" s="383">
        <v>0</v>
      </c>
      <c r="E100" s="383">
        <v>383</v>
      </c>
      <c r="F100" s="383">
        <v>550</v>
      </c>
      <c r="G100" s="383">
        <v>174</v>
      </c>
      <c r="H100" s="383">
        <v>2898</v>
      </c>
      <c r="I100" s="382">
        <v>2724</v>
      </c>
      <c r="J100" s="382">
        <v>1</v>
      </c>
      <c r="K100" s="384">
        <v>93.91</v>
      </c>
      <c r="L100" s="384">
        <v>90.15</v>
      </c>
      <c r="M100" s="384">
        <v>8.3000000000000007</v>
      </c>
      <c r="N100" s="384">
        <v>101.02</v>
      </c>
      <c r="O100" s="385">
        <v>1545</v>
      </c>
      <c r="P100" s="382">
        <v>80.72</v>
      </c>
      <c r="Q100" s="382">
        <v>75.89</v>
      </c>
      <c r="R100" s="382">
        <v>41.42</v>
      </c>
      <c r="S100" s="382">
        <v>121.8</v>
      </c>
      <c r="T100" s="382">
        <v>618</v>
      </c>
      <c r="U100" s="382">
        <v>133.54</v>
      </c>
      <c r="V100" s="382">
        <v>221</v>
      </c>
      <c r="W100" s="382">
        <v>154.6</v>
      </c>
      <c r="X100" s="382">
        <v>47</v>
      </c>
      <c r="Y100" s="382">
        <v>33</v>
      </c>
      <c r="Z100" s="382">
        <v>1</v>
      </c>
      <c r="AA100" s="382">
        <v>2</v>
      </c>
      <c r="AB100" s="382">
        <v>0</v>
      </c>
      <c r="AC100" s="382">
        <v>4</v>
      </c>
      <c r="AD100" s="386">
        <v>1789</v>
      </c>
      <c r="AE100" s="386">
        <v>3</v>
      </c>
      <c r="AF100" s="386">
        <v>4</v>
      </c>
      <c r="AG100" s="386">
        <v>7</v>
      </c>
    </row>
    <row r="101" spans="1:33" x14ac:dyDescent="0.25">
      <c r="A101" s="381" t="s">
        <v>262</v>
      </c>
      <c r="B101" s="387" t="s">
        <v>263</v>
      </c>
      <c r="C101" s="383">
        <v>6270</v>
      </c>
      <c r="D101" s="383">
        <v>0</v>
      </c>
      <c r="E101" s="383">
        <v>152</v>
      </c>
      <c r="F101" s="383">
        <v>707</v>
      </c>
      <c r="G101" s="383">
        <v>786</v>
      </c>
      <c r="H101" s="383">
        <v>7915</v>
      </c>
      <c r="I101" s="382">
        <v>7129</v>
      </c>
      <c r="J101" s="382">
        <v>0</v>
      </c>
      <c r="K101" s="384">
        <v>107.44</v>
      </c>
      <c r="L101" s="384">
        <v>102.97</v>
      </c>
      <c r="M101" s="384">
        <v>4.8</v>
      </c>
      <c r="N101" s="384">
        <v>109.98</v>
      </c>
      <c r="O101" s="385">
        <v>4723</v>
      </c>
      <c r="P101" s="382">
        <v>93.36</v>
      </c>
      <c r="Q101" s="382">
        <v>88.35</v>
      </c>
      <c r="R101" s="382">
        <v>35.520000000000003</v>
      </c>
      <c r="S101" s="382">
        <v>128.35</v>
      </c>
      <c r="T101" s="382">
        <v>739</v>
      </c>
      <c r="U101" s="382">
        <v>147.54</v>
      </c>
      <c r="V101" s="382">
        <v>1400</v>
      </c>
      <c r="W101" s="382">
        <v>176.51</v>
      </c>
      <c r="X101" s="382">
        <v>50</v>
      </c>
      <c r="Y101" s="382">
        <v>44</v>
      </c>
      <c r="Z101" s="382">
        <v>7</v>
      </c>
      <c r="AA101" s="382">
        <v>0</v>
      </c>
      <c r="AB101" s="382">
        <v>129</v>
      </c>
      <c r="AC101" s="382">
        <v>25</v>
      </c>
      <c r="AD101" s="386">
        <v>6270</v>
      </c>
      <c r="AE101" s="386">
        <v>32</v>
      </c>
      <c r="AF101" s="386">
        <v>6</v>
      </c>
      <c r="AG101" s="386">
        <v>38</v>
      </c>
    </row>
    <row r="102" spans="1:33" x14ac:dyDescent="0.25">
      <c r="A102" s="381" t="s">
        <v>264</v>
      </c>
      <c r="B102" s="387" t="s">
        <v>265</v>
      </c>
      <c r="C102" s="383">
        <v>2174</v>
      </c>
      <c r="D102" s="383">
        <v>9</v>
      </c>
      <c r="E102" s="383">
        <v>179</v>
      </c>
      <c r="F102" s="383">
        <v>185</v>
      </c>
      <c r="G102" s="383">
        <v>196</v>
      </c>
      <c r="H102" s="383">
        <v>2743</v>
      </c>
      <c r="I102" s="382">
        <v>2547</v>
      </c>
      <c r="J102" s="382">
        <v>32</v>
      </c>
      <c r="K102" s="384">
        <v>95.11</v>
      </c>
      <c r="L102" s="384">
        <v>94.43</v>
      </c>
      <c r="M102" s="384">
        <v>4.76</v>
      </c>
      <c r="N102" s="384">
        <v>97.13</v>
      </c>
      <c r="O102" s="385">
        <v>1962</v>
      </c>
      <c r="P102" s="382">
        <v>87.15</v>
      </c>
      <c r="Q102" s="382">
        <v>81.53</v>
      </c>
      <c r="R102" s="382">
        <v>36.85</v>
      </c>
      <c r="S102" s="382">
        <v>122.01</v>
      </c>
      <c r="T102" s="382">
        <v>351</v>
      </c>
      <c r="U102" s="382">
        <v>107.2</v>
      </c>
      <c r="V102" s="382">
        <v>188</v>
      </c>
      <c r="W102" s="382">
        <v>0</v>
      </c>
      <c r="X102" s="382">
        <v>0</v>
      </c>
      <c r="Y102" s="382">
        <v>0</v>
      </c>
      <c r="Z102" s="382">
        <v>4</v>
      </c>
      <c r="AA102" s="382">
        <v>2</v>
      </c>
      <c r="AB102" s="382">
        <v>16</v>
      </c>
      <c r="AC102" s="382">
        <v>0</v>
      </c>
      <c r="AD102" s="386">
        <v>2136</v>
      </c>
      <c r="AE102" s="386">
        <v>33</v>
      </c>
      <c r="AF102" s="386">
        <v>3</v>
      </c>
      <c r="AG102" s="386">
        <v>36</v>
      </c>
    </row>
    <row r="103" spans="1:33" x14ac:dyDescent="0.25">
      <c r="A103" s="381" t="s">
        <v>266</v>
      </c>
      <c r="B103" s="387" t="s">
        <v>267</v>
      </c>
      <c r="C103" s="383">
        <v>4405</v>
      </c>
      <c r="D103" s="383">
        <v>5</v>
      </c>
      <c r="E103" s="383">
        <v>147</v>
      </c>
      <c r="F103" s="383">
        <v>952</v>
      </c>
      <c r="G103" s="383">
        <v>473</v>
      </c>
      <c r="H103" s="383">
        <v>5982</v>
      </c>
      <c r="I103" s="382">
        <v>5509</v>
      </c>
      <c r="J103" s="382">
        <v>1</v>
      </c>
      <c r="K103" s="384">
        <v>125.65</v>
      </c>
      <c r="L103" s="384">
        <v>127.89</v>
      </c>
      <c r="M103" s="384">
        <v>8.93</v>
      </c>
      <c r="N103" s="384">
        <v>130.13</v>
      </c>
      <c r="O103" s="385">
        <v>3763</v>
      </c>
      <c r="P103" s="382">
        <v>119.87</v>
      </c>
      <c r="Q103" s="382">
        <v>115.67</v>
      </c>
      <c r="R103" s="382">
        <v>21.68</v>
      </c>
      <c r="S103" s="382">
        <v>141.49</v>
      </c>
      <c r="T103" s="382">
        <v>817</v>
      </c>
      <c r="U103" s="382">
        <v>194.96</v>
      </c>
      <c r="V103" s="382">
        <v>546</v>
      </c>
      <c r="W103" s="382">
        <v>126.25</v>
      </c>
      <c r="X103" s="382">
        <v>17</v>
      </c>
      <c r="Y103" s="382">
        <v>0</v>
      </c>
      <c r="Z103" s="382">
        <v>6</v>
      </c>
      <c r="AA103" s="382">
        <v>5</v>
      </c>
      <c r="AB103" s="382">
        <v>20</v>
      </c>
      <c r="AC103" s="382">
        <v>9</v>
      </c>
      <c r="AD103" s="386">
        <v>4280</v>
      </c>
      <c r="AE103" s="386">
        <v>10</v>
      </c>
      <c r="AF103" s="386">
        <v>2</v>
      </c>
      <c r="AG103" s="386">
        <v>12</v>
      </c>
    </row>
    <row r="104" spans="1:33" x14ac:dyDescent="0.25">
      <c r="A104" s="381" t="s">
        <v>268</v>
      </c>
      <c r="B104" s="387" t="s">
        <v>269</v>
      </c>
      <c r="C104" s="383">
        <v>6981</v>
      </c>
      <c r="D104" s="383">
        <v>315</v>
      </c>
      <c r="E104" s="383">
        <v>578</v>
      </c>
      <c r="F104" s="383">
        <v>692</v>
      </c>
      <c r="G104" s="383">
        <v>1252</v>
      </c>
      <c r="H104" s="383">
        <v>9818</v>
      </c>
      <c r="I104" s="382">
        <v>8566</v>
      </c>
      <c r="J104" s="382">
        <v>3</v>
      </c>
      <c r="K104" s="384">
        <v>121</v>
      </c>
      <c r="L104" s="384">
        <v>120.02</v>
      </c>
      <c r="M104" s="384">
        <v>13.94</v>
      </c>
      <c r="N104" s="384">
        <v>132.29</v>
      </c>
      <c r="O104" s="385">
        <v>5861</v>
      </c>
      <c r="P104" s="382">
        <v>113.07</v>
      </c>
      <c r="Q104" s="382">
        <v>101.29</v>
      </c>
      <c r="R104" s="382">
        <v>64.81</v>
      </c>
      <c r="S104" s="382">
        <v>173.92</v>
      </c>
      <c r="T104" s="382">
        <v>1114</v>
      </c>
      <c r="U104" s="382">
        <v>193.17</v>
      </c>
      <c r="V104" s="382">
        <v>678</v>
      </c>
      <c r="W104" s="382">
        <v>0</v>
      </c>
      <c r="X104" s="382">
        <v>0</v>
      </c>
      <c r="Y104" s="382">
        <v>27</v>
      </c>
      <c r="Z104" s="382">
        <v>5</v>
      </c>
      <c r="AA104" s="382">
        <v>7</v>
      </c>
      <c r="AB104" s="382">
        <v>58</v>
      </c>
      <c r="AC104" s="382">
        <v>41</v>
      </c>
      <c r="AD104" s="386">
        <v>6530</v>
      </c>
      <c r="AE104" s="386">
        <v>49</v>
      </c>
      <c r="AF104" s="386">
        <v>30</v>
      </c>
      <c r="AG104" s="386">
        <v>79</v>
      </c>
    </row>
    <row r="105" spans="1:33" x14ac:dyDescent="0.25">
      <c r="A105" s="381" t="s">
        <v>270</v>
      </c>
      <c r="B105" s="387" t="s">
        <v>271</v>
      </c>
      <c r="C105" s="383">
        <v>1416</v>
      </c>
      <c r="D105" s="383">
        <v>0</v>
      </c>
      <c r="E105" s="383">
        <v>114</v>
      </c>
      <c r="F105" s="383">
        <v>275</v>
      </c>
      <c r="G105" s="383">
        <v>251</v>
      </c>
      <c r="H105" s="383">
        <v>2056</v>
      </c>
      <c r="I105" s="382">
        <v>1805</v>
      </c>
      <c r="J105" s="382">
        <v>2</v>
      </c>
      <c r="K105" s="384">
        <v>119.49</v>
      </c>
      <c r="L105" s="384">
        <v>116.96</v>
      </c>
      <c r="M105" s="384">
        <v>5.81</v>
      </c>
      <c r="N105" s="384">
        <v>124.57</v>
      </c>
      <c r="O105" s="385">
        <v>1222</v>
      </c>
      <c r="P105" s="382">
        <v>96.93</v>
      </c>
      <c r="Q105" s="382">
        <v>87.73</v>
      </c>
      <c r="R105" s="382">
        <v>61.17</v>
      </c>
      <c r="S105" s="382">
        <v>148.47</v>
      </c>
      <c r="T105" s="382">
        <v>286</v>
      </c>
      <c r="U105" s="382">
        <v>177.11</v>
      </c>
      <c r="V105" s="382">
        <v>177</v>
      </c>
      <c r="W105" s="382">
        <v>0</v>
      </c>
      <c r="X105" s="382">
        <v>0</v>
      </c>
      <c r="Y105" s="382">
        <v>6</v>
      </c>
      <c r="Z105" s="382">
        <v>0</v>
      </c>
      <c r="AA105" s="382">
        <v>0</v>
      </c>
      <c r="AB105" s="382">
        <v>23</v>
      </c>
      <c r="AC105" s="382">
        <v>7</v>
      </c>
      <c r="AD105" s="386">
        <v>1415</v>
      </c>
      <c r="AE105" s="386">
        <v>10</v>
      </c>
      <c r="AF105" s="386">
        <v>2</v>
      </c>
      <c r="AG105" s="386">
        <v>12</v>
      </c>
    </row>
    <row r="106" spans="1:33" x14ac:dyDescent="0.25">
      <c r="A106" s="381" t="s">
        <v>272</v>
      </c>
      <c r="B106" s="387" t="s">
        <v>273</v>
      </c>
      <c r="C106" s="383">
        <v>2130</v>
      </c>
      <c r="D106" s="383">
        <v>0</v>
      </c>
      <c r="E106" s="383">
        <v>170</v>
      </c>
      <c r="F106" s="383">
        <v>382</v>
      </c>
      <c r="G106" s="383">
        <v>350</v>
      </c>
      <c r="H106" s="383">
        <v>3032</v>
      </c>
      <c r="I106" s="382">
        <v>2682</v>
      </c>
      <c r="J106" s="382">
        <v>0</v>
      </c>
      <c r="K106" s="384">
        <v>121.38</v>
      </c>
      <c r="L106" s="384">
        <v>113.84</v>
      </c>
      <c r="M106" s="384">
        <v>9.6</v>
      </c>
      <c r="N106" s="384">
        <v>126.67</v>
      </c>
      <c r="O106" s="385">
        <v>1959</v>
      </c>
      <c r="P106" s="382">
        <v>111.56</v>
      </c>
      <c r="Q106" s="382">
        <v>96.53</v>
      </c>
      <c r="R106" s="382">
        <v>25.05</v>
      </c>
      <c r="S106" s="382">
        <v>136.16</v>
      </c>
      <c r="T106" s="382">
        <v>333</v>
      </c>
      <c r="U106" s="382">
        <v>195.02</v>
      </c>
      <c r="V106" s="382">
        <v>248</v>
      </c>
      <c r="W106" s="382">
        <v>156.25</v>
      </c>
      <c r="X106" s="382">
        <v>50</v>
      </c>
      <c r="Y106" s="382">
        <v>0</v>
      </c>
      <c r="Z106" s="382">
        <v>0</v>
      </c>
      <c r="AA106" s="382">
        <v>3</v>
      </c>
      <c r="AB106" s="382">
        <v>20</v>
      </c>
      <c r="AC106" s="382">
        <v>4</v>
      </c>
      <c r="AD106" s="386">
        <v>2130</v>
      </c>
      <c r="AE106" s="386">
        <v>6</v>
      </c>
      <c r="AF106" s="386">
        <v>2</v>
      </c>
      <c r="AG106" s="386">
        <v>8</v>
      </c>
    </row>
    <row r="107" spans="1:33" x14ac:dyDescent="0.25">
      <c r="A107" s="381" t="s">
        <v>274</v>
      </c>
      <c r="B107" s="387" t="s">
        <v>275</v>
      </c>
      <c r="C107" s="383">
        <v>4595</v>
      </c>
      <c r="D107" s="383">
        <v>0</v>
      </c>
      <c r="E107" s="383">
        <v>97</v>
      </c>
      <c r="F107" s="383">
        <v>1902</v>
      </c>
      <c r="G107" s="383">
        <v>173</v>
      </c>
      <c r="H107" s="383">
        <v>6767</v>
      </c>
      <c r="I107" s="382">
        <v>6594</v>
      </c>
      <c r="J107" s="382">
        <v>0</v>
      </c>
      <c r="K107" s="384">
        <v>87.64</v>
      </c>
      <c r="L107" s="384">
        <v>87.26</v>
      </c>
      <c r="M107" s="384">
        <v>3.68</v>
      </c>
      <c r="N107" s="384">
        <v>89.76</v>
      </c>
      <c r="O107" s="385">
        <v>4249</v>
      </c>
      <c r="P107" s="382">
        <v>80.819999999999993</v>
      </c>
      <c r="Q107" s="382">
        <v>79.09</v>
      </c>
      <c r="R107" s="382">
        <v>11.49</v>
      </c>
      <c r="S107" s="382">
        <v>91.59</v>
      </c>
      <c r="T107" s="382">
        <v>1996</v>
      </c>
      <c r="U107" s="382">
        <v>95.22</v>
      </c>
      <c r="V107" s="382">
        <v>307</v>
      </c>
      <c r="W107" s="382">
        <v>0</v>
      </c>
      <c r="X107" s="382">
        <v>0</v>
      </c>
      <c r="Y107" s="382">
        <v>0</v>
      </c>
      <c r="Z107" s="382">
        <v>20</v>
      </c>
      <c r="AA107" s="382">
        <v>3</v>
      </c>
      <c r="AB107" s="382">
        <v>3</v>
      </c>
      <c r="AC107" s="382">
        <v>6</v>
      </c>
      <c r="AD107" s="386">
        <v>4595</v>
      </c>
      <c r="AE107" s="386">
        <v>26</v>
      </c>
      <c r="AF107" s="386">
        <v>9</v>
      </c>
      <c r="AG107" s="386">
        <v>35</v>
      </c>
    </row>
    <row r="108" spans="1:33" x14ac:dyDescent="0.25">
      <c r="A108" s="381" t="s">
        <v>276</v>
      </c>
      <c r="B108" s="387" t="s">
        <v>277</v>
      </c>
      <c r="C108" s="383">
        <v>3647</v>
      </c>
      <c r="D108" s="383">
        <v>4</v>
      </c>
      <c r="E108" s="383">
        <v>542</v>
      </c>
      <c r="F108" s="383">
        <v>274</v>
      </c>
      <c r="G108" s="383">
        <v>466</v>
      </c>
      <c r="H108" s="383">
        <v>4933</v>
      </c>
      <c r="I108" s="382">
        <v>4467</v>
      </c>
      <c r="J108" s="382">
        <v>0</v>
      </c>
      <c r="K108" s="384">
        <v>87.26</v>
      </c>
      <c r="L108" s="384">
        <v>85.99</v>
      </c>
      <c r="M108" s="384">
        <v>6.44</v>
      </c>
      <c r="N108" s="384">
        <v>92.23</v>
      </c>
      <c r="O108" s="385">
        <v>3296</v>
      </c>
      <c r="P108" s="382">
        <v>92.38</v>
      </c>
      <c r="Q108" s="382">
        <v>68.02</v>
      </c>
      <c r="R108" s="382">
        <v>88.34</v>
      </c>
      <c r="S108" s="382">
        <v>174.85</v>
      </c>
      <c r="T108" s="382">
        <v>482</v>
      </c>
      <c r="U108" s="382">
        <v>123.1</v>
      </c>
      <c r="V108" s="382">
        <v>216</v>
      </c>
      <c r="W108" s="382">
        <v>120.11</v>
      </c>
      <c r="X108" s="382">
        <v>37</v>
      </c>
      <c r="Y108" s="382">
        <v>0</v>
      </c>
      <c r="Z108" s="382">
        <v>0</v>
      </c>
      <c r="AA108" s="382">
        <v>35</v>
      </c>
      <c r="AB108" s="382">
        <v>23</v>
      </c>
      <c r="AC108" s="382">
        <v>12</v>
      </c>
      <c r="AD108" s="386">
        <v>3519</v>
      </c>
      <c r="AE108" s="386">
        <v>29</v>
      </c>
      <c r="AF108" s="386">
        <v>43</v>
      </c>
      <c r="AG108" s="386">
        <v>72</v>
      </c>
    </row>
    <row r="109" spans="1:33" x14ac:dyDescent="0.25">
      <c r="A109" s="381" t="s">
        <v>278</v>
      </c>
      <c r="B109" s="387" t="s">
        <v>279</v>
      </c>
      <c r="C109" s="383">
        <v>1491</v>
      </c>
      <c r="D109" s="383">
        <v>2</v>
      </c>
      <c r="E109" s="383">
        <v>174</v>
      </c>
      <c r="F109" s="383">
        <v>182</v>
      </c>
      <c r="G109" s="383">
        <v>245</v>
      </c>
      <c r="H109" s="383">
        <v>2094</v>
      </c>
      <c r="I109" s="382">
        <v>1849</v>
      </c>
      <c r="J109" s="382">
        <v>4</v>
      </c>
      <c r="K109" s="384">
        <v>102.54</v>
      </c>
      <c r="L109" s="384">
        <v>102.33</v>
      </c>
      <c r="M109" s="384">
        <v>8.18</v>
      </c>
      <c r="N109" s="384">
        <v>108.49</v>
      </c>
      <c r="O109" s="385">
        <v>1061</v>
      </c>
      <c r="P109" s="382">
        <v>98.51</v>
      </c>
      <c r="Q109" s="382">
        <v>88.49</v>
      </c>
      <c r="R109" s="382">
        <v>45.75</v>
      </c>
      <c r="S109" s="382">
        <v>139.54</v>
      </c>
      <c r="T109" s="382">
        <v>242</v>
      </c>
      <c r="U109" s="382">
        <v>143.93</v>
      </c>
      <c r="V109" s="382">
        <v>318</v>
      </c>
      <c r="W109" s="382">
        <v>0</v>
      </c>
      <c r="X109" s="382">
        <v>0</v>
      </c>
      <c r="Y109" s="382">
        <v>14</v>
      </c>
      <c r="Z109" s="382">
        <v>0</v>
      </c>
      <c r="AA109" s="382">
        <v>0</v>
      </c>
      <c r="AB109" s="382">
        <v>3</v>
      </c>
      <c r="AC109" s="382">
        <v>8</v>
      </c>
      <c r="AD109" s="386">
        <v>1479</v>
      </c>
      <c r="AE109" s="386">
        <v>5</v>
      </c>
      <c r="AF109" s="386">
        <v>4</v>
      </c>
      <c r="AG109" s="386">
        <v>9</v>
      </c>
    </row>
    <row r="110" spans="1:33" x14ac:dyDescent="0.25">
      <c r="A110" s="381" t="s">
        <v>280</v>
      </c>
      <c r="B110" s="387" t="s">
        <v>281</v>
      </c>
      <c r="C110" s="383">
        <v>4799</v>
      </c>
      <c r="D110" s="383">
        <v>0</v>
      </c>
      <c r="E110" s="383">
        <v>202</v>
      </c>
      <c r="F110" s="383">
        <v>680</v>
      </c>
      <c r="G110" s="383">
        <v>162</v>
      </c>
      <c r="H110" s="383">
        <v>5843</v>
      </c>
      <c r="I110" s="382">
        <v>5681</v>
      </c>
      <c r="J110" s="382">
        <v>9</v>
      </c>
      <c r="K110" s="384">
        <v>89.25</v>
      </c>
      <c r="L110" s="384">
        <v>85.97</v>
      </c>
      <c r="M110" s="384">
        <v>4.08</v>
      </c>
      <c r="N110" s="384">
        <v>90.62</v>
      </c>
      <c r="O110" s="385">
        <v>4416</v>
      </c>
      <c r="P110" s="382">
        <v>91.44</v>
      </c>
      <c r="Q110" s="382">
        <v>84.12</v>
      </c>
      <c r="R110" s="382">
        <v>41.72</v>
      </c>
      <c r="S110" s="382">
        <v>132.26</v>
      </c>
      <c r="T110" s="382">
        <v>840</v>
      </c>
      <c r="U110" s="382">
        <v>107.85</v>
      </c>
      <c r="V110" s="382">
        <v>359</v>
      </c>
      <c r="W110" s="382">
        <v>0</v>
      </c>
      <c r="X110" s="382">
        <v>0</v>
      </c>
      <c r="Y110" s="382">
        <v>51</v>
      </c>
      <c r="Z110" s="382">
        <v>14</v>
      </c>
      <c r="AA110" s="382">
        <v>0</v>
      </c>
      <c r="AB110" s="382">
        <v>5</v>
      </c>
      <c r="AC110" s="382">
        <v>2</v>
      </c>
      <c r="AD110" s="386">
        <v>4799</v>
      </c>
      <c r="AE110" s="386">
        <v>27</v>
      </c>
      <c r="AF110" s="386">
        <v>3</v>
      </c>
      <c r="AG110" s="386">
        <v>30</v>
      </c>
    </row>
    <row r="111" spans="1:33" x14ac:dyDescent="0.25">
      <c r="A111" s="381" t="s">
        <v>282</v>
      </c>
      <c r="B111" s="387" t="s">
        <v>283</v>
      </c>
      <c r="C111" s="383">
        <v>1544</v>
      </c>
      <c r="D111" s="383">
        <v>2</v>
      </c>
      <c r="E111" s="383">
        <v>140</v>
      </c>
      <c r="F111" s="383">
        <v>264</v>
      </c>
      <c r="G111" s="383">
        <v>289</v>
      </c>
      <c r="H111" s="383">
        <v>2239</v>
      </c>
      <c r="I111" s="382">
        <v>1950</v>
      </c>
      <c r="J111" s="382">
        <v>2</v>
      </c>
      <c r="K111" s="384">
        <v>94.1</v>
      </c>
      <c r="L111" s="384">
        <v>92.76</v>
      </c>
      <c r="M111" s="384">
        <v>7.59</v>
      </c>
      <c r="N111" s="384">
        <v>99.72</v>
      </c>
      <c r="O111" s="385">
        <v>1185</v>
      </c>
      <c r="P111" s="382">
        <v>98.85</v>
      </c>
      <c r="Q111" s="382">
        <v>82.9</v>
      </c>
      <c r="R111" s="382">
        <v>51.58</v>
      </c>
      <c r="S111" s="382">
        <v>148.62</v>
      </c>
      <c r="T111" s="382">
        <v>370</v>
      </c>
      <c r="U111" s="382">
        <v>138.62</v>
      </c>
      <c r="V111" s="382">
        <v>176</v>
      </c>
      <c r="W111" s="382">
        <v>74.06</v>
      </c>
      <c r="X111" s="382">
        <v>7</v>
      </c>
      <c r="Y111" s="382">
        <v>0</v>
      </c>
      <c r="Z111" s="382">
        <v>8</v>
      </c>
      <c r="AA111" s="382">
        <v>26</v>
      </c>
      <c r="AB111" s="382">
        <v>26</v>
      </c>
      <c r="AC111" s="382">
        <v>3</v>
      </c>
      <c r="AD111" s="386">
        <v>1385</v>
      </c>
      <c r="AE111" s="386">
        <v>1</v>
      </c>
      <c r="AF111" s="386">
        <v>49</v>
      </c>
      <c r="AG111" s="386">
        <v>50</v>
      </c>
    </row>
    <row r="112" spans="1:33" x14ac:dyDescent="0.25">
      <c r="A112" s="381" t="s">
        <v>284</v>
      </c>
      <c r="B112" s="387" t="s">
        <v>285</v>
      </c>
      <c r="C112" s="383">
        <v>4188</v>
      </c>
      <c r="D112" s="383">
        <v>0</v>
      </c>
      <c r="E112" s="383">
        <v>108</v>
      </c>
      <c r="F112" s="383">
        <v>785</v>
      </c>
      <c r="G112" s="383">
        <v>206</v>
      </c>
      <c r="H112" s="383">
        <v>5287</v>
      </c>
      <c r="I112" s="382">
        <v>5081</v>
      </c>
      <c r="J112" s="382">
        <v>6</v>
      </c>
      <c r="K112" s="384">
        <v>93.39</v>
      </c>
      <c r="L112" s="384">
        <v>90.92</v>
      </c>
      <c r="M112" s="384">
        <v>2</v>
      </c>
      <c r="N112" s="384">
        <v>95.13</v>
      </c>
      <c r="O112" s="385">
        <v>3339</v>
      </c>
      <c r="P112" s="382">
        <v>90.47</v>
      </c>
      <c r="Q112" s="382">
        <v>87.27</v>
      </c>
      <c r="R112" s="382">
        <v>22.93</v>
      </c>
      <c r="S112" s="382">
        <v>112.59</v>
      </c>
      <c r="T112" s="382">
        <v>768</v>
      </c>
      <c r="U112" s="382">
        <v>109.16</v>
      </c>
      <c r="V112" s="382">
        <v>416</v>
      </c>
      <c r="W112" s="382">
        <v>214.95</v>
      </c>
      <c r="X112" s="382">
        <v>67</v>
      </c>
      <c r="Y112" s="382">
        <v>0</v>
      </c>
      <c r="Z112" s="382">
        <v>12</v>
      </c>
      <c r="AA112" s="382">
        <v>7</v>
      </c>
      <c r="AB112" s="382">
        <v>9</v>
      </c>
      <c r="AC112" s="382">
        <v>4</v>
      </c>
      <c r="AD112" s="386">
        <v>3753</v>
      </c>
      <c r="AE112" s="386">
        <v>5</v>
      </c>
      <c r="AF112" s="386">
        <v>5</v>
      </c>
      <c r="AG112" s="386">
        <v>10</v>
      </c>
    </row>
    <row r="113" spans="1:33" x14ac:dyDescent="0.25">
      <c r="A113" s="381" t="s">
        <v>286</v>
      </c>
      <c r="B113" s="387" t="s">
        <v>287</v>
      </c>
      <c r="C113" s="383">
        <v>2189</v>
      </c>
      <c r="D113" s="383">
        <v>0</v>
      </c>
      <c r="E113" s="383">
        <v>142</v>
      </c>
      <c r="F113" s="383">
        <v>528</v>
      </c>
      <c r="G113" s="383">
        <v>142</v>
      </c>
      <c r="H113" s="383">
        <v>3001</v>
      </c>
      <c r="I113" s="382">
        <v>2859</v>
      </c>
      <c r="J113" s="382">
        <v>0</v>
      </c>
      <c r="K113" s="384">
        <v>86.41</v>
      </c>
      <c r="L113" s="384">
        <v>85.84</v>
      </c>
      <c r="M113" s="384">
        <v>3.25</v>
      </c>
      <c r="N113" s="384">
        <v>89.4</v>
      </c>
      <c r="O113" s="385">
        <v>1749</v>
      </c>
      <c r="P113" s="382">
        <v>90.92</v>
      </c>
      <c r="Q113" s="382">
        <v>78.22</v>
      </c>
      <c r="R113" s="382">
        <v>21.85</v>
      </c>
      <c r="S113" s="382">
        <v>112.7</v>
      </c>
      <c r="T113" s="382">
        <v>626</v>
      </c>
      <c r="U113" s="382">
        <v>107.14</v>
      </c>
      <c r="V113" s="382">
        <v>416</v>
      </c>
      <c r="W113" s="382">
        <v>0</v>
      </c>
      <c r="X113" s="382">
        <v>0</v>
      </c>
      <c r="Y113" s="382">
        <v>0</v>
      </c>
      <c r="Z113" s="382">
        <v>4</v>
      </c>
      <c r="AA113" s="382">
        <v>0</v>
      </c>
      <c r="AB113" s="382">
        <v>24</v>
      </c>
      <c r="AC113" s="382">
        <v>3</v>
      </c>
      <c r="AD113" s="386">
        <v>2173</v>
      </c>
      <c r="AE113" s="386">
        <v>15</v>
      </c>
      <c r="AF113" s="386">
        <v>1</v>
      </c>
      <c r="AG113" s="386">
        <v>16</v>
      </c>
    </row>
    <row r="114" spans="1:33" x14ac:dyDescent="0.25">
      <c r="A114" s="381" t="s">
        <v>288</v>
      </c>
      <c r="B114" s="387" t="s">
        <v>289</v>
      </c>
      <c r="C114" s="383">
        <v>3978</v>
      </c>
      <c r="D114" s="383">
        <v>27</v>
      </c>
      <c r="E114" s="383">
        <v>352</v>
      </c>
      <c r="F114" s="383">
        <v>930</v>
      </c>
      <c r="G114" s="383">
        <v>193</v>
      </c>
      <c r="H114" s="383">
        <v>5480</v>
      </c>
      <c r="I114" s="382">
        <v>5287</v>
      </c>
      <c r="J114" s="382">
        <v>0</v>
      </c>
      <c r="K114" s="384">
        <v>78.47</v>
      </c>
      <c r="L114" s="384">
        <v>74.98</v>
      </c>
      <c r="M114" s="384">
        <v>7.81</v>
      </c>
      <c r="N114" s="384">
        <v>83.16</v>
      </c>
      <c r="O114" s="385">
        <v>2939</v>
      </c>
      <c r="P114" s="382">
        <v>88.85</v>
      </c>
      <c r="Q114" s="382">
        <v>78.459999999999994</v>
      </c>
      <c r="R114" s="382">
        <v>46.4</v>
      </c>
      <c r="S114" s="382">
        <v>134.63999999999999</v>
      </c>
      <c r="T114" s="382">
        <v>1070</v>
      </c>
      <c r="U114" s="382">
        <v>96.01</v>
      </c>
      <c r="V114" s="382">
        <v>1052</v>
      </c>
      <c r="W114" s="382">
        <v>145.75</v>
      </c>
      <c r="X114" s="382">
        <v>193</v>
      </c>
      <c r="Y114" s="382">
        <v>30</v>
      </c>
      <c r="Z114" s="382">
        <v>4</v>
      </c>
      <c r="AA114" s="382">
        <v>8</v>
      </c>
      <c r="AB114" s="382">
        <v>12</v>
      </c>
      <c r="AC114" s="382">
        <v>4</v>
      </c>
      <c r="AD114" s="386">
        <v>3726</v>
      </c>
      <c r="AE114" s="386">
        <v>64</v>
      </c>
      <c r="AF114" s="386">
        <v>67</v>
      </c>
      <c r="AG114" s="386">
        <v>131</v>
      </c>
    </row>
    <row r="115" spans="1:33" x14ac:dyDescent="0.25">
      <c r="A115" s="381" t="s">
        <v>290</v>
      </c>
      <c r="B115" s="387" t="s">
        <v>291</v>
      </c>
      <c r="C115" s="383">
        <v>3775</v>
      </c>
      <c r="D115" s="383">
        <v>0</v>
      </c>
      <c r="E115" s="383">
        <v>191</v>
      </c>
      <c r="F115" s="383">
        <v>1182</v>
      </c>
      <c r="G115" s="383">
        <v>225</v>
      </c>
      <c r="H115" s="383">
        <v>5373</v>
      </c>
      <c r="I115" s="382">
        <v>5148</v>
      </c>
      <c r="J115" s="382">
        <v>0</v>
      </c>
      <c r="K115" s="384">
        <v>82.29</v>
      </c>
      <c r="L115" s="384">
        <v>80.48</v>
      </c>
      <c r="M115" s="384">
        <v>4.68</v>
      </c>
      <c r="N115" s="384">
        <v>84.08</v>
      </c>
      <c r="O115" s="385">
        <v>3529</v>
      </c>
      <c r="P115" s="382">
        <v>84.87</v>
      </c>
      <c r="Q115" s="382">
        <v>72.61</v>
      </c>
      <c r="R115" s="382">
        <v>28.69</v>
      </c>
      <c r="S115" s="382">
        <v>113.31</v>
      </c>
      <c r="T115" s="382">
        <v>1353</v>
      </c>
      <c r="U115" s="382">
        <v>105.72</v>
      </c>
      <c r="V115" s="382">
        <v>223</v>
      </c>
      <c r="W115" s="382">
        <v>172.65</v>
      </c>
      <c r="X115" s="382">
        <v>17</v>
      </c>
      <c r="Y115" s="382">
        <v>0</v>
      </c>
      <c r="Z115" s="382">
        <v>14</v>
      </c>
      <c r="AA115" s="382">
        <v>4</v>
      </c>
      <c r="AB115" s="382">
        <v>22</v>
      </c>
      <c r="AC115" s="382">
        <v>5</v>
      </c>
      <c r="AD115" s="386">
        <v>3775</v>
      </c>
      <c r="AE115" s="386">
        <v>9</v>
      </c>
      <c r="AF115" s="386">
        <v>1</v>
      </c>
      <c r="AG115" s="386">
        <v>10</v>
      </c>
    </row>
    <row r="116" spans="1:33" x14ac:dyDescent="0.25">
      <c r="A116" s="381" t="s">
        <v>292</v>
      </c>
      <c r="B116" s="387" t="s">
        <v>293</v>
      </c>
      <c r="C116" s="383">
        <v>6640</v>
      </c>
      <c r="D116" s="383">
        <v>95</v>
      </c>
      <c r="E116" s="383">
        <v>567</v>
      </c>
      <c r="F116" s="383">
        <v>950</v>
      </c>
      <c r="G116" s="383">
        <v>495</v>
      </c>
      <c r="H116" s="383">
        <v>8747</v>
      </c>
      <c r="I116" s="382">
        <v>8252</v>
      </c>
      <c r="J116" s="382">
        <v>111</v>
      </c>
      <c r="K116" s="384">
        <v>93.06</v>
      </c>
      <c r="L116" s="384">
        <v>84.48</v>
      </c>
      <c r="M116" s="384">
        <v>7.57</v>
      </c>
      <c r="N116" s="384">
        <v>93.2</v>
      </c>
      <c r="O116" s="385">
        <v>6369</v>
      </c>
      <c r="P116" s="382">
        <v>97.4</v>
      </c>
      <c r="Q116" s="382">
        <v>83.65</v>
      </c>
      <c r="R116" s="382">
        <v>49.16</v>
      </c>
      <c r="S116" s="382">
        <v>145.22</v>
      </c>
      <c r="T116" s="382">
        <v>1170</v>
      </c>
      <c r="U116" s="382">
        <v>113.32</v>
      </c>
      <c r="V116" s="382">
        <v>288</v>
      </c>
      <c r="W116" s="382">
        <v>187.86</v>
      </c>
      <c r="X116" s="382">
        <v>31</v>
      </c>
      <c r="Y116" s="382">
        <v>0</v>
      </c>
      <c r="Z116" s="382">
        <v>34</v>
      </c>
      <c r="AA116" s="382">
        <v>0</v>
      </c>
      <c r="AB116" s="382">
        <v>19</v>
      </c>
      <c r="AC116" s="382">
        <v>9</v>
      </c>
      <c r="AD116" s="386">
        <v>6581</v>
      </c>
      <c r="AE116" s="386">
        <v>36</v>
      </c>
      <c r="AF116" s="386">
        <v>34</v>
      </c>
      <c r="AG116" s="386">
        <v>70</v>
      </c>
    </row>
    <row r="117" spans="1:33" x14ac:dyDescent="0.25">
      <c r="A117" s="381" t="s">
        <v>294</v>
      </c>
      <c r="B117" s="387" t="s">
        <v>295</v>
      </c>
      <c r="C117" s="383">
        <v>2477</v>
      </c>
      <c r="D117" s="383">
        <v>10</v>
      </c>
      <c r="E117" s="383">
        <v>71</v>
      </c>
      <c r="F117" s="383">
        <v>477</v>
      </c>
      <c r="G117" s="383">
        <v>375</v>
      </c>
      <c r="H117" s="383">
        <v>3410</v>
      </c>
      <c r="I117" s="382">
        <v>3035</v>
      </c>
      <c r="J117" s="382">
        <v>1</v>
      </c>
      <c r="K117" s="384">
        <v>97.67</v>
      </c>
      <c r="L117" s="384">
        <v>93</v>
      </c>
      <c r="M117" s="384">
        <v>9.6</v>
      </c>
      <c r="N117" s="384">
        <v>106</v>
      </c>
      <c r="O117" s="385">
        <v>2019</v>
      </c>
      <c r="P117" s="382">
        <v>97.6</v>
      </c>
      <c r="Q117" s="382">
        <v>89.57</v>
      </c>
      <c r="R117" s="382">
        <v>57.91</v>
      </c>
      <c r="S117" s="382">
        <v>154.25</v>
      </c>
      <c r="T117" s="382">
        <v>277</v>
      </c>
      <c r="U117" s="382">
        <v>126.11</v>
      </c>
      <c r="V117" s="382">
        <v>299</v>
      </c>
      <c r="W117" s="382">
        <v>126.26</v>
      </c>
      <c r="X117" s="382">
        <v>27</v>
      </c>
      <c r="Y117" s="382">
        <v>0</v>
      </c>
      <c r="Z117" s="382">
        <v>0</v>
      </c>
      <c r="AA117" s="382">
        <v>1</v>
      </c>
      <c r="AB117" s="382">
        <v>1</v>
      </c>
      <c r="AC117" s="382">
        <v>13</v>
      </c>
      <c r="AD117" s="386">
        <v>2441</v>
      </c>
      <c r="AE117" s="386">
        <v>9</v>
      </c>
      <c r="AF117" s="386">
        <v>1</v>
      </c>
      <c r="AG117" s="386">
        <v>10</v>
      </c>
    </row>
    <row r="118" spans="1:33" x14ac:dyDescent="0.25">
      <c r="A118" s="381" t="s">
        <v>296</v>
      </c>
      <c r="B118" s="387" t="s">
        <v>297</v>
      </c>
      <c r="C118" s="383">
        <v>1516</v>
      </c>
      <c r="D118" s="383">
        <v>0</v>
      </c>
      <c r="E118" s="383">
        <v>76</v>
      </c>
      <c r="F118" s="383">
        <v>179</v>
      </c>
      <c r="G118" s="383">
        <v>336</v>
      </c>
      <c r="H118" s="383">
        <v>2107</v>
      </c>
      <c r="I118" s="382">
        <v>1771</v>
      </c>
      <c r="J118" s="382">
        <v>0</v>
      </c>
      <c r="K118" s="384">
        <v>107.03</v>
      </c>
      <c r="L118" s="384">
        <v>101.96</v>
      </c>
      <c r="M118" s="384">
        <v>6.91</v>
      </c>
      <c r="N118" s="384">
        <v>111.13</v>
      </c>
      <c r="O118" s="385">
        <v>755</v>
      </c>
      <c r="P118" s="382">
        <v>94.85</v>
      </c>
      <c r="Q118" s="382">
        <v>91.69</v>
      </c>
      <c r="R118" s="382">
        <v>64.239999999999995</v>
      </c>
      <c r="S118" s="382">
        <v>157.19999999999999</v>
      </c>
      <c r="T118" s="382">
        <v>68</v>
      </c>
      <c r="U118" s="382">
        <v>141.74</v>
      </c>
      <c r="V118" s="382">
        <v>363</v>
      </c>
      <c r="W118" s="382">
        <v>207.82</v>
      </c>
      <c r="X118" s="382">
        <v>57</v>
      </c>
      <c r="Y118" s="382">
        <v>0</v>
      </c>
      <c r="Z118" s="382">
        <v>3</v>
      </c>
      <c r="AA118" s="382">
        <v>1</v>
      </c>
      <c r="AB118" s="382">
        <v>48</v>
      </c>
      <c r="AC118" s="382">
        <v>12</v>
      </c>
      <c r="AD118" s="386">
        <v>1129</v>
      </c>
      <c r="AE118" s="386">
        <v>8</v>
      </c>
      <c r="AF118" s="386">
        <v>2</v>
      </c>
      <c r="AG118" s="386">
        <v>10</v>
      </c>
    </row>
    <row r="119" spans="1:33" x14ac:dyDescent="0.25">
      <c r="A119" s="381" t="s">
        <v>298</v>
      </c>
      <c r="B119" s="387" t="s">
        <v>299</v>
      </c>
      <c r="C119" s="383">
        <v>1438</v>
      </c>
      <c r="D119" s="383">
        <v>0</v>
      </c>
      <c r="E119" s="383">
        <v>248</v>
      </c>
      <c r="F119" s="383">
        <v>141</v>
      </c>
      <c r="G119" s="383">
        <v>87</v>
      </c>
      <c r="H119" s="383">
        <v>1914</v>
      </c>
      <c r="I119" s="382">
        <v>1827</v>
      </c>
      <c r="J119" s="382">
        <v>2</v>
      </c>
      <c r="K119" s="384">
        <v>86.67</v>
      </c>
      <c r="L119" s="384">
        <v>86.43</v>
      </c>
      <c r="M119" s="384">
        <v>5.38</v>
      </c>
      <c r="N119" s="384">
        <v>90.12</v>
      </c>
      <c r="O119" s="385">
        <v>1234</v>
      </c>
      <c r="P119" s="382">
        <v>93.71</v>
      </c>
      <c r="Q119" s="382">
        <v>82.41</v>
      </c>
      <c r="R119" s="382">
        <v>71.77</v>
      </c>
      <c r="S119" s="382">
        <v>165.25</v>
      </c>
      <c r="T119" s="382">
        <v>297</v>
      </c>
      <c r="U119" s="382">
        <v>98.05</v>
      </c>
      <c r="V119" s="382">
        <v>169</v>
      </c>
      <c r="W119" s="382">
        <v>0</v>
      </c>
      <c r="X119" s="382">
        <v>0</v>
      </c>
      <c r="Y119" s="382">
        <v>4</v>
      </c>
      <c r="Z119" s="382">
        <v>1</v>
      </c>
      <c r="AA119" s="382">
        <v>5</v>
      </c>
      <c r="AB119" s="382">
        <v>0</v>
      </c>
      <c r="AC119" s="382">
        <v>3</v>
      </c>
      <c r="AD119" s="386">
        <v>1438</v>
      </c>
      <c r="AE119" s="386">
        <v>12</v>
      </c>
      <c r="AF119" s="386">
        <v>22</v>
      </c>
      <c r="AG119" s="386">
        <v>34</v>
      </c>
    </row>
    <row r="120" spans="1:33" x14ac:dyDescent="0.25">
      <c r="A120" s="381" t="s">
        <v>300</v>
      </c>
      <c r="B120" s="387" t="s">
        <v>301</v>
      </c>
      <c r="C120" s="383">
        <v>13036</v>
      </c>
      <c r="D120" s="383">
        <v>154</v>
      </c>
      <c r="E120" s="383">
        <v>450</v>
      </c>
      <c r="F120" s="383">
        <v>990</v>
      </c>
      <c r="G120" s="383">
        <v>2485</v>
      </c>
      <c r="H120" s="383">
        <v>17115</v>
      </c>
      <c r="I120" s="382">
        <v>14630</v>
      </c>
      <c r="J120" s="382">
        <v>77</v>
      </c>
      <c r="K120" s="384">
        <v>118.43</v>
      </c>
      <c r="L120" s="384">
        <v>118.26</v>
      </c>
      <c r="M120" s="384">
        <v>14.78</v>
      </c>
      <c r="N120" s="384">
        <v>130.07</v>
      </c>
      <c r="O120" s="385">
        <v>10039</v>
      </c>
      <c r="P120" s="382">
        <v>114.03</v>
      </c>
      <c r="Q120" s="382">
        <v>107.47</v>
      </c>
      <c r="R120" s="382">
        <v>55.02</v>
      </c>
      <c r="S120" s="382">
        <v>158.71</v>
      </c>
      <c r="T120" s="382">
        <v>1219</v>
      </c>
      <c r="U120" s="382">
        <v>172.21</v>
      </c>
      <c r="V120" s="382">
        <v>1225</v>
      </c>
      <c r="W120" s="382">
        <v>0</v>
      </c>
      <c r="X120" s="382">
        <v>0</v>
      </c>
      <c r="Y120" s="382">
        <v>0</v>
      </c>
      <c r="Z120" s="382">
        <v>39</v>
      </c>
      <c r="AA120" s="382">
        <v>18</v>
      </c>
      <c r="AB120" s="382">
        <v>119</v>
      </c>
      <c r="AC120" s="382">
        <v>77</v>
      </c>
      <c r="AD120" s="386">
        <v>11692</v>
      </c>
      <c r="AE120" s="386">
        <v>99</v>
      </c>
      <c r="AF120" s="386">
        <v>87</v>
      </c>
      <c r="AG120" s="386">
        <v>186</v>
      </c>
    </row>
    <row r="121" spans="1:33" x14ac:dyDescent="0.25">
      <c r="A121" s="381" t="s">
        <v>302</v>
      </c>
      <c r="B121" s="387" t="s">
        <v>303</v>
      </c>
      <c r="C121" s="383">
        <v>1751</v>
      </c>
      <c r="D121" s="383">
        <v>11</v>
      </c>
      <c r="E121" s="383">
        <v>274</v>
      </c>
      <c r="F121" s="383">
        <v>226</v>
      </c>
      <c r="G121" s="383">
        <v>413</v>
      </c>
      <c r="H121" s="383">
        <v>2675</v>
      </c>
      <c r="I121" s="382">
        <v>2262</v>
      </c>
      <c r="J121" s="382">
        <v>0</v>
      </c>
      <c r="K121" s="384">
        <v>124.71</v>
      </c>
      <c r="L121" s="384">
        <v>122.42</v>
      </c>
      <c r="M121" s="384">
        <v>7.63</v>
      </c>
      <c r="N121" s="384">
        <v>130.97999999999999</v>
      </c>
      <c r="O121" s="385">
        <v>1335</v>
      </c>
      <c r="P121" s="382">
        <v>104.3</v>
      </c>
      <c r="Q121" s="382">
        <v>88.95</v>
      </c>
      <c r="R121" s="382">
        <v>79.180000000000007</v>
      </c>
      <c r="S121" s="382">
        <v>179.42</v>
      </c>
      <c r="T121" s="382">
        <v>234</v>
      </c>
      <c r="U121" s="382">
        <v>166</v>
      </c>
      <c r="V121" s="382">
        <v>284</v>
      </c>
      <c r="W121" s="382">
        <v>234.99</v>
      </c>
      <c r="X121" s="382">
        <v>39</v>
      </c>
      <c r="Y121" s="382">
        <v>0</v>
      </c>
      <c r="Z121" s="382">
        <v>0</v>
      </c>
      <c r="AA121" s="382">
        <v>2</v>
      </c>
      <c r="AB121" s="382">
        <v>25</v>
      </c>
      <c r="AC121" s="382">
        <v>5</v>
      </c>
      <c r="AD121" s="386">
        <v>1601</v>
      </c>
      <c r="AE121" s="386">
        <v>12</v>
      </c>
      <c r="AF121" s="386">
        <v>1</v>
      </c>
      <c r="AG121" s="386">
        <v>13</v>
      </c>
    </row>
    <row r="122" spans="1:33" x14ac:dyDescent="0.25">
      <c r="A122" s="381" t="s">
        <v>304</v>
      </c>
      <c r="B122" s="387" t="s">
        <v>305</v>
      </c>
      <c r="C122" s="383">
        <v>20112</v>
      </c>
      <c r="D122" s="383">
        <v>559</v>
      </c>
      <c r="E122" s="383">
        <v>1428</v>
      </c>
      <c r="F122" s="383">
        <v>1640</v>
      </c>
      <c r="G122" s="383">
        <v>2509</v>
      </c>
      <c r="H122" s="383">
        <v>26248</v>
      </c>
      <c r="I122" s="382">
        <v>23739</v>
      </c>
      <c r="J122" s="382">
        <v>56</v>
      </c>
      <c r="K122" s="384">
        <v>119.13</v>
      </c>
      <c r="L122" s="384">
        <v>124.79</v>
      </c>
      <c r="M122" s="384">
        <v>14.13</v>
      </c>
      <c r="N122" s="384">
        <v>129.81</v>
      </c>
      <c r="O122" s="385">
        <v>17115</v>
      </c>
      <c r="P122" s="382">
        <v>111.22</v>
      </c>
      <c r="Q122" s="382">
        <v>108.51</v>
      </c>
      <c r="R122" s="382">
        <v>51.46</v>
      </c>
      <c r="S122" s="382">
        <v>158.34</v>
      </c>
      <c r="T122" s="382">
        <v>2705</v>
      </c>
      <c r="U122" s="382">
        <v>207.01</v>
      </c>
      <c r="V122" s="382">
        <v>1090</v>
      </c>
      <c r="W122" s="382">
        <v>250.22</v>
      </c>
      <c r="X122" s="382">
        <v>18</v>
      </c>
      <c r="Y122" s="382">
        <v>20</v>
      </c>
      <c r="Z122" s="382">
        <v>51</v>
      </c>
      <c r="AA122" s="382">
        <v>71</v>
      </c>
      <c r="AB122" s="382">
        <v>22</v>
      </c>
      <c r="AC122" s="382">
        <v>63</v>
      </c>
      <c r="AD122" s="386">
        <v>18396</v>
      </c>
      <c r="AE122" s="386">
        <v>73</v>
      </c>
      <c r="AF122" s="386">
        <v>112</v>
      </c>
      <c r="AG122" s="386">
        <v>185</v>
      </c>
    </row>
    <row r="123" spans="1:33" x14ac:dyDescent="0.25">
      <c r="A123" s="381" t="s">
        <v>306</v>
      </c>
      <c r="B123" s="387" t="s">
        <v>307</v>
      </c>
      <c r="C123" s="383">
        <v>13381</v>
      </c>
      <c r="D123" s="383">
        <v>2</v>
      </c>
      <c r="E123" s="383">
        <v>486</v>
      </c>
      <c r="F123" s="383">
        <v>511</v>
      </c>
      <c r="G123" s="383">
        <v>313</v>
      </c>
      <c r="H123" s="383">
        <v>14693</v>
      </c>
      <c r="I123" s="382">
        <v>14380</v>
      </c>
      <c r="J123" s="382">
        <v>22</v>
      </c>
      <c r="K123" s="384">
        <v>82.81</v>
      </c>
      <c r="L123" s="384">
        <v>82.38</v>
      </c>
      <c r="M123" s="384">
        <v>3.84</v>
      </c>
      <c r="N123" s="384">
        <v>86.51</v>
      </c>
      <c r="O123" s="385">
        <v>11356</v>
      </c>
      <c r="P123" s="382">
        <v>87.12</v>
      </c>
      <c r="Q123" s="382">
        <v>72.91</v>
      </c>
      <c r="R123" s="382">
        <v>30.87</v>
      </c>
      <c r="S123" s="382">
        <v>117.39</v>
      </c>
      <c r="T123" s="382">
        <v>870</v>
      </c>
      <c r="U123" s="382">
        <v>98.58</v>
      </c>
      <c r="V123" s="382">
        <v>2003</v>
      </c>
      <c r="W123" s="382">
        <v>146.47</v>
      </c>
      <c r="X123" s="382">
        <v>82</v>
      </c>
      <c r="Y123" s="382">
        <v>6</v>
      </c>
      <c r="Z123" s="382">
        <v>68</v>
      </c>
      <c r="AA123" s="382">
        <v>4</v>
      </c>
      <c r="AB123" s="382">
        <v>10</v>
      </c>
      <c r="AC123" s="382">
        <v>9</v>
      </c>
      <c r="AD123" s="386">
        <v>13381</v>
      </c>
      <c r="AE123" s="386">
        <v>56</v>
      </c>
      <c r="AF123" s="386">
        <v>41</v>
      </c>
      <c r="AG123" s="386">
        <v>97</v>
      </c>
    </row>
    <row r="124" spans="1:33" x14ac:dyDescent="0.25">
      <c r="A124" s="381" t="s">
        <v>308</v>
      </c>
      <c r="B124" s="387" t="s">
        <v>309</v>
      </c>
      <c r="C124" s="383">
        <v>5039</v>
      </c>
      <c r="D124" s="383">
        <v>5</v>
      </c>
      <c r="E124" s="383">
        <v>408</v>
      </c>
      <c r="F124" s="383">
        <v>78</v>
      </c>
      <c r="G124" s="383">
        <v>168</v>
      </c>
      <c r="H124" s="383">
        <v>5698</v>
      </c>
      <c r="I124" s="382">
        <v>5530</v>
      </c>
      <c r="J124" s="382">
        <v>200</v>
      </c>
      <c r="K124" s="384">
        <v>90.84</v>
      </c>
      <c r="L124" s="384">
        <v>91.72</v>
      </c>
      <c r="M124" s="384">
        <v>1.78</v>
      </c>
      <c r="N124" s="384">
        <v>92.4</v>
      </c>
      <c r="O124" s="385">
        <v>4786</v>
      </c>
      <c r="P124" s="382">
        <v>109.03</v>
      </c>
      <c r="Q124" s="382">
        <v>85.55</v>
      </c>
      <c r="R124" s="382">
        <v>64.239999999999995</v>
      </c>
      <c r="S124" s="382">
        <v>172.7</v>
      </c>
      <c r="T124" s="382">
        <v>339</v>
      </c>
      <c r="U124" s="382">
        <v>107.91</v>
      </c>
      <c r="V124" s="382">
        <v>142</v>
      </c>
      <c r="W124" s="382">
        <v>167.56</v>
      </c>
      <c r="X124" s="382">
        <v>119</v>
      </c>
      <c r="Y124" s="382">
        <v>0</v>
      </c>
      <c r="Z124" s="382">
        <v>4</v>
      </c>
      <c r="AA124" s="382">
        <v>0</v>
      </c>
      <c r="AB124" s="382">
        <v>1</v>
      </c>
      <c r="AC124" s="382">
        <v>1</v>
      </c>
      <c r="AD124" s="386">
        <v>5027</v>
      </c>
      <c r="AE124" s="386">
        <v>15</v>
      </c>
      <c r="AF124" s="386">
        <v>97</v>
      </c>
      <c r="AG124" s="386">
        <v>112</v>
      </c>
    </row>
    <row r="125" spans="1:33" x14ac:dyDescent="0.25">
      <c r="A125" s="381" t="s">
        <v>310</v>
      </c>
      <c r="B125" s="387" t="s">
        <v>311</v>
      </c>
      <c r="C125" s="383">
        <v>11700</v>
      </c>
      <c r="D125" s="383">
        <v>45</v>
      </c>
      <c r="E125" s="383">
        <v>947</v>
      </c>
      <c r="F125" s="383">
        <v>551</v>
      </c>
      <c r="G125" s="383">
        <v>1020</v>
      </c>
      <c r="H125" s="383">
        <v>14263</v>
      </c>
      <c r="I125" s="382">
        <v>13243</v>
      </c>
      <c r="J125" s="382">
        <v>307</v>
      </c>
      <c r="K125" s="384">
        <v>128.47</v>
      </c>
      <c r="L125" s="384">
        <v>139.16</v>
      </c>
      <c r="M125" s="384">
        <v>11.94</v>
      </c>
      <c r="N125" s="384">
        <v>134.6</v>
      </c>
      <c r="O125" s="385">
        <v>9915</v>
      </c>
      <c r="P125" s="382">
        <v>124.48</v>
      </c>
      <c r="Q125" s="382">
        <v>123.63</v>
      </c>
      <c r="R125" s="382">
        <v>68.06</v>
      </c>
      <c r="S125" s="382">
        <v>177.77</v>
      </c>
      <c r="T125" s="382">
        <v>1032</v>
      </c>
      <c r="U125" s="382">
        <v>204.66</v>
      </c>
      <c r="V125" s="382">
        <v>1132</v>
      </c>
      <c r="W125" s="382">
        <v>209.02</v>
      </c>
      <c r="X125" s="382">
        <v>86</v>
      </c>
      <c r="Y125" s="382">
        <v>3</v>
      </c>
      <c r="Z125" s="382">
        <v>2</v>
      </c>
      <c r="AA125" s="382">
        <v>0</v>
      </c>
      <c r="AB125" s="382">
        <v>10</v>
      </c>
      <c r="AC125" s="382">
        <v>29</v>
      </c>
      <c r="AD125" s="386">
        <v>11304</v>
      </c>
      <c r="AE125" s="386">
        <v>30</v>
      </c>
      <c r="AF125" s="386">
        <v>226</v>
      </c>
      <c r="AG125" s="386">
        <v>256</v>
      </c>
    </row>
    <row r="126" spans="1:33" x14ac:dyDescent="0.25">
      <c r="A126" s="381" t="s">
        <v>312</v>
      </c>
      <c r="B126" s="387" t="s">
        <v>313</v>
      </c>
      <c r="C126" s="383">
        <v>2907</v>
      </c>
      <c r="D126" s="383">
        <v>0</v>
      </c>
      <c r="E126" s="383">
        <v>96</v>
      </c>
      <c r="F126" s="383">
        <v>311</v>
      </c>
      <c r="G126" s="383">
        <v>576</v>
      </c>
      <c r="H126" s="383">
        <v>3890</v>
      </c>
      <c r="I126" s="382">
        <v>3314</v>
      </c>
      <c r="J126" s="382">
        <v>0</v>
      </c>
      <c r="K126" s="384">
        <v>89.08</v>
      </c>
      <c r="L126" s="384">
        <v>88.94</v>
      </c>
      <c r="M126" s="384">
        <v>3.81</v>
      </c>
      <c r="N126" s="384">
        <v>91.74</v>
      </c>
      <c r="O126" s="385">
        <v>2406</v>
      </c>
      <c r="P126" s="382">
        <v>80.48</v>
      </c>
      <c r="Q126" s="382">
        <v>75.849999999999994</v>
      </c>
      <c r="R126" s="382">
        <v>40.29</v>
      </c>
      <c r="S126" s="382">
        <v>118.53</v>
      </c>
      <c r="T126" s="382">
        <v>379</v>
      </c>
      <c r="U126" s="382">
        <v>109.19</v>
      </c>
      <c r="V126" s="382">
        <v>389</v>
      </c>
      <c r="W126" s="382">
        <v>117.58</v>
      </c>
      <c r="X126" s="382">
        <v>12</v>
      </c>
      <c r="Y126" s="382">
        <v>0</v>
      </c>
      <c r="Z126" s="382">
        <v>12</v>
      </c>
      <c r="AA126" s="382">
        <v>27</v>
      </c>
      <c r="AB126" s="382">
        <v>59</v>
      </c>
      <c r="AC126" s="382">
        <v>9</v>
      </c>
      <c r="AD126" s="386">
        <v>2903</v>
      </c>
      <c r="AE126" s="386">
        <v>10</v>
      </c>
      <c r="AF126" s="386">
        <v>17</v>
      </c>
      <c r="AG126" s="386">
        <v>27</v>
      </c>
    </row>
    <row r="127" spans="1:33" x14ac:dyDescent="0.25">
      <c r="A127" s="381" t="s">
        <v>314</v>
      </c>
      <c r="B127" s="387" t="s">
        <v>315</v>
      </c>
      <c r="C127" s="383">
        <v>10179</v>
      </c>
      <c r="D127" s="383">
        <v>52</v>
      </c>
      <c r="E127" s="383">
        <v>862</v>
      </c>
      <c r="F127" s="383">
        <v>814</v>
      </c>
      <c r="G127" s="383">
        <v>1612</v>
      </c>
      <c r="H127" s="383">
        <v>13519</v>
      </c>
      <c r="I127" s="382">
        <v>11907</v>
      </c>
      <c r="J127" s="382">
        <v>13</v>
      </c>
      <c r="K127" s="384">
        <v>119.16</v>
      </c>
      <c r="L127" s="384">
        <v>118.78</v>
      </c>
      <c r="M127" s="384">
        <v>12.11</v>
      </c>
      <c r="N127" s="384">
        <v>127.01</v>
      </c>
      <c r="O127" s="385">
        <v>8175</v>
      </c>
      <c r="P127" s="382">
        <v>115.11</v>
      </c>
      <c r="Q127" s="382">
        <v>104.72</v>
      </c>
      <c r="R127" s="382">
        <v>55.95</v>
      </c>
      <c r="S127" s="382">
        <v>160.91</v>
      </c>
      <c r="T127" s="382">
        <v>1207</v>
      </c>
      <c r="U127" s="382">
        <v>188.6</v>
      </c>
      <c r="V127" s="382">
        <v>689</v>
      </c>
      <c r="W127" s="382">
        <v>202.96</v>
      </c>
      <c r="X127" s="382">
        <v>33</v>
      </c>
      <c r="Y127" s="382">
        <v>13</v>
      </c>
      <c r="Z127" s="382">
        <v>0</v>
      </c>
      <c r="AA127" s="382">
        <v>4</v>
      </c>
      <c r="AB127" s="382">
        <v>59</v>
      </c>
      <c r="AC127" s="382">
        <v>38</v>
      </c>
      <c r="AD127" s="386">
        <v>9173</v>
      </c>
      <c r="AE127" s="386">
        <v>32</v>
      </c>
      <c r="AF127" s="386">
        <v>25</v>
      </c>
      <c r="AG127" s="386">
        <v>57</v>
      </c>
    </row>
    <row r="128" spans="1:33" x14ac:dyDescent="0.25">
      <c r="A128" s="381" t="s">
        <v>316</v>
      </c>
      <c r="B128" s="387" t="s">
        <v>317</v>
      </c>
      <c r="C128" s="383">
        <v>1409</v>
      </c>
      <c r="D128" s="383">
        <v>288</v>
      </c>
      <c r="E128" s="383">
        <v>166</v>
      </c>
      <c r="F128" s="383">
        <v>259</v>
      </c>
      <c r="G128" s="383">
        <v>334</v>
      </c>
      <c r="H128" s="383">
        <v>2456</v>
      </c>
      <c r="I128" s="382">
        <v>2122</v>
      </c>
      <c r="J128" s="382">
        <v>3</v>
      </c>
      <c r="K128" s="384">
        <v>101.57</v>
      </c>
      <c r="L128" s="384">
        <v>103.17</v>
      </c>
      <c r="M128" s="384">
        <v>7.6</v>
      </c>
      <c r="N128" s="384">
        <v>107.32</v>
      </c>
      <c r="O128" s="385">
        <v>1170</v>
      </c>
      <c r="P128" s="382">
        <v>89.51</v>
      </c>
      <c r="Q128" s="382">
        <v>86.34</v>
      </c>
      <c r="R128" s="382">
        <v>44.34</v>
      </c>
      <c r="S128" s="382">
        <v>129.53</v>
      </c>
      <c r="T128" s="382">
        <v>359</v>
      </c>
      <c r="U128" s="382">
        <v>150.32</v>
      </c>
      <c r="V128" s="382">
        <v>236</v>
      </c>
      <c r="W128" s="382">
        <v>0</v>
      </c>
      <c r="X128" s="382">
        <v>0</v>
      </c>
      <c r="Y128" s="382">
        <v>16</v>
      </c>
      <c r="Z128" s="382">
        <v>2</v>
      </c>
      <c r="AA128" s="382">
        <v>0</v>
      </c>
      <c r="AB128" s="382">
        <v>5</v>
      </c>
      <c r="AC128" s="382">
        <v>10</v>
      </c>
      <c r="AD128" s="386">
        <v>1396</v>
      </c>
      <c r="AE128" s="386">
        <v>10</v>
      </c>
      <c r="AF128" s="386">
        <v>134</v>
      </c>
      <c r="AG128" s="386">
        <v>144</v>
      </c>
    </row>
    <row r="129" spans="1:33" x14ac:dyDescent="0.25">
      <c r="A129" s="381" t="s">
        <v>318</v>
      </c>
      <c r="B129" s="387" t="s">
        <v>319</v>
      </c>
      <c r="C129" s="383">
        <v>2350</v>
      </c>
      <c r="D129" s="383">
        <v>21</v>
      </c>
      <c r="E129" s="383">
        <v>210</v>
      </c>
      <c r="F129" s="383">
        <v>407</v>
      </c>
      <c r="G129" s="383">
        <v>320</v>
      </c>
      <c r="H129" s="383">
        <v>3308</v>
      </c>
      <c r="I129" s="382">
        <v>2988</v>
      </c>
      <c r="J129" s="382">
        <v>21</v>
      </c>
      <c r="K129" s="384">
        <v>94.62</v>
      </c>
      <c r="L129" s="384">
        <v>92.1</v>
      </c>
      <c r="M129" s="384">
        <v>6.72</v>
      </c>
      <c r="N129" s="384">
        <v>99.14</v>
      </c>
      <c r="O129" s="385">
        <v>1654</v>
      </c>
      <c r="P129" s="382">
        <v>108.14</v>
      </c>
      <c r="Q129" s="382">
        <v>84.12</v>
      </c>
      <c r="R129" s="382">
        <v>44.13</v>
      </c>
      <c r="S129" s="382">
        <v>151.54</v>
      </c>
      <c r="T129" s="382">
        <v>480</v>
      </c>
      <c r="U129" s="382">
        <v>115.76</v>
      </c>
      <c r="V129" s="382">
        <v>556</v>
      </c>
      <c r="W129" s="382">
        <v>111.87</v>
      </c>
      <c r="X129" s="382">
        <v>11</v>
      </c>
      <c r="Y129" s="382">
        <v>0</v>
      </c>
      <c r="Z129" s="382">
        <v>1</v>
      </c>
      <c r="AA129" s="382">
        <v>3</v>
      </c>
      <c r="AB129" s="382">
        <v>22</v>
      </c>
      <c r="AC129" s="382">
        <v>4</v>
      </c>
      <c r="AD129" s="386">
        <v>2124</v>
      </c>
      <c r="AE129" s="386">
        <v>16</v>
      </c>
      <c r="AF129" s="386">
        <v>25</v>
      </c>
      <c r="AG129" s="386">
        <v>41</v>
      </c>
    </row>
    <row r="130" spans="1:33" x14ac:dyDescent="0.25">
      <c r="A130" s="381" t="s">
        <v>320</v>
      </c>
      <c r="B130" s="387" t="s">
        <v>321</v>
      </c>
      <c r="C130" s="383">
        <v>3404</v>
      </c>
      <c r="D130" s="383">
        <v>2</v>
      </c>
      <c r="E130" s="383">
        <v>380</v>
      </c>
      <c r="F130" s="383">
        <v>578</v>
      </c>
      <c r="G130" s="383">
        <v>969</v>
      </c>
      <c r="H130" s="383">
        <v>5333</v>
      </c>
      <c r="I130" s="382">
        <v>4364</v>
      </c>
      <c r="J130" s="382">
        <v>57</v>
      </c>
      <c r="K130" s="384">
        <v>132.13999999999999</v>
      </c>
      <c r="L130" s="384">
        <v>126.91</v>
      </c>
      <c r="M130" s="384">
        <v>9.6199999999999992</v>
      </c>
      <c r="N130" s="384">
        <v>138.86000000000001</v>
      </c>
      <c r="O130" s="385">
        <v>2781</v>
      </c>
      <c r="P130" s="382">
        <v>121.69</v>
      </c>
      <c r="Q130" s="382">
        <v>95.61</v>
      </c>
      <c r="R130" s="382">
        <v>38.93</v>
      </c>
      <c r="S130" s="382">
        <v>150.55000000000001</v>
      </c>
      <c r="T130" s="382">
        <v>576</v>
      </c>
      <c r="U130" s="382">
        <v>190.97</v>
      </c>
      <c r="V130" s="382">
        <v>403</v>
      </c>
      <c r="W130" s="382">
        <v>192.74</v>
      </c>
      <c r="X130" s="382">
        <v>28</v>
      </c>
      <c r="Y130" s="382">
        <v>0</v>
      </c>
      <c r="Z130" s="382">
        <v>1</v>
      </c>
      <c r="AA130" s="382">
        <v>0</v>
      </c>
      <c r="AB130" s="382">
        <v>36</v>
      </c>
      <c r="AC130" s="382">
        <v>33</v>
      </c>
      <c r="AD130" s="386">
        <v>3335</v>
      </c>
      <c r="AE130" s="386">
        <v>12</v>
      </c>
      <c r="AF130" s="386">
        <v>7</v>
      </c>
      <c r="AG130" s="386">
        <v>19</v>
      </c>
    </row>
    <row r="131" spans="1:33" x14ac:dyDescent="0.25">
      <c r="A131" s="381" t="s">
        <v>322</v>
      </c>
      <c r="B131" s="387" t="s">
        <v>323</v>
      </c>
      <c r="C131" s="383">
        <v>2893</v>
      </c>
      <c r="D131" s="383">
        <v>0</v>
      </c>
      <c r="E131" s="383">
        <v>48</v>
      </c>
      <c r="F131" s="383">
        <v>321</v>
      </c>
      <c r="G131" s="383">
        <v>631</v>
      </c>
      <c r="H131" s="383">
        <v>3893</v>
      </c>
      <c r="I131" s="382">
        <v>3262</v>
      </c>
      <c r="J131" s="382">
        <v>0</v>
      </c>
      <c r="K131" s="384">
        <v>116.3</v>
      </c>
      <c r="L131" s="384">
        <v>112.67</v>
      </c>
      <c r="M131" s="384">
        <v>5.92</v>
      </c>
      <c r="N131" s="384">
        <v>118.78</v>
      </c>
      <c r="O131" s="385">
        <v>2392</v>
      </c>
      <c r="P131" s="382">
        <v>99.92</v>
      </c>
      <c r="Q131" s="382">
        <v>101.67</v>
      </c>
      <c r="R131" s="382">
        <v>40.85</v>
      </c>
      <c r="S131" s="382">
        <v>139.08000000000001</v>
      </c>
      <c r="T131" s="382">
        <v>316</v>
      </c>
      <c r="U131" s="382">
        <v>165.25</v>
      </c>
      <c r="V131" s="382">
        <v>465</v>
      </c>
      <c r="W131" s="382">
        <v>117.8</v>
      </c>
      <c r="X131" s="382">
        <v>1</v>
      </c>
      <c r="Y131" s="382">
        <v>0</v>
      </c>
      <c r="Z131" s="382">
        <v>1</v>
      </c>
      <c r="AA131" s="382">
        <v>0</v>
      </c>
      <c r="AB131" s="382">
        <v>48</v>
      </c>
      <c r="AC131" s="382">
        <v>7</v>
      </c>
      <c r="AD131" s="386">
        <v>2893</v>
      </c>
      <c r="AE131" s="386">
        <v>14</v>
      </c>
      <c r="AF131" s="386">
        <v>1</v>
      </c>
      <c r="AG131" s="386">
        <v>15</v>
      </c>
    </row>
    <row r="132" spans="1:33" x14ac:dyDescent="0.25">
      <c r="A132" s="381" t="s">
        <v>324</v>
      </c>
      <c r="B132" s="387" t="s">
        <v>325</v>
      </c>
      <c r="C132" s="383">
        <v>7661</v>
      </c>
      <c r="D132" s="383">
        <v>0</v>
      </c>
      <c r="E132" s="383">
        <v>1459</v>
      </c>
      <c r="F132" s="383">
        <v>677</v>
      </c>
      <c r="G132" s="383">
        <v>231</v>
      </c>
      <c r="H132" s="383">
        <v>10028</v>
      </c>
      <c r="I132" s="382">
        <v>9797</v>
      </c>
      <c r="J132" s="382">
        <v>0</v>
      </c>
      <c r="K132" s="384">
        <v>81.14</v>
      </c>
      <c r="L132" s="384">
        <v>79.97</v>
      </c>
      <c r="M132" s="384">
        <v>5.5</v>
      </c>
      <c r="N132" s="384">
        <v>83.39</v>
      </c>
      <c r="O132" s="385">
        <v>6583</v>
      </c>
      <c r="P132" s="382">
        <v>80.8</v>
      </c>
      <c r="Q132" s="382">
        <v>79.78</v>
      </c>
      <c r="R132" s="382">
        <v>34.68</v>
      </c>
      <c r="S132" s="382">
        <v>100.8</v>
      </c>
      <c r="T132" s="382">
        <v>2027</v>
      </c>
      <c r="U132" s="382">
        <v>93.25</v>
      </c>
      <c r="V132" s="382">
        <v>1014</v>
      </c>
      <c r="W132" s="382">
        <v>103.82</v>
      </c>
      <c r="X132" s="382">
        <v>67</v>
      </c>
      <c r="Y132" s="382">
        <v>378</v>
      </c>
      <c r="Z132" s="382">
        <v>22</v>
      </c>
      <c r="AA132" s="382">
        <v>7</v>
      </c>
      <c r="AB132" s="382">
        <v>2</v>
      </c>
      <c r="AC132" s="382">
        <v>6</v>
      </c>
      <c r="AD132" s="386">
        <v>7635</v>
      </c>
      <c r="AE132" s="386">
        <v>127</v>
      </c>
      <c r="AF132" s="386">
        <v>36</v>
      </c>
      <c r="AG132" s="386">
        <v>163</v>
      </c>
    </row>
    <row r="133" spans="1:33" x14ac:dyDescent="0.25">
      <c r="A133" s="381" t="s">
        <v>326</v>
      </c>
      <c r="B133" s="387" t="s">
        <v>327</v>
      </c>
      <c r="C133" s="383">
        <v>5118</v>
      </c>
      <c r="D133" s="383">
        <v>0</v>
      </c>
      <c r="E133" s="383">
        <v>317</v>
      </c>
      <c r="F133" s="383">
        <v>713</v>
      </c>
      <c r="G133" s="383">
        <v>196</v>
      </c>
      <c r="H133" s="383">
        <v>6344</v>
      </c>
      <c r="I133" s="382">
        <v>6148</v>
      </c>
      <c r="J133" s="382">
        <v>7</v>
      </c>
      <c r="K133" s="384">
        <v>86.98</v>
      </c>
      <c r="L133" s="384">
        <v>86.41</v>
      </c>
      <c r="M133" s="384">
        <v>6.73</v>
      </c>
      <c r="N133" s="384">
        <v>92.79</v>
      </c>
      <c r="O133" s="385">
        <v>4306</v>
      </c>
      <c r="P133" s="382">
        <v>72.540000000000006</v>
      </c>
      <c r="Q133" s="382">
        <v>71.459999999999994</v>
      </c>
      <c r="R133" s="382">
        <v>38.159999999999997</v>
      </c>
      <c r="S133" s="382">
        <v>110.7</v>
      </c>
      <c r="T133" s="382">
        <v>796</v>
      </c>
      <c r="U133" s="382">
        <v>112.04</v>
      </c>
      <c r="V133" s="382">
        <v>734</v>
      </c>
      <c r="W133" s="382">
        <v>145.74</v>
      </c>
      <c r="X133" s="382">
        <v>140</v>
      </c>
      <c r="Y133" s="382">
        <v>40</v>
      </c>
      <c r="Z133" s="382">
        <v>3</v>
      </c>
      <c r="AA133" s="382">
        <v>2</v>
      </c>
      <c r="AB133" s="382">
        <v>13</v>
      </c>
      <c r="AC133" s="382">
        <v>6</v>
      </c>
      <c r="AD133" s="386">
        <v>5044</v>
      </c>
      <c r="AE133" s="386">
        <v>22</v>
      </c>
      <c r="AF133" s="386">
        <v>33</v>
      </c>
      <c r="AG133" s="386">
        <v>55</v>
      </c>
    </row>
    <row r="134" spans="1:33" x14ac:dyDescent="0.25">
      <c r="A134" s="381" t="s">
        <v>328</v>
      </c>
      <c r="B134" s="387" t="s">
        <v>329</v>
      </c>
      <c r="C134" s="383">
        <v>4450</v>
      </c>
      <c r="D134" s="383">
        <v>2</v>
      </c>
      <c r="E134" s="383">
        <v>238</v>
      </c>
      <c r="F134" s="383">
        <v>1017</v>
      </c>
      <c r="G134" s="383">
        <v>393</v>
      </c>
      <c r="H134" s="383">
        <v>6100</v>
      </c>
      <c r="I134" s="382">
        <v>5707</v>
      </c>
      <c r="J134" s="382">
        <v>0</v>
      </c>
      <c r="K134" s="384">
        <v>105.18</v>
      </c>
      <c r="L134" s="384">
        <v>100.13</v>
      </c>
      <c r="M134" s="384">
        <v>9.61</v>
      </c>
      <c r="N134" s="384">
        <v>109.73</v>
      </c>
      <c r="O134" s="385">
        <v>3579</v>
      </c>
      <c r="P134" s="382">
        <v>96.4</v>
      </c>
      <c r="Q134" s="382">
        <v>88.18</v>
      </c>
      <c r="R134" s="382">
        <v>19.78</v>
      </c>
      <c r="S134" s="382">
        <v>114.13</v>
      </c>
      <c r="T134" s="382">
        <v>1083</v>
      </c>
      <c r="U134" s="382">
        <v>141.84</v>
      </c>
      <c r="V134" s="382">
        <v>720</v>
      </c>
      <c r="W134" s="382">
        <v>158.22999999999999</v>
      </c>
      <c r="X134" s="382">
        <v>14</v>
      </c>
      <c r="Y134" s="382">
        <v>23</v>
      </c>
      <c r="Z134" s="382">
        <v>0</v>
      </c>
      <c r="AA134" s="382">
        <v>1</v>
      </c>
      <c r="AB134" s="382">
        <v>13</v>
      </c>
      <c r="AC134" s="382">
        <v>6</v>
      </c>
      <c r="AD134" s="386">
        <v>4395</v>
      </c>
      <c r="AE134" s="386">
        <v>8</v>
      </c>
      <c r="AF134" s="386">
        <v>8</v>
      </c>
      <c r="AG134" s="386">
        <v>16</v>
      </c>
    </row>
    <row r="135" spans="1:33" x14ac:dyDescent="0.25">
      <c r="A135" s="381" t="s">
        <v>330</v>
      </c>
      <c r="B135" s="387" t="s">
        <v>331</v>
      </c>
      <c r="C135" s="383">
        <v>3539</v>
      </c>
      <c r="D135" s="383">
        <v>354</v>
      </c>
      <c r="E135" s="383">
        <v>199</v>
      </c>
      <c r="F135" s="383">
        <v>497</v>
      </c>
      <c r="G135" s="383">
        <v>815</v>
      </c>
      <c r="H135" s="383">
        <v>5404</v>
      </c>
      <c r="I135" s="382">
        <v>4589</v>
      </c>
      <c r="J135" s="382">
        <v>15</v>
      </c>
      <c r="K135" s="384">
        <v>116.33</v>
      </c>
      <c r="L135" s="384">
        <v>116.71</v>
      </c>
      <c r="M135" s="384">
        <v>10.47</v>
      </c>
      <c r="N135" s="384">
        <v>124.56</v>
      </c>
      <c r="O135" s="385">
        <v>2420</v>
      </c>
      <c r="P135" s="382">
        <v>114.56</v>
      </c>
      <c r="Q135" s="382">
        <v>100.17</v>
      </c>
      <c r="R135" s="382">
        <v>39.4</v>
      </c>
      <c r="S135" s="382">
        <v>146.02000000000001</v>
      </c>
      <c r="T135" s="382">
        <v>640</v>
      </c>
      <c r="U135" s="382">
        <v>176.74</v>
      </c>
      <c r="V135" s="382">
        <v>954</v>
      </c>
      <c r="W135" s="382">
        <v>201.21</v>
      </c>
      <c r="X135" s="382">
        <v>38</v>
      </c>
      <c r="Y135" s="382">
        <v>0</v>
      </c>
      <c r="Z135" s="382">
        <v>2</v>
      </c>
      <c r="AA135" s="382">
        <v>4</v>
      </c>
      <c r="AB135" s="382">
        <v>40</v>
      </c>
      <c r="AC135" s="382">
        <v>17</v>
      </c>
      <c r="AD135" s="386">
        <v>3463</v>
      </c>
      <c r="AE135" s="386">
        <v>57</v>
      </c>
      <c r="AF135" s="386">
        <v>44</v>
      </c>
      <c r="AG135" s="386">
        <v>101</v>
      </c>
    </row>
    <row r="136" spans="1:33" x14ac:dyDescent="0.25">
      <c r="A136" s="381" t="s">
        <v>332</v>
      </c>
      <c r="B136" s="387" t="s">
        <v>333</v>
      </c>
      <c r="C136" s="383">
        <v>9165</v>
      </c>
      <c r="D136" s="383">
        <v>15</v>
      </c>
      <c r="E136" s="383">
        <v>343</v>
      </c>
      <c r="F136" s="383">
        <v>1754</v>
      </c>
      <c r="G136" s="383">
        <v>809</v>
      </c>
      <c r="H136" s="383">
        <v>12086</v>
      </c>
      <c r="I136" s="382">
        <v>11277</v>
      </c>
      <c r="J136" s="382">
        <v>14</v>
      </c>
      <c r="K136" s="384">
        <v>89.97</v>
      </c>
      <c r="L136" s="384">
        <v>88.17</v>
      </c>
      <c r="M136" s="384">
        <v>3.88</v>
      </c>
      <c r="N136" s="384">
        <v>91.53</v>
      </c>
      <c r="O136" s="385">
        <v>8397</v>
      </c>
      <c r="P136" s="382">
        <v>83.21</v>
      </c>
      <c r="Q136" s="382">
        <v>81.56</v>
      </c>
      <c r="R136" s="382">
        <v>35.700000000000003</v>
      </c>
      <c r="S136" s="382">
        <v>110.86</v>
      </c>
      <c r="T136" s="382">
        <v>2049</v>
      </c>
      <c r="U136" s="382">
        <v>104.74</v>
      </c>
      <c r="V136" s="382">
        <v>724</v>
      </c>
      <c r="W136" s="382">
        <v>179.66</v>
      </c>
      <c r="X136" s="382">
        <v>20</v>
      </c>
      <c r="Y136" s="382">
        <v>0</v>
      </c>
      <c r="Z136" s="382">
        <v>19</v>
      </c>
      <c r="AA136" s="382">
        <v>7</v>
      </c>
      <c r="AB136" s="382">
        <v>52</v>
      </c>
      <c r="AC136" s="382">
        <v>9</v>
      </c>
      <c r="AD136" s="386">
        <v>9126</v>
      </c>
      <c r="AE136" s="386">
        <v>40</v>
      </c>
      <c r="AF136" s="386">
        <v>90</v>
      </c>
      <c r="AG136" s="386">
        <v>130</v>
      </c>
    </row>
    <row r="137" spans="1:33" x14ac:dyDescent="0.25">
      <c r="A137" s="381" t="s">
        <v>334</v>
      </c>
      <c r="B137" s="387" t="s">
        <v>335</v>
      </c>
      <c r="C137" s="383">
        <v>6404</v>
      </c>
      <c r="D137" s="383">
        <v>24</v>
      </c>
      <c r="E137" s="383">
        <v>149</v>
      </c>
      <c r="F137" s="383">
        <v>850</v>
      </c>
      <c r="G137" s="383">
        <v>488</v>
      </c>
      <c r="H137" s="383">
        <v>7915</v>
      </c>
      <c r="I137" s="382">
        <v>7427</v>
      </c>
      <c r="J137" s="382">
        <v>7</v>
      </c>
      <c r="K137" s="384">
        <v>120.58</v>
      </c>
      <c r="L137" s="384">
        <v>122.32</v>
      </c>
      <c r="M137" s="384">
        <v>7.25</v>
      </c>
      <c r="N137" s="384">
        <v>124.64</v>
      </c>
      <c r="O137" s="385">
        <v>5443</v>
      </c>
      <c r="P137" s="382">
        <v>111.51</v>
      </c>
      <c r="Q137" s="382">
        <v>109.11</v>
      </c>
      <c r="R137" s="382">
        <v>31.15</v>
      </c>
      <c r="S137" s="382">
        <v>141.79</v>
      </c>
      <c r="T137" s="382">
        <v>965</v>
      </c>
      <c r="U137" s="382">
        <v>177.36</v>
      </c>
      <c r="V137" s="382">
        <v>785</v>
      </c>
      <c r="W137" s="382">
        <v>0</v>
      </c>
      <c r="X137" s="382">
        <v>0</v>
      </c>
      <c r="Y137" s="382">
        <v>0</v>
      </c>
      <c r="Z137" s="382">
        <v>1</v>
      </c>
      <c r="AA137" s="382">
        <v>1</v>
      </c>
      <c r="AB137" s="382">
        <v>22</v>
      </c>
      <c r="AC137" s="382">
        <v>10</v>
      </c>
      <c r="AD137" s="386">
        <v>6236</v>
      </c>
      <c r="AE137" s="386">
        <v>25</v>
      </c>
      <c r="AF137" s="386">
        <v>7</v>
      </c>
      <c r="AG137" s="386">
        <v>32</v>
      </c>
    </row>
    <row r="138" spans="1:33" x14ac:dyDescent="0.25">
      <c r="A138" s="381" t="s">
        <v>336</v>
      </c>
      <c r="B138" s="387" t="s">
        <v>337</v>
      </c>
      <c r="C138" s="383">
        <v>948</v>
      </c>
      <c r="D138" s="383">
        <v>1</v>
      </c>
      <c r="E138" s="383">
        <v>66</v>
      </c>
      <c r="F138" s="383">
        <v>336</v>
      </c>
      <c r="G138" s="383">
        <v>203</v>
      </c>
      <c r="H138" s="383">
        <v>1554</v>
      </c>
      <c r="I138" s="382">
        <v>1351</v>
      </c>
      <c r="J138" s="382">
        <v>0</v>
      </c>
      <c r="K138" s="384">
        <v>95.65</v>
      </c>
      <c r="L138" s="384">
        <v>93.38</v>
      </c>
      <c r="M138" s="384">
        <v>7.03</v>
      </c>
      <c r="N138" s="384">
        <v>99.44</v>
      </c>
      <c r="O138" s="385">
        <v>758</v>
      </c>
      <c r="P138" s="382">
        <v>88.88</v>
      </c>
      <c r="Q138" s="382">
        <v>79.97</v>
      </c>
      <c r="R138" s="382">
        <v>40.47</v>
      </c>
      <c r="S138" s="382">
        <v>127.12</v>
      </c>
      <c r="T138" s="382">
        <v>381</v>
      </c>
      <c r="U138" s="382">
        <v>108.1</v>
      </c>
      <c r="V138" s="382">
        <v>173</v>
      </c>
      <c r="W138" s="382">
        <v>0</v>
      </c>
      <c r="X138" s="382">
        <v>0</v>
      </c>
      <c r="Y138" s="382">
        <v>0</v>
      </c>
      <c r="Z138" s="382">
        <v>0</v>
      </c>
      <c r="AA138" s="382">
        <v>0</v>
      </c>
      <c r="AB138" s="382">
        <v>4</v>
      </c>
      <c r="AC138" s="382">
        <v>8</v>
      </c>
      <c r="AD138" s="386">
        <v>930</v>
      </c>
      <c r="AE138" s="386">
        <v>6</v>
      </c>
      <c r="AF138" s="386">
        <v>5</v>
      </c>
      <c r="AG138" s="386">
        <v>11</v>
      </c>
    </row>
    <row r="139" spans="1:33" x14ac:dyDescent="0.25">
      <c r="A139" s="381" t="s">
        <v>338</v>
      </c>
      <c r="B139" s="387" t="s">
        <v>339</v>
      </c>
      <c r="C139" s="383">
        <v>6532</v>
      </c>
      <c r="D139" s="383">
        <v>0</v>
      </c>
      <c r="E139" s="383">
        <v>560</v>
      </c>
      <c r="F139" s="383">
        <v>530</v>
      </c>
      <c r="G139" s="383">
        <v>1255</v>
      </c>
      <c r="H139" s="383">
        <v>8877</v>
      </c>
      <c r="I139" s="382">
        <v>7622</v>
      </c>
      <c r="J139" s="382">
        <v>70</v>
      </c>
      <c r="K139" s="384">
        <v>124.47</v>
      </c>
      <c r="L139" s="384">
        <v>122.4</v>
      </c>
      <c r="M139" s="384">
        <v>10.95</v>
      </c>
      <c r="N139" s="384">
        <v>131.84</v>
      </c>
      <c r="O139" s="385">
        <v>5488</v>
      </c>
      <c r="P139" s="382">
        <v>106.82</v>
      </c>
      <c r="Q139" s="382">
        <v>100.67</v>
      </c>
      <c r="R139" s="382">
        <v>39.14</v>
      </c>
      <c r="S139" s="382">
        <v>138.18</v>
      </c>
      <c r="T139" s="382">
        <v>840</v>
      </c>
      <c r="U139" s="382">
        <v>188.26</v>
      </c>
      <c r="V139" s="382">
        <v>865</v>
      </c>
      <c r="W139" s="382">
        <v>165.08</v>
      </c>
      <c r="X139" s="382">
        <v>51</v>
      </c>
      <c r="Y139" s="382">
        <v>0</v>
      </c>
      <c r="Z139" s="382">
        <v>4</v>
      </c>
      <c r="AA139" s="382">
        <v>3</v>
      </c>
      <c r="AB139" s="382">
        <v>14</v>
      </c>
      <c r="AC139" s="382">
        <v>35</v>
      </c>
      <c r="AD139" s="386">
        <v>6399</v>
      </c>
      <c r="AE139" s="386">
        <v>8</v>
      </c>
      <c r="AF139" s="386">
        <v>9</v>
      </c>
      <c r="AG139" s="386">
        <v>17</v>
      </c>
    </row>
    <row r="140" spans="1:33" x14ac:dyDescent="0.25">
      <c r="A140" s="381" t="s">
        <v>340</v>
      </c>
      <c r="B140" s="387" t="s">
        <v>341</v>
      </c>
      <c r="C140" s="383">
        <v>1847</v>
      </c>
      <c r="D140" s="383">
        <v>0</v>
      </c>
      <c r="E140" s="383">
        <v>111</v>
      </c>
      <c r="F140" s="383">
        <v>125</v>
      </c>
      <c r="G140" s="383">
        <v>343</v>
      </c>
      <c r="H140" s="383">
        <v>2426</v>
      </c>
      <c r="I140" s="382">
        <v>2083</v>
      </c>
      <c r="J140" s="382">
        <v>1</v>
      </c>
      <c r="K140" s="384">
        <v>90.35</v>
      </c>
      <c r="L140" s="384">
        <v>89.32</v>
      </c>
      <c r="M140" s="384">
        <v>6.02</v>
      </c>
      <c r="N140" s="384">
        <v>93.5</v>
      </c>
      <c r="O140" s="385">
        <v>1444</v>
      </c>
      <c r="P140" s="382">
        <v>114.29</v>
      </c>
      <c r="Q140" s="382">
        <v>76.540000000000006</v>
      </c>
      <c r="R140" s="382">
        <v>32.67</v>
      </c>
      <c r="S140" s="382">
        <v>146.94999999999999</v>
      </c>
      <c r="T140" s="382">
        <v>230</v>
      </c>
      <c r="U140" s="382">
        <v>102.13</v>
      </c>
      <c r="V140" s="382">
        <v>371</v>
      </c>
      <c r="W140" s="382">
        <v>0</v>
      </c>
      <c r="X140" s="382">
        <v>0</v>
      </c>
      <c r="Y140" s="382">
        <v>0</v>
      </c>
      <c r="Z140" s="382">
        <v>1</v>
      </c>
      <c r="AA140" s="382">
        <v>6</v>
      </c>
      <c r="AB140" s="382">
        <v>18</v>
      </c>
      <c r="AC140" s="382">
        <v>4</v>
      </c>
      <c r="AD140" s="386">
        <v>1847</v>
      </c>
      <c r="AE140" s="386">
        <v>6</v>
      </c>
      <c r="AF140" s="386">
        <v>32</v>
      </c>
      <c r="AG140" s="386">
        <v>38</v>
      </c>
    </row>
    <row r="141" spans="1:33" x14ac:dyDescent="0.25">
      <c r="A141" s="381" t="s">
        <v>342</v>
      </c>
      <c r="B141" s="387" t="s">
        <v>343</v>
      </c>
      <c r="C141" s="383">
        <v>5929</v>
      </c>
      <c r="D141" s="383">
        <v>0</v>
      </c>
      <c r="E141" s="383">
        <v>152</v>
      </c>
      <c r="F141" s="383">
        <v>1074</v>
      </c>
      <c r="G141" s="383">
        <v>734</v>
      </c>
      <c r="H141" s="383">
        <v>7889</v>
      </c>
      <c r="I141" s="382">
        <v>7155</v>
      </c>
      <c r="J141" s="382">
        <v>7</v>
      </c>
      <c r="K141" s="384">
        <v>110.82</v>
      </c>
      <c r="L141" s="384">
        <v>109.72</v>
      </c>
      <c r="M141" s="384">
        <v>4.1399999999999997</v>
      </c>
      <c r="N141" s="384">
        <v>113.34</v>
      </c>
      <c r="O141" s="385">
        <v>4672</v>
      </c>
      <c r="P141" s="382">
        <v>95.62</v>
      </c>
      <c r="Q141" s="382">
        <v>93.52</v>
      </c>
      <c r="R141" s="382">
        <v>28.56</v>
      </c>
      <c r="S141" s="382">
        <v>123.43</v>
      </c>
      <c r="T141" s="382">
        <v>996</v>
      </c>
      <c r="U141" s="382">
        <v>163.28</v>
      </c>
      <c r="V141" s="382">
        <v>1171</v>
      </c>
      <c r="W141" s="382">
        <v>182.79</v>
      </c>
      <c r="X141" s="382">
        <v>158</v>
      </c>
      <c r="Y141" s="382">
        <v>0</v>
      </c>
      <c r="Z141" s="382">
        <v>20</v>
      </c>
      <c r="AA141" s="382">
        <v>6</v>
      </c>
      <c r="AB141" s="382">
        <v>101</v>
      </c>
      <c r="AC141" s="382">
        <v>9</v>
      </c>
      <c r="AD141" s="386">
        <v>5864</v>
      </c>
      <c r="AE141" s="386">
        <v>29</v>
      </c>
      <c r="AF141" s="386">
        <v>34</v>
      </c>
      <c r="AG141" s="386">
        <v>63</v>
      </c>
    </row>
    <row r="142" spans="1:33" x14ac:dyDescent="0.25">
      <c r="A142" s="381" t="s">
        <v>344</v>
      </c>
      <c r="B142" s="387" t="s">
        <v>345</v>
      </c>
      <c r="C142" s="383">
        <v>7815</v>
      </c>
      <c r="D142" s="383">
        <v>23</v>
      </c>
      <c r="E142" s="383">
        <v>486</v>
      </c>
      <c r="F142" s="383">
        <v>164</v>
      </c>
      <c r="G142" s="383">
        <v>2213</v>
      </c>
      <c r="H142" s="383">
        <v>10701</v>
      </c>
      <c r="I142" s="382">
        <v>8488</v>
      </c>
      <c r="J142" s="382">
        <v>45</v>
      </c>
      <c r="K142" s="384">
        <v>123.32</v>
      </c>
      <c r="L142" s="384">
        <v>124.15</v>
      </c>
      <c r="M142" s="384">
        <v>9.9700000000000006</v>
      </c>
      <c r="N142" s="384">
        <v>131.12</v>
      </c>
      <c r="O142" s="385">
        <v>5853</v>
      </c>
      <c r="P142" s="382">
        <v>114.18</v>
      </c>
      <c r="Q142" s="382">
        <v>103.27</v>
      </c>
      <c r="R142" s="382">
        <v>101.6</v>
      </c>
      <c r="S142" s="382">
        <v>177.89</v>
      </c>
      <c r="T142" s="382">
        <v>303</v>
      </c>
      <c r="U142" s="382">
        <v>196.82</v>
      </c>
      <c r="V142" s="382">
        <v>1057</v>
      </c>
      <c r="W142" s="382">
        <v>221.79</v>
      </c>
      <c r="X142" s="382">
        <v>110</v>
      </c>
      <c r="Y142" s="382">
        <v>0</v>
      </c>
      <c r="Z142" s="382">
        <v>2</v>
      </c>
      <c r="AA142" s="382">
        <v>2</v>
      </c>
      <c r="AB142" s="382">
        <v>173</v>
      </c>
      <c r="AC142" s="382">
        <v>51</v>
      </c>
      <c r="AD142" s="386">
        <v>7233</v>
      </c>
      <c r="AE142" s="386">
        <v>13</v>
      </c>
      <c r="AF142" s="386">
        <v>46</v>
      </c>
      <c r="AG142" s="386">
        <v>59</v>
      </c>
    </row>
    <row r="143" spans="1:33" x14ac:dyDescent="0.25">
      <c r="A143" s="381" t="s">
        <v>346</v>
      </c>
      <c r="B143" s="387" t="s">
        <v>347</v>
      </c>
      <c r="C143" s="383">
        <v>8406</v>
      </c>
      <c r="D143" s="383">
        <v>20</v>
      </c>
      <c r="E143" s="383">
        <v>403</v>
      </c>
      <c r="F143" s="383">
        <v>1040</v>
      </c>
      <c r="G143" s="383">
        <v>695</v>
      </c>
      <c r="H143" s="383">
        <v>10564</v>
      </c>
      <c r="I143" s="382">
        <v>9869</v>
      </c>
      <c r="J143" s="382">
        <v>28</v>
      </c>
      <c r="K143" s="384">
        <v>95.17</v>
      </c>
      <c r="L143" s="384">
        <v>94.45</v>
      </c>
      <c r="M143" s="384">
        <v>4.68</v>
      </c>
      <c r="N143" s="384">
        <v>96.8</v>
      </c>
      <c r="O143" s="385">
        <v>7857</v>
      </c>
      <c r="P143" s="382">
        <v>90.68</v>
      </c>
      <c r="Q143" s="382">
        <v>84.77</v>
      </c>
      <c r="R143" s="382">
        <v>45.75</v>
      </c>
      <c r="S143" s="382">
        <v>133.53</v>
      </c>
      <c r="T143" s="382">
        <v>1344</v>
      </c>
      <c r="U143" s="382">
        <v>126.77</v>
      </c>
      <c r="V143" s="382">
        <v>418</v>
      </c>
      <c r="W143" s="382">
        <v>205.57</v>
      </c>
      <c r="X143" s="382">
        <v>46</v>
      </c>
      <c r="Y143" s="382">
        <v>0</v>
      </c>
      <c r="Z143" s="382">
        <v>21</v>
      </c>
      <c r="AA143" s="382">
        <v>14</v>
      </c>
      <c r="AB143" s="382">
        <v>53</v>
      </c>
      <c r="AC143" s="382">
        <v>14</v>
      </c>
      <c r="AD143" s="386">
        <v>8403</v>
      </c>
      <c r="AE143" s="386">
        <v>26</v>
      </c>
      <c r="AF143" s="386">
        <v>47</v>
      </c>
      <c r="AG143" s="386">
        <v>73</v>
      </c>
    </row>
    <row r="144" spans="1:33" x14ac:dyDescent="0.25">
      <c r="A144" s="381" t="s">
        <v>348</v>
      </c>
      <c r="B144" s="387" t="s">
        <v>349</v>
      </c>
      <c r="C144" s="383">
        <v>3019</v>
      </c>
      <c r="D144" s="383">
        <v>0</v>
      </c>
      <c r="E144" s="383">
        <v>317</v>
      </c>
      <c r="F144" s="383">
        <v>1604</v>
      </c>
      <c r="G144" s="383">
        <v>52</v>
      </c>
      <c r="H144" s="383">
        <v>4992</v>
      </c>
      <c r="I144" s="382">
        <v>4940</v>
      </c>
      <c r="J144" s="382">
        <v>126</v>
      </c>
      <c r="K144" s="384">
        <v>76.62</v>
      </c>
      <c r="L144" s="384">
        <v>77.59</v>
      </c>
      <c r="M144" s="384">
        <v>1.81</v>
      </c>
      <c r="N144" s="384">
        <v>77.569999999999993</v>
      </c>
      <c r="O144" s="385">
        <v>2914</v>
      </c>
      <c r="P144" s="382">
        <v>78.47</v>
      </c>
      <c r="Q144" s="382">
        <v>70.62</v>
      </c>
      <c r="R144" s="382">
        <v>26.26</v>
      </c>
      <c r="S144" s="382">
        <v>104.6</v>
      </c>
      <c r="T144" s="382">
        <v>1828</v>
      </c>
      <c r="U144" s="382">
        <v>90.13</v>
      </c>
      <c r="V144" s="382">
        <v>105</v>
      </c>
      <c r="W144" s="382">
        <v>237.78</v>
      </c>
      <c r="X144" s="382">
        <v>12</v>
      </c>
      <c r="Y144" s="382">
        <v>0</v>
      </c>
      <c r="Z144" s="382">
        <v>18</v>
      </c>
      <c r="AA144" s="382">
        <v>10</v>
      </c>
      <c r="AB144" s="382">
        <v>0</v>
      </c>
      <c r="AC144" s="382">
        <v>0</v>
      </c>
      <c r="AD144" s="386">
        <v>3019</v>
      </c>
      <c r="AE144" s="386">
        <v>18</v>
      </c>
      <c r="AF144" s="386">
        <v>5</v>
      </c>
      <c r="AG144" s="386">
        <v>23</v>
      </c>
    </row>
    <row r="145" spans="1:33" x14ac:dyDescent="0.25">
      <c r="A145" s="381" t="s">
        <v>350</v>
      </c>
      <c r="B145" s="387" t="s">
        <v>351</v>
      </c>
      <c r="C145" s="383">
        <v>3732</v>
      </c>
      <c r="D145" s="383">
        <v>0</v>
      </c>
      <c r="E145" s="383">
        <v>558</v>
      </c>
      <c r="F145" s="383">
        <v>711</v>
      </c>
      <c r="G145" s="383">
        <v>299</v>
      </c>
      <c r="H145" s="383">
        <v>5300</v>
      </c>
      <c r="I145" s="382">
        <v>5001</v>
      </c>
      <c r="J145" s="382">
        <v>1</v>
      </c>
      <c r="K145" s="384">
        <v>88.61</v>
      </c>
      <c r="L145" s="384">
        <v>88.88</v>
      </c>
      <c r="M145" s="384">
        <v>5.81</v>
      </c>
      <c r="N145" s="384">
        <v>92.99</v>
      </c>
      <c r="O145" s="385">
        <v>3019</v>
      </c>
      <c r="P145" s="382">
        <v>80.63</v>
      </c>
      <c r="Q145" s="382">
        <v>74</v>
      </c>
      <c r="R145" s="382">
        <v>58.35</v>
      </c>
      <c r="S145" s="382">
        <v>137.62</v>
      </c>
      <c r="T145" s="382">
        <v>1071</v>
      </c>
      <c r="U145" s="382">
        <v>99.59</v>
      </c>
      <c r="V145" s="382">
        <v>552</v>
      </c>
      <c r="W145" s="382">
        <v>101.04</v>
      </c>
      <c r="X145" s="382">
        <v>2</v>
      </c>
      <c r="Y145" s="382">
        <v>8</v>
      </c>
      <c r="Z145" s="382">
        <v>2</v>
      </c>
      <c r="AA145" s="382">
        <v>149</v>
      </c>
      <c r="AB145" s="382">
        <v>0</v>
      </c>
      <c r="AC145" s="382">
        <v>13</v>
      </c>
      <c r="AD145" s="386">
        <v>3629</v>
      </c>
      <c r="AE145" s="386">
        <v>12</v>
      </c>
      <c r="AF145" s="386">
        <v>28</v>
      </c>
      <c r="AG145" s="386">
        <v>40</v>
      </c>
    </row>
    <row r="146" spans="1:33" x14ac:dyDescent="0.25">
      <c r="A146" s="381" t="s">
        <v>352</v>
      </c>
      <c r="B146" s="387" t="s">
        <v>353</v>
      </c>
      <c r="C146" s="383">
        <v>6531</v>
      </c>
      <c r="D146" s="383">
        <v>0</v>
      </c>
      <c r="E146" s="383">
        <v>180</v>
      </c>
      <c r="F146" s="383">
        <v>394</v>
      </c>
      <c r="G146" s="383">
        <v>260</v>
      </c>
      <c r="H146" s="383">
        <v>7365</v>
      </c>
      <c r="I146" s="382">
        <v>7105</v>
      </c>
      <c r="J146" s="382">
        <v>16</v>
      </c>
      <c r="K146" s="384">
        <v>87.72</v>
      </c>
      <c r="L146" s="384">
        <v>85.84</v>
      </c>
      <c r="M146" s="384">
        <v>7.81</v>
      </c>
      <c r="N146" s="384">
        <v>92.57</v>
      </c>
      <c r="O146" s="385">
        <v>5728</v>
      </c>
      <c r="P146" s="382">
        <v>78.75</v>
      </c>
      <c r="Q146" s="382">
        <v>77.08</v>
      </c>
      <c r="R146" s="382">
        <v>39.36</v>
      </c>
      <c r="S146" s="382">
        <v>116.57</v>
      </c>
      <c r="T146" s="382">
        <v>538</v>
      </c>
      <c r="U146" s="382">
        <v>121.57</v>
      </c>
      <c r="V146" s="382">
        <v>303</v>
      </c>
      <c r="W146" s="382">
        <v>95.7</v>
      </c>
      <c r="X146" s="382">
        <v>14</v>
      </c>
      <c r="Y146" s="382">
        <v>12</v>
      </c>
      <c r="Z146" s="382">
        <v>10</v>
      </c>
      <c r="AA146" s="382">
        <v>1</v>
      </c>
      <c r="AB146" s="382">
        <v>0</v>
      </c>
      <c r="AC146" s="382">
        <v>5</v>
      </c>
      <c r="AD146" s="386">
        <v>6088</v>
      </c>
      <c r="AE146" s="386">
        <v>25</v>
      </c>
      <c r="AF146" s="386">
        <v>16</v>
      </c>
      <c r="AG146" s="386">
        <v>41</v>
      </c>
    </row>
    <row r="147" spans="1:33" x14ac:dyDescent="0.25">
      <c r="A147" s="381" t="s">
        <v>354</v>
      </c>
      <c r="B147" s="387" t="s">
        <v>355</v>
      </c>
      <c r="C147" s="383">
        <v>54</v>
      </c>
      <c r="D147" s="383">
        <v>0</v>
      </c>
      <c r="E147" s="383">
        <v>0</v>
      </c>
      <c r="F147" s="383">
        <v>7</v>
      </c>
      <c r="G147" s="383">
        <v>0</v>
      </c>
      <c r="H147" s="383">
        <v>61</v>
      </c>
      <c r="I147" s="382">
        <v>61</v>
      </c>
      <c r="J147" s="382">
        <v>0</v>
      </c>
      <c r="K147" s="384">
        <v>99.27</v>
      </c>
      <c r="L147" s="384">
        <v>103.2</v>
      </c>
      <c r="M147" s="384">
        <v>3.73</v>
      </c>
      <c r="N147" s="384">
        <v>100.38</v>
      </c>
      <c r="O147" s="385">
        <v>27</v>
      </c>
      <c r="P147" s="382">
        <v>81.760000000000005</v>
      </c>
      <c r="Q147" s="382">
        <v>86.48</v>
      </c>
      <c r="R147" s="382">
        <v>17.350000000000001</v>
      </c>
      <c r="S147" s="382">
        <v>96.63</v>
      </c>
      <c r="T147" s="382">
        <v>7</v>
      </c>
      <c r="U147" s="382">
        <v>115.08</v>
      </c>
      <c r="V147" s="382">
        <v>2</v>
      </c>
      <c r="W147" s="382">
        <v>0</v>
      </c>
      <c r="X147" s="382">
        <v>0</v>
      </c>
      <c r="Y147" s="382">
        <v>0</v>
      </c>
      <c r="Z147" s="382">
        <v>0</v>
      </c>
      <c r="AA147" s="382">
        <v>0</v>
      </c>
      <c r="AB147" s="382">
        <v>0</v>
      </c>
      <c r="AC147" s="382">
        <v>0</v>
      </c>
      <c r="AD147" s="386">
        <v>27</v>
      </c>
      <c r="AE147" s="386">
        <v>1</v>
      </c>
      <c r="AF147" s="386">
        <v>0</v>
      </c>
      <c r="AG147" s="386">
        <v>1</v>
      </c>
    </row>
    <row r="148" spans="1:33" x14ac:dyDescent="0.25">
      <c r="A148" s="381" t="s">
        <v>356</v>
      </c>
      <c r="B148" s="387" t="s">
        <v>357</v>
      </c>
      <c r="C148" s="383">
        <v>13760</v>
      </c>
      <c r="D148" s="383">
        <v>326</v>
      </c>
      <c r="E148" s="383">
        <v>1246</v>
      </c>
      <c r="F148" s="383">
        <v>761</v>
      </c>
      <c r="G148" s="383">
        <v>1396</v>
      </c>
      <c r="H148" s="383">
        <v>17489</v>
      </c>
      <c r="I148" s="382">
        <v>16093</v>
      </c>
      <c r="J148" s="382">
        <v>149</v>
      </c>
      <c r="K148" s="384">
        <v>124.54</v>
      </c>
      <c r="L148" s="384">
        <v>133.37</v>
      </c>
      <c r="M148" s="384">
        <v>13.97</v>
      </c>
      <c r="N148" s="384">
        <v>135.22999999999999</v>
      </c>
      <c r="O148" s="385">
        <v>11884</v>
      </c>
      <c r="P148" s="382">
        <v>115.14</v>
      </c>
      <c r="Q148" s="382">
        <v>117.78</v>
      </c>
      <c r="R148" s="382">
        <v>53.05</v>
      </c>
      <c r="S148" s="382">
        <v>160.88999999999999</v>
      </c>
      <c r="T148" s="382">
        <v>1686</v>
      </c>
      <c r="U148" s="382">
        <v>182.42</v>
      </c>
      <c r="V148" s="382">
        <v>534</v>
      </c>
      <c r="W148" s="382">
        <v>172.98</v>
      </c>
      <c r="X148" s="382">
        <v>2</v>
      </c>
      <c r="Y148" s="382">
        <v>0</v>
      </c>
      <c r="Z148" s="382">
        <v>21</v>
      </c>
      <c r="AA148" s="382">
        <v>52</v>
      </c>
      <c r="AB148" s="382">
        <v>46</v>
      </c>
      <c r="AC148" s="382">
        <v>34</v>
      </c>
      <c r="AD148" s="386">
        <v>12696</v>
      </c>
      <c r="AE148" s="386">
        <v>123</v>
      </c>
      <c r="AF148" s="386">
        <v>101</v>
      </c>
      <c r="AG148" s="386">
        <v>224</v>
      </c>
    </row>
    <row r="149" spans="1:33" x14ac:dyDescent="0.25">
      <c r="A149" s="381" t="s">
        <v>358</v>
      </c>
      <c r="B149" s="387" t="s">
        <v>359</v>
      </c>
      <c r="C149" s="383">
        <v>10875</v>
      </c>
      <c r="D149" s="383">
        <v>142</v>
      </c>
      <c r="E149" s="383">
        <v>928</v>
      </c>
      <c r="F149" s="383">
        <v>943</v>
      </c>
      <c r="G149" s="383">
        <v>580</v>
      </c>
      <c r="H149" s="383">
        <v>13468</v>
      </c>
      <c r="I149" s="382">
        <v>12888</v>
      </c>
      <c r="J149" s="382">
        <v>65</v>
      </c>
      <c r="K149" s="384">
        <v>126.37</v>
      </c>
      <c r="L149" s="384">
        <v>141.4</v>
      </c>
      <c r="M149" s="384">
        <v>12.12</v>
      </c>
      <c r="N149" s="384">
        <v>134.55000000000001</v>
      </c>
      <c r="O149" s="385">
        <v>9420</v>
      </c>
      <c r="P149" s="382">
        <v>114.16</v>
      </c>
      <c r="Q149" s="382">
        <v>121.27</v>
      </c>
      <c r="R149" s="382">
        <v>59.58</v>
      </c>
      <c r="S149" s="382">
        <v>161.62</v>
      </c>
      <c r="T149" s="382">
        <v>1459</v>
      </c>
      <c r="U149" s="382">
        <v>209.32</v>
      </c>
      <c r="V149" s="382">
        <v>620</v>
      </c>
      <c r="W149" s="382">
        <v>186.28</v>
      </c>
      <c r="X149" s="382">
        <v>34</v>
      </c>
      <c r="Y149" s="382">
        <v>5</v>
      </c>
      <c r="Z149" s="382">
        <v>0</v>
      </c>
      <c r="AA149" s="382">
        <v>0</v>
      </c>
      <c r="AB149" s="382">
        <v>0</v>
      </c>
      <c r="AC149" s="382">
        <v>9</v>
      </c>
      <c r="AD149" s="386">
        <v>10020</v>
      </c>
      <c r="AE149" s="386">
        <v>22</v>
      </c>
      <c r="AF149" s="386">
        <v>67</v>
      </c>
      <c r="AG149" s="386">
        <v>89</v>
      </c>
    </row>
    <row r="150" spans="1:33" x14ac:dyDescent="0.25">
      <c r="A150" s="381" t="s">
        <v>360</v>
      </c>
      <c r="B150" s="387" t="s">
        <v>361</v>
      </c>
      <c r="C150" s="383">
        <v>8481</v>
      </c>
      <c r="D150" s="383">
        <v>0</v>
      </c>
      <c r="E150" s="383">
        <v>278</v>
      </c>
      <c r="F150" s="383">
        <v>940</v>
      </c>
      <c r="G150" s="383">
        <v>217</v>
      </c>
      <c r="H150" s="383">
        <v>9916</v>
      </c>
      <c r="I150" s="382">
        <v>9699</v>
      </c>
      <c r="J150" s="382">
        <v>0</v>
      </c>
      <c r="K150" s="384">
        <v>83.13</v>
      </c>
      <c r="L150" s="384">
        <v>83.16</v>
      </c>
      <c r="M150" s="384">
        <v>4.3899999999999997</v>
      </c>
      <c r="N150" s="384">
        <v>84.59</v>
      </c>
      <c r="O150" s="385">
        <v>7781</v>
      </c>
      <c r="P150" s="382">
        <v>86.46</v>
      </c>
      <c r="Q150" s="382">
        <v>78.52</v>
      </c>
      <c r="R150" s="382">
        <v>25.86</v>
      </c>
      <c r="S150" s="382">
        <v>110.82</v>
      </c>
      <c r="T150" s="382">
        <v>1180</v>
      </c>
      <c r="U150" s="382">
        <v>103.38</v>
      </c>
      <c r="V150" s="382">
        <v>652</v>
      </c>
      <c r="W150" s="382">
        <v>94.93</v>
      </c>
      <c r="X150" s="382">
        <v>10</v>
      </c>
      <c r="Y150" s="382">
        <v>208</v>
      </c>
      <c r="Z150" s="382">
        <v>33</v>
      </c>
      <c r="AA150" s="382">
        <v>0</v>
      </c>
      <c r="AB150" s="382">
        <v>14</v>
      </c>
      <c r="AC150" s="382">
        <v>3</v>
      </c>
      <c r="AD150" s="386">
        <v>8466</v>
      </c>
      <c r="AE150" s="386">
        <v>40</v>
      </c>
      <c r="AF150" s="386">
        <v>89</v>
      </c>
      <c r="AG150" s="386">
        <v>129</v>
      </c>
    </row>
    <row r="151" spans="1:33" x14ac:dyDescent="0.25">
      <c r="A151" s="381" t="s">
        <v>362</v>
      </c>
      <c r="B151" s="387" t="s">
        <v>363</v>
      </c>
      <c r="C151" s="383">
        <v>7203</v>
      </c>
      <c r="D151" s="383">
        <v>5</v>
      </c>
      <c r="E151" s="383">
        <v>1004</v>
      </c>
      <c r="F151" s="383">
        <v>1100</v>
      </c>
      <c r="G151" s="383">
        <v>310</v>
      </c>
      <c r="H151" s="383">
        <v>9622</v>
      </c>
      <c r="I151" s="382">
        <v>9312</v>
      </c>
      <c r="J151" s="382">
        <v>1</v>
      </c>
      <c r="K151" s="384">
        <v>80.989999999999995</v>
      </c>
      <c r="L151" s="384">
        <v>80.11</v>
      </c>
      <c r="M151" s="384">
        <v>7.02</v>
      </c>
      <c r="N151" s="384">
        <v>86.48</v>
      </c>
      <c r="O151" s="385">
        <v>6135</v>
      </c>
      <c r="P151" s="382">
        <v>78.88</v>
      </c>
      <c r="Q151" s="382">
        <v>75.72</v>
      </c>
      <c r="R151" s="382">
        <v>50.58</v>
      </c>
      <c r="S151" s="382">
        <v>128.24</v>
      </c>
      <c r="T151" s="382">
        <v>1566</v>
      </c>
      <c r="U151" s="382">
        <v>94.96</v>
      </c>
      <c r="V151" s="382">
        <v>920</v>
      </c>
      <c r="W151" s="382">
        <v>227.3</v>
      </c>
      <c r="X151" s="382">
        <v>30</v>
      </c>
      <c r="Y151" s="382">
        <v>0</v>
      </c>
      <c r="Z151" s="382">
        <v>9</v>
      </c>
      <c r="AA151" s="382">
        <v>16</v>
      </c>
      <c r="AB151" s="382">
        <v>8</v>
      </c>
      <c r="AC151" s="382">
        <v>5</v>
      </c>
      <c r="AD151" s="386">
        <v>7042</v>
      </c>
      <c r="AE151" s="386">
        <v>52</v>
      </c>
      <c r="AF151" s="386">
        <v>32</v>
      </c>
      <c r="AG151" s="386">
        <v>84</v>
      </c>
    </row>
    <row r="152" spans="1:33" x14ac:dyDescent="0.25">
      <c r="A152" s="381" t="s">
        <v>364</v>
      </c>
      <c r="B152" s="387" t="s">
        <v>365</v>
      </c>
      <c r="C152" s="383">
        <v>2177</v>
      </c>
      <c r="D152" s="383">
        <v>89</v>
      </c>
      <c r="E152" s="383">
        <v>304</v>
      </c>
      <c r="F152" s="383">
        <v>219</v>
      </c>
      <c r="G152" s="383">
        <v>317</v>
      </c>
      <c r="H152" s="383">
        <v>3106</v>
      </c>
      <c r="I152" s="382">
        <v>2789</v>
      </c>
      <c r="J152" s="382">
        <v>16</v>
      </c>
      <c r="K152" s="384">
        <v>127.33</v>
      </c>
      <c r="L152" s="384">
        <v>129.22999999999999</v>
      </c>
      <c r="M152" s="384">
        <v>10.81</v>
      </c>
      <c r="N152" s="384">
        <v>136.58000000000001</v>
      </c>
      <c r="O152" s="385">
        <v>1584</v>
      </c>
      <c r="P152" s="382">
        <v>129.66</v>
      </c>
      <c r="Q152" s="382">
        <v>102.79</v>
      </c>
      <c r="R152" s="382">
        <v>44.88</v>
      </c>
      <c r="S152" s="382">
        <v>174.54</v>
      </c>
      <c r="T152" s="382">
        <v>328</v>
      </c>
      <c r="U152" s="382">
        <v>218.27</v>
      </c>
      <c r="V152" s="382">
        <v>327</v>
      </c>
      <c r="W152" s="382">
        <v>0</v>
      </c>
      <c r="X152" s="382">
        <v>0</v>
      </c>
      <c r="Y152" s="382">
        <v>0</v>
      </c>
      <c r="Z152" s="382">
        <v>0</v>
      </c>
      <c r="AA152" s="382">
        <v>7</v>
      </c>
      <c r="AB152" s="382">
        <v>23</v>
      </c>
      <c r="AC152" s="382">
        <v>6</v>
      </c>
      <c r="AD152" s="386">
        <v>1914</v>
      </c>
      <c r="AE152" s="386">
        <v>21</v>
      </c>
      <c r="AF152" s="386">
        <v>10</v>
      </c>
      <c r="AG152" s="386">
        <v>31</v>
      </c>
    </row>
    <row r="153" spans="1:33" x14ac:dyDescent="0.25">
      <c r="A153" s="381" t="s">
        <v>366</v>
      </c>
      <c r="B153" s="387" t="s">
        <v>367</v>
      </c>
      <c r="C153" s="383">
        <v>4194</v>
      </c>
      <c r="D153" s="383">
        <v>26</v>
      </c>
      <c r="E153" s="383">
        <v>384</v>
      </c>
      <c r="F153" s="383">
        <v>1258</v>
      </c>
      <c r="G153" s="383">
        <v>314</v>
      </c>
      <c r="H153" s="383">
        <v>6176</v>
      </c>
      <c r="I153" s="382">
        <v>5862</v>
      </c>
      <c r="J153" s="382">
        <v>8</v>
      </c>
      <c r="K153" s="384">
        <v>84.59</v>
      </c>
      <c r="L153" s="384">
        <v>82.21</v>
      </c>
      <c r="M153" s="384">
        <v>5.57</v>
      </c>
      <c r="N153" s="384">
        <v>88.79</v>
      </c>
      <c r="O153" s="385">
        <v>3548</v>
      </c>
      <c r="P153" s="382">
        <v>79.069999999999993</v>
      </c>
      <c r="Q153" s="382">
        <v>75.22</v>
      </c>
      <c r="R153" s="382">
        <v>35.97</v>
      </c>
      <c r="S153" s="382">
        <v>114.47</v>
      </c>
      <c r="T153" s="382">
        <v>1466</v>
      </c>
      <c r="U153" s="382">
        <v>95.81</v>
      </c>
      <c r="V153" s="382">
        <v>535</v>
      </c>
      <c r="W153" s="382">
        <v>98.43</v>
      </c>
      <c r="X153" s="382">
        <v>30</v>
      </c>
      <c r="Y153" s="382">
        <v>0</v>
      </c>
      <c r="Z153" s="382">
        <v>8</v>
      </c>
      <c r="AA153" s="382">
        <v>22</v>
      </c>
      <c r="AB153" s="382">
        <v>28</v>
      </c>
      <c r="AC153" s="382">
        <v>6</v>
      </c>
      <c r="AD153" s="386">
        <v>4184</v>
      </c>
      <c r="AE153" s="386">
        <v>21</v>
      </c>
      <c r="AF153" s="386">
        <v>12</v>
      </c>
      <c r="AG153" s="386">
        <v>33</v>
      </c>
    </row>
    <row r="154" spans="1:33" x14ac:dyDescent="0.25">
      <c r="A154" s="381" t="s">
        <v>368</v>
      </c>
      <c r="B154" s="387" t="s">
        <v>369</v>
      </c>
      <c r="C154" s="383">
        <v>16070</v>
      </c>
      <c r="D154" s="383">
        <v>9</v>
      </c>
      <c r="E154" s="383">
        <v>679</v>
      </c>
      <c r="F154" s="383">
        <v>1396</v>
      </c>
      <c r="G154" s="383">
        <v>357</v>
      </c>
      <c r="H154" s="383">
        <v>18511</v>
      </c>
      <c r="I154" s="382">
        <v>18154</v>
      </c>
      <c r="J154" s="382">
        <v>12</v>
      </c>
      <c r="K154" s="384">
        <v>83.47</v>
      </c>
      <c r="L154" s="384">
        <v>83.33</v>
      </c>
      <c r="M154" s="384">
        <v>11.18</v>
      </c>
      <c r="N154" s="384">
        <v>86.1</v>
      </c>
      <c r="O154" s="385">
        <v>14605</v>
      </c>
      <c r="P154" s="382">
        <v>84.78</v>
      </c>
      <c r="Q154" s="382">
        <v>75.84</v>
      </c>
      <c r="R154" s="382">
        <v>30.79</v>
      </c>
      <c r="S154" s="382">
        <v>111.16</v>
      </c>
      <c r="T154" s="382">
        <v>1662</v>
      </c>
      <c r="U154" s="382">
        <v>105.04</v>
      </c>
      <c r="V154" s="382">
        <v>1131</v>
      </c>
      <c r="W154" s="382">
        <v>141.91</v>
      </c>
      <c r="X154" s="382">
        <v>206</v>
      </c>
      <c r="Y154" s="382">
        <v>0</v>
      </c>
      <c r="Z154" s="382">
        <v>113</v>
      </c>
      <c r="AA154" s="382">
        <v>1</v>
      </c>
      <c r="AB154" s="382">
        <v>72</v>
      </c>
      <c r="AC154" s="382">
        <v>10</v>
      </c>
      <c r="AD154" s="386">
        <v>15821</v>
      </c>
      <c r="AE154" s="386">
        <v>240</v>
      </c>
      <c r="AF154" s="386">
        <v>145</v>
      </c>
      <c r="AG154" s="386">
        <v>385</v>
      </c>
    </row>
    <row r="155" spans="1:33" x14ac:dyDescent="0.25">
      <c r="A155" s="381" t="s">
        <v>370</v>
      </c>
      <c r="B155" s="387" t="s">
        <v>371</v>
      </c>
      <c r="C155" s="383">
        <v>21145</v>
      </c>
      <c r="D155" s="383">
        <v>97</v>
      </c>
      <c r="E155" s="383">
        <v>1818</v>
      </c>
      <c r="F155" s="383">
        <v>1405</v>
      </c>
      <c r="G155" s="383">
        <v>2255</v>
      </c>
      <c r="H155" s="383">
        <v>26720</v>
      </c>
      <c r="I155" s="382">
        <v>24465</v>
      </c>
      <c r="J155" s="382">
        <v>287</v>
      </c>
      <c r="K155" s="384">
        <v>117.27</v>
      </c>
      <c r="L155" s="384">
        <v>123.18</v>
      </c>
      <c r="M155" s="384">
        <v>13.46</v>
      </c>
      <c r="N155" s="384">
        <v>128.49</v>
      </c>
      <c r="O155" s="385">
        <v>18595</v>
      </c>
      <c r="P155" s="382">
        <v>112.64</v>
      </c>
      <c r="Q155" s="382">
        <v>108.83</v>
      </c>
      <c r="R155" s="382">
        <v>55.15</v>
      </c>
      <c r="S155" s="382">
        <v>156.69999999999999</v>
      </c>
      <c r="T155" s="382">
        <v>2947</v>
      </c>
      <c r="U155" s="382">
        <v>185.7</v>
      </c>
      <c r="V155" s="382">
        <v>1324</v>
      </c>
      <c r="W155" s="382">
        <v>187.78</v>
      </c>
      <c r="X155" s="382">
        <v>72</v>
      </c>
      <c r="Y155" s="382">
        <v>24</v>
      </c>
      <c r="Z155" s="382">
        <v>3</v>
      </c>
      <c r="AA155" s="382">
        <v>22</v>
      </c>
      <c r="AB155" s="382">
        <v>106</v>
      </c>
      <c r="AC155" s="382">
        <v>54</v>
      </c>
      <c r="AD155" s="386">
        <v>20012</v>
      </c>
      <c r="AE155" s="386">
        <v>113</v>
      </c>
      <c r="AF155" s="386">
        <v>144</v>
      </c>
      <c r="AG155" s="386">
        <v>257</v>
      </c>
    </row>
    <row r="156" spans="1:33" x14ac:dyDescent="0.25">
      <c r="A156" s="381" t="s">
        <v>372</v>
      </c>
      <c r="B156" s="387" t="s">
        <v>373</v>
      </c>
      <c r="C156" s="383">
        <v>1983</v>
      </c>
      <c r="D156" s="383">
        <v>0</v>
      </c>
      <c r="E156" s="383">
        <v>372</v>
      </c>
      <c r="F156" s="383">
        <v>494</v>
      </c>
      <c r="G156" s="383">
        <v>251</v>
      </c>
      <c r="H156" s="383">
        <v>3100</v>
      </c>
      <c r="I156" s="382">
        <v>2849</v>
      </c>
      <c r="J156" s="382">
        <v>0</v>
      </c>
      <c r="K156" s="384">
        <v>83.5</v>
      </c>
      <c r="L156" s="384">
        <v>79.98</v>
      </c>
      <c r="M156" s="384">
        <v>5.81</v>
      </c>
      <c r="N156" s="384">
        <v>88.64</v>
      </c>
      <c r="O156" s="385">
        <v>1334</v>
      </c>
      <c r="P156" s="382">
        <v>88.17</v>
      </c>
      <c r="Q156" s="382">
        <v>73.11</v>
      </c>
      <c r="R156" s="382">
        <v>57.78</v>
      </c>
      <c r="S156" s="382">
        <v>145.94</v>
      </c>
      <c r="T156" s="382">
        <v>738</v>
      </c>
      <c r="U156" s="382">
        <v>103.28</v>
      </c>
      <c r="V156" s="382">
        <v>575</v>
      </c>
      <c r="W156" s="382">
        <v>135.66999999999999</v>
      </c>
      <c r="X156" s="382">
        <v>12</v>
      </c>
      <c r="Y156" s="382">
        <v>4</v>
      </c>
      <c r="Z156" s="382">
        <v>0</v>
      </c>
      <c r="AA156" s="382">
        <v>1</v>
      </c>
      <c r="AB156" s="382">
        <v>28</v>
      </c>
      <c r="AC156" s="382">
        <v>7</v>
      </c>
      <c r="AD156" s="386">
        <v>1941</v>
      </c>
      <c r="AE156" s="386">
        <v>25</v>
      </c>
      <c r="AF156" s="386">
        <v>5</v>
      </c>
      <c r="AG156" s="386">
        <v>30</v>
      </c>
    </row>
    <row r="157" spans="1:33" x14ac:dyDescent="0.25">
      <c r="A157" s="381" t="s">
        <v>374</v>
      </c>
      <c r="B157" s="387" t="s">
        <v>375</v>
      </c>
      <c r="C157" s="383">
        <v>13148</v>
      </c>
      <c r="D157" s="383">
        <v>59</v>
      </c>
      <c r="E157" s="383">
        <v>1336</v>
      </c>
      <c r="F157" s="383">
        <v>2744</v>
      </c>
      <c r="G157" s="383">
        <v>1263</v>
      </c>
      <c r="H157" s="383">
        <v>18550</v>
      </c>
      <c r="I157" s="382">
        <v>17287</v>
      </c>
      <c r="J157" s="382">
        <v>9</v>
      </c>
      <c r="K157" s="384">
        <v>83.22</v>
      </c>
      <c r="L157" s="384">
        <v>81.739999999999995</v>
      </c>
      <c r="M157" s="384">
        <v>7.03</v>
      </c>
      <c r="N157" s="384">
        <v>87.69</v>
      </c>
      <c r="O157" s="385">
        <v>11027</v>
      </c>
      <c r="P157" s="382">
        <v>92.61</v>
      </c>
      <c r="Q157" s="382">
        <v>75.83</v>
      </c>
      <c r="R157" s="382">
        <v>47.89</v>
      </c>
      <c r="S157" s="382">
        <v>137.74</v>
      </c>
      <c r="T157" s="382">
        <v>3216</v>
      </c>
      <c r="U157" s="382">
        <v>104.08</v>
      </c>
      <c r="V157" s="382">
        <v>1267</v>
      </c>
      <c r="W157" s="382">
        <v>110.01</v>
      </c>
      <c r="X157" s="382">
        <v>23</v>
      </c>
      <c r="Y157" s="382">
        <v>10</v>
      </c>
      <c r="Z157" s="382">
        <v>9</v>
      </c>
      <c r="AA157" s="382">
        <v>65</v>
      </c>
      <c r="AB157" s="382">
        <v>100</v>
      </c>
      <c r="AC157" s="382">
        <v>46</v>
      </c>
      <c r="AD157" s="386">
        <v>12775</v>
      </c>
      <c r="AE157" s="386">
        <v>125</v>
      </c>
      <c r="AF157" s="386">
        <v>48</v>
      </c>
      <c r="AG157" s="386">
        <v>173</v>
      </c>
    </row>
    <row r="158" spans="1:33" x14ac:dyDescent="0.25">
      <c r="A158" s="381" t="s">
        <v>376</v>
      </c>
      <c r="B158" s="387" t="s">
        <v>377</v>
      </c>
      <c r="C158" s="383">
        <v>8616</v>
      </c>
      <c r="D158" s="383">
        <v>0</v>
      </c>
      <c r="E158" s="383">
        <v>919</v>
      </c>
      <c r="F158" s="383">
        <v>891</v>
      </c>
      <c r="G158" s="383">
        <v>578</v>
      </c>
      <c r="H158" s="383">
        <v>11004</v>
      </c>
      <c r="I158" s="382">
        <v>10426</v>
      </c>
      <c r="J158" s="382">
        <v>7</v>
      </c>
      <c r="K158" s="384">
        <v>83.47</v>
      </c>
      <c r="L158" s="384">
        <v>82.21</v>
      </c>
      <c r="M158" s="384">
        <v>8.5</v>
      </c>
      <c r="N158" s="384">
        <v>89.12</v>
      </c>
      <c r="O158" s="385">
        <v>7251</v>
      </c>
      <c r="P158" s="382">
        <v>92.07</v>
      </c>
      <c r="Q158" s="382">
        <v>77.2</v>
      </c>
      <c r="R158" s="382">
        <v>47.27</v>
      </c>
      <c r="S158" s="382">
        <v>138.06</v>
      </c>
      <c r="T158" s="382">
        <v>1515</v>
      </c>
      <c r="U158" s="382">
        <v>107.72</v>
      </c>
      <c r="V158" s="382">
        <v>971</v>
      </c>
      <c r="W158" s="382">
        <v>108.71</v>
      </c>
      <c r="X158" s="382">
        <v>86</v>
      </c>
      <c r="Y158" s="382">
        <v>0</v>
      </c>
      <c r="Z158" s="382">
        <v>8</v>
      </c>
      <c r="AA158" s="382">
        <v>43</v>
      </c>
      <c r="AB158" s="382">
        <v>30</v>
      </c>
      <c r="AC158" s="382">
        <v>18</v>
      </c>
      <c r="AD158" s="386">
        <v>8372</v>
      </c>
      <c r="AE158" s="386">
        <v>25</v>
      </c>
      <c r="AF158" s="386">
        <v>28</v>
      </c>
      <c r="AG158" s="386">
        <v>53</v>
      </c>
    </row>
    <row r="159" spans="1:33" x14ac:dyDescent="0.25">
      <c r="A159" s="381" t="s">
        <v>378</v>
      </c>
      <c r="B159" s="387" t="s">
        <v>379</v>
      </c>
      <c r="C159" s="383">
        <v>1125</v>
      </c>
      <c r="D159" s="383">
        <v>0</v>
      </c>
      <c r="E159" s="383">
        <v>172</v>
      </c>
      <c r="F159" s="383">
        <v>334</v>
      </c>
      <c r="G159" s="383">
        <v>275</v>
      </c>
      <c r="H159" s="383">
        <v>1906</v>
      </c>
      <c r="I159" s="382">
        <v>1631</v>
      </c>
      <c r="J159" s="382">
        <v>1</v>
      </c>
      <c r="K159" s="384">
        <v>91.6</v>
      </c>
      <c r="L159" s="384">
        <v>90.43</v>
      </c>
      <c r="M159" s="384">
        <v>9.3000000000000007</v>
      </c>
      <c r="N159" s="384">
        <v>99.81</v>
      </c>
      <c r="O159" s="385">
        <v>952</v>
      </c>
      <c r="P159" s="382">
        <v>84.72</v>
      </c>
      <c r="Q159" s="382">
        <v>80.92</v>
      </c>
      <c r="R159" s="382">
        <v>64.12</v>
      </c>
      <c r="S159" s="382">
        <v>148.21</v>
      </c>
      <c r="T159" s="382">
        <v>202</v>
      </c>
      <c r="U159" s="382">
        <v>156.34</v>
      </c>
      <c r="V159" s="382">
        <v>148</v>
      </c>
      <c r="W159" s="382">
        <v>146.47</v>
      </c>
      <c r="X159" s="382">
        <v>9</v>
      </c>
      <c r="Y159" s="382">
        <v>0</v>
      </c>
      <c r="Z159" s="382">
        <v>4</v>
      </c>
      <c r="AA159" s="382">
        <v>0</v>
      </c>
      <c r="AB159" s="382">
        <v>42</v>
      </c>
      <c r="AC159" s="382">
        <v>10</v>
      </c>
      <c r="AD159" s="386">
        <v>1111</v>
      </c>
      <c r="AE159" s="386">
        <v>4</v>
      </c>
      <c r="AF159" s="386">
        <v>5</v>
      </c>
      <c r="AG159" s="386">
        <v>9</v>
      </c>
    </row>
    <row r="160" spans="1:33" x14ac:dyDescent="0.25">
      <c r="A160" s="381" t="s">
        <v>380</v>
      </c>
      <c r="B160" s="387" t="s">
        <v>381</v>
      </c>
      <c r="C160" s="383">
        <v>21080</v>
      </c>
      <c r="D160" s="383">
        <v>192</v>
      </c>
      <c r="E160" s="383">
        <v>1213</v>
      </c>
      <c r="F160" s="383">
        <v>619</v>
      </c>
      <c r="G160" s="383">
        <v>1833</v>
      </c>
      <c r="H160" s="383">
        <v>24937</v>
      </c>
      <c r="I160" s="382">
        <v>23104</v>
      </c>
      <c r="J160" s="382">
        <v>124</v>
      </c>
      <c r="K160" s="384">
        <v>109.32</v>
      </c>
      <c r="L160" s="384">
        <v>111.61</v>
      </c>
      <c r="M160" s="384">
        <v>11.3</v>
      </c>
      <c r="N160" s="384">
        <v>116.24</v>
      </c>
      <c r="O160" s="385">
        <v>18548</v>
      </c>
      <c r="P160" s="382">
        <v>106.26</v>
      </c>
      <c r="Q160" s="382">
        <v>105.16</v>
      </c>
      <c r="R160" s="382">
        <v>68.599999999999994</v>
      </c>
      <c r="S160" s="382">
        <v>163.87</v>
      </c>
      <c r="T160" s="382">
        <v>1585</v>
      </c>
      <c r="U160" s="382">
        <v>175.58</v>
      </c>
      <c r="V160" s="382">
        <v>1405</v>
      </c>
      <c r="W160" s="382">
        <v>259.60000000000002</v>
      </c>
      <c r="X160" s="382">
        <v>126</v>
      </c>
      <c r="Y160" s="382">
        <v>0</v>
      </c>
      <c r="Z160" s="382">
        <v>18</v>
      </c>
      <c r="AA160" s="382">
        <v>6</v>
      </c>
      <c r="AB160" s="382">
        <v>51</v>
      </c>
      <c r="AC160" s="382">
        <v>66</v>
      </c>
      <c r="AD160" s="386">
        <v>20021</v>
      </c>
      <c r="AE160" s="386">
        <v>159</v>
      </c>
      <c r="AF160" s="386">
        <v>172</v>
      </c>
      <c r="AG160" s="386">
        <v>331</v>
      </c>
    </row>
    <row r="161" spans="1:33" x14ac:dyDescent="0.25">
      <c r="A161" s="381" t="s">
        <v>382</v>
      </c>
      <c r="B161" s="387" t="s">
        <v>383</v>
      </c>
      <c r="C161" s="383">
        <v>5447</v>
      </c>
      <c r="D161" s="383">
        <v>16</v>
      </c>
      <c r="E161" s="383">
        <v>132</v>
      </c>
      <c r="F161" s="383">
        <v>269</v>
      </c>
      <c r="G161" s="383">
        <v>325</v>
      </c>
      <c r="H161" s="383">
        <v>6189</v>
      </c>
      <c r="I161" s="382">
        <v>5864</v>
      </c>
      <c r="J161" s="382">
        <v>0</v>
      </c>
      <c r="K161" s="384">
        <v>87.87</v>
      </c>
      <c r="L161" s="384">
        <v>84.3</v>
      </c>
      <c r="M161" s="384">
        <v>2.92</v>
      </c>
      <c r="N161" s="384">
        <v>90.01</v>
      </c>
      <c r="O161" s="385">
        <v>4963</v>
      </c>
      <c r="P161" s="382">
        <v>97.5</v>
      </c>
      <c r="Q161" s="382">
        <v>89.34</v>
      </c>
      <c r="R161" s="382">
        <v>33.22</v>
      </c>
      <c r="S161" s="382">
        <v>128.65</v>
      </c>
      <c r="T161" s="382">
        <v>401</v>
      </c>
      <c r="U161" s="382">
        <v>109.78</v>
      </c>
      <c r="V161" s="382">
        <v>461</v>
      </c>
      <c r="W161" s="382">
        <v>0</v>
      </c>
      <c r="X161" s="382">
        <v>0</v>
      </c>
      <c r="Y161" s="382">
        <v>0</v>
      </c>
      <c r="Z161" s="382">
        <v>19</v>
      </c>
      <c r="AA161" s="382">
        <v>8</v>
      </c>
      <c r="AB161" s="382">
        <v>79</v>
      </c>
      <c r="AC161" s="382">
        <v>9</v>
      </c>
      <c r="AD161" s="386">
        <v>5445</v>
      </c>
      <c r="AE161" s="386">
        <v>22</v>
      </c>
      <c r="AF161" s="386">
        <v>31</v>
      </c>
      <c r="AG161" s="386">
        <v>53</v>
      </c>
    </row>
    <row r="162" spans="1:33" x14ac:dyDescent="0.25">
      <c r="A162" s="381" t="s">
        <v>384</v>
      </c>
      <c r="B162" s="387" t="s">
        <v>385</v>
      </c>
      <c r="C162" s="383">
        <v>1314</v>
      </c>
      <c r="D162" s="383">
        <v>0</v>
      </c>
      <c r="E162" s="383">
        <v>496</v>
      </c>
      <c r="F162" s="383">
        <v>161</v>
      </c>
      <c r="G162" s="383">
        <v>268</v>
      </c>
      <c r="H162" s="383">
        <v>2239</v>
      </c>
      <c r="I162" s="382">
        <v>1971</v>
      </c>
      <c r="J162" s="382">
        <v>5</v>
      </c>
      <c r="K162" s="384">
        <v>80.34</v>
      </c>
      <c r="L162" s="384">
        <v>79.06</v>
      </c>
      <c r="M162" s="384">
        <v>7.98</v>
      </c>
      <c r="N162" s="384">
        <v>86.34</v>
      </c>
      <c r="O162" s="385">
        <v>1012</v>
      </c>
      <c r="P162" s="382">
        <v>104.56</v>
      </c>
      <c r="Q162" s="382">
        <v>83.47</v>
      </c>
      <c r="R162" s="382">
        <v>91.8</v>
      </c>
      <c r="S162" s="382">
        <v>196.36</v>
      </c>
      <c r="T162" s="382">
        <v>296</v>
      </c>
      <c r="U162" s="382">
        <v>97.58</v>
      </c>
      <c r="V162" s="382">
        <v>193</v>
      </c>
      <c r="W162" s="382">
        <v>276.74</v>
      </c>
      <c r="X162" s="382">
        <v>31</v>
      </c>
      <c r="Y162" s="382">
        <v>127</v>
      </c>
      <c r="Z162" s="382">
        <v>1</v>
      </c>
      <c r="AA162" s="382">
        <v>0</v>
      </c>
      <c r="AB162" s="382">
        <v>45</v>
      </c>
      <c r="AC162" s="382">
        <v>5</v>
      </c>
      <c r="AD162" s="386">
        <v>1294</v>
      </c>
      <c r="AE162" s="386">
        <v>7</v>
      </c>
      <c r="AF162" s="386">
        <v>6</v>
      </c>
      <c r="AG162" s="386">
        <v>13</v>
      </c>
    </row>
    <row r="163" spans="1:33" x14ac:dyDescent="0.25">
      <c r="A163" s="381" t="s">
        <v>386</v>
      </c>
      <c r="B163" s="387" t="s">
        <v>387</v>
      </c>
      <c r="C163" s="383">
        <v>52169</v>
      </c>
      <c r="D163" s="383">
        <v>32</v>
      </c>
      <c r="E163" s="383">
        <v>2472</v>
      </c>
      <c r="F163" s="383">
        <v>3962</v>
      </c>
      <c r="G163" s="383">
        <v>760</v>
      </c>
      <c r="H163" s="383">
        <v>59395</v>
      </c>
      <c r="I163" s="382">
        <v>58635</v>
      </c>
      <c r="J163" s="382">
        <v>301</v>
      </c>
      <c r="K163" s="384">
        <v>83.13</v>
      </c>
      <c r="L163" s="384">
        <v>82.56</v>
      </c>
      <c r="M163" s="384">
        <v>8.61</v>
      </c>
      <c r="N163" s="384">
        <v>85.47</v>
      </c>
      <c r="O163" s="385">
        <v>43876</v>
      </c>
      <c r="P163" s="382">
        <v>82.9</v>
      </c>
      <c r="Q163" s="382">
        <v>77.31</v>
      </c>
      <c r="R163" s="382">
        <v>43.36</v>
      </c>
      <c r="S163" s="382">
        <v>124.26</v>
      </c>
      <c r="T163" s="382">
        <v>5122</v>
      </c>
      <c r="U163" s="382">
        <v>100.57</v>
      </c>
      <c r="V163" s="382">
        <v>5582</v>
      </c>
      <c r="W163" s="382">
        <v>140.29</v>
      </c>
      <c r="X163" s="382">
        <v>109</v>
      </c>
      <c r="Y163" s="382">
        <v>8</v>
      </c>
      <c r="Z163" s="382">
        <v>213</v>
      </c>
      <c r="AA163" s="382">
        <v>76</v>
      </c>
      <c r="AB163" s="382">
        <v>110</v>
      </c>
      <c r="AC163" s="382">
        <v>21</v>
      </c>
      <c r="AD163" s="386">
        <v>49576</v>
      </c>
      <c r="AE163" s="386">
        <v>214</v>
      </c>
      <c r="AF163" s="386">
        <v>281</v>
      </c>
      <c r="AG163" s="386">
        <v>495</v>
      </c>
    </row>
    <row r="164" spans="1:33" x14ac:dyDescent="0.25">
      <c r="A164" s="381" t="s">
        <v>388</v>
      </c>
      <c r="B164" s="387" t="s">
        <v>389</v>
      </c>
      <c r="C164" s="383">
        <v>3779</v>
      </c>
      <c r="D164" s="383">
        <v>171</v>
      </c>
      <c r="E164" s="383">
        <v>297</v>
      </c>
      <c r="F164" s="383">
        <v>390</v>
      </c>
      <c r="G164" s="383">
        <v>213</v>
      </c>
      <c r="H164" s="383">
        <v>4850</v>
      </c>
      <c r="I164" s="382">
        <v>4637</v>
      </c>
      <c r="J164" s="382">
        <v>24</v>
      </c>
      <c r="K164" s="384">
        <v>100.24</v>
      </c>
      <c r="L164" s="384">
        <v>98.61</v>
      </c>
      <c r="M164" s="384">
        <v>6.01</v>
      </c>
      <c r="N164" s="384">
        <v>104.69</v>
      </c>
      <c r="O164" s="385">
        <v>2817</v>
      </c>
      <c r="P164" s="382">
        <v>99.59</v>
      </c>
      <c r="Q164" s="382">
        <v>96.81</v>
      </c>
      <c r="R164" s="382">
        <v>45.34</v>
      </c>
      <c r="S164" s="382">
        <v>143.02000000000001</v>
      </c>
      <c r="T164" s="382">
        <v>428</v>
      </c>
      <c r="U164" s="382">
        <v>132.68</v>
      </c>
      <c r="V164" s="382">
        <v>460</v>
      </c>
      <c r="W164" s="382">
        <v>173.4</v>
      </c>
      <c r="X164" s="382">
        <v>8</v>
      </c>
      <c r="Y164" s="382">
        <v>0</v>
      </c>
      <c r="Z164" s="382">
        <v>1</v>
      </c>
      <c r="AA164" s="382">
        <v>5</v>
      </c>
      <c r="AB164" s="382">
        <v>16</v>
      </c>
      <c r="AC164" s="382">
        <v>17</v>
      </c>
      <c r="AD164" s="386">
        <v>3409</v>
      </c>
      <c r="AE164" s="386">
        <v>14</v>
      </c>
      <c r="AF164" s="386">
        <v>6</v>
      </c>
      <c r="AG164" s="386">
        <v>20</v>
      </c>
    </row>
    <row r="165" spans="1:33" x14ac:dyDescent="0.25">
      <c r="A165" s="381" t="s">
        <v>390</v>
      </c>
      <c r="B165" s="387" t="s">
        <v>391</v>
      </c>
      <c r="C165" s="383">
        <v>7924</v>
      </c>
      <c r="D165" s="383">
        <v>0</v>
      </c>
      <c r="E165" s="383">
        <v>291</v>
      </c>
      <c r="F165" s="383">
        <v>1150</v>
      </c>
      <c r="G165" s="383">
        <v>879</v>
      </c>
      <c r="H165" s="383">
        <v>10244</v>
      </c>
      <c r="I165" s="382">
        <v>9365</v>
      </c>
      <c r="J165" s="382">
        <v>91</v>
      </c>
      <c r="K165" s="384">
        <v>96.79</v>
      </c>
      <c r="L165" s="384">
        <v>94.77</v>
      </c>
      <c r="M165" s="384">
        <v>6.03</v>
      </c>
      <c r="N165" s="384">
        <v>101.32</v>
      </c>
      <c r="O165" s="385">
        <v>6139</v>
      </c>
      <c r="P165" s="382">
        <v>87.86</v>
      </c>
      <c r="Q165" s="382">
        <v>85.01</v>
      </c>
      <c r="R165" s="382">
        <v>23.32</v>
      </c>
      <c r="S165" s="382">
        <v>110.93</v>
      </c>
      <c r="T165" s="382">
        <v>1270</v>
      </c>
      <c r="U165" s="382">
        <v>156.97</v>
      </c>
      <c r="V165" s="382">
        <v>1425</v>
      </c>
      <c r="W165" s="382">
        <v>185.28</v>
      </c>
      <c r="X165" s="382">
        <v>70</v>
      </c>
      <c r="Y165" s="382">
        <v>0</v>
      </c>
      <c r="Z165" s="382">
        <v>11</v>
      </c>
      <c r="AA165" s="382">
        <v>0</v>
      </c>
      <c r="AB165" s="382">
        <v>96</v>
      </c>
      <c r="AC165" s="382">
        <v>13</v>
      </c>
      <c r="AD165" s="386">
        <v>7461</v>
      </c>
      <c r="AE165" s="386">
        <v>52</v>
      </c>
      <c r="AF165" s="386">
        <v>20</v>
      </c>
      <c r="AG165" s="386">
        <v>72</v>
      </c>
    </row>
    <row r="166" spans="1:33" x14ac:dyDescent="0.25">
      <c r="A166" s="381" t="s">
        <v>392</v>
      </c>
      <c r="B166" s="387" t="s">
        <v>393</v>
      </c>
      <c r="C166" s="383">
        <v>2205</v>
      </c>
      <c r="D166" s="383">
        <v>0</v>
      </c>
      <c r="E166" s="383">
        <v>32</v>
      </c>
      <c r="F166" s="383">
        <v>811</v>
      </c>
      <c r="G166" s="383">
        <v>84</v>
      </c>
      <c r="H166" s="383">
        <v>3132</v>
      </c>
      <c r="I166" s="382">
        <v>3048</v>
      </c>
      <c r="J166" s="382">
        <v>0</v>
      </c>
      <c r="K166" s="384">
        <v>102.35</v>
      </c>
      <c r="L166" s="384">
        <v>101.52</v>
      </c>
      <c r="M166" s="384">
        <v>4.8</v>
      </c>
      <c r="N166" s="384">
        <v>105.39</v>
      </c>
      <c r="O166" s="385">
        <v>1925</v>
      </c>
      <c r="P166" s="382">
        <v>86.61</v>
      </c>
      <c r="Q166" s="382">
        <v>86.61</v>
      </c>
      <c r="R166" s="382">
        <v>17.41</v>
      </c>
      <c r="S166" s="382">
        <v>103.66</v>
      </c>
      <c r="T166" s="382">
        <v>765</v>
      </c>
      <c r="U166" s="382">
        <v>134.44999999999999</v>
      </c>
      <c r="V166" s="382">
        <v>267</v>
      </c>
      <c r="W166" s="382">
        <v>112.78</v>
      </c>
      <c r="X166" s="382">
        <v>1</v>
      </c>
      <c r="Y166" s="382">
        <v>0</v>
      </c>
      <c r="Z166" s="382">
        <v>0</v>
      </c>
      <c r="AA166" s="382">
        <v>1</v>
      </c>
      <c r="AB166" s="382">
        <v>0</v>
      </c>
      <c r="AC166" s="382">
        <v>1</v>
      </c>
      <c r="AD166" s="386">
        <v>2205</v>
      </c>
      <c r="AE166" s="386">
        <v>14</v>
      </c>
      <c r="AF166" s="386">
        <v>6</v>
      </c>
      <c r="AG166" s="386">
        <v>20</v>
      </c>
    </row>
    <row r="167" spans="1:33" x14ac:dyDescent="0.25">
      <c r="A167" s="381" t="s">
        <v>394</v>
      </c>
      <c r="B167" s="387" t="s">
        <v>395</v>
      </c>
      <c r="C167" s="383">
        <v>4300</v>
      </c>
      <c r="D167" s="383">
        <v>0</v>
      </c>
      <c r="E167" s="383">
        <v>67</v>
      </c>
      <c r="F167" s="383">
        <v>593</v>
      </c>
      <c r="G167" s="383">
        <v>329</v>
      </c>
      <c r="H167" s="383">
        <v>5289</v>
      </c>
      <c r="I167" s="382">
        <v>4960</v>
      </c>
      <c r="J167" s="382">
        <v>2</v>
      </c>
      <c r="K167" s="384">
        <v>95.68</v>
      </c>
      <c r="L167" s="384">
        <v>95.56</v>
      </c>
      <c r="M167" s="384">
        <v>3.86</v>
      </c>
      <c r="N167" s="384">
        <v>99.2</v>
      </c>
      <c r="O167" s="385">
        <v>3908</v>
      </c>
      <c r="P167" s="382">
        <v>90.12</v>
      </c>
      <c r="Q167" s="382">
        <v>91.22</v>
      </c>
      <c r="R167" s="382">
        <v>27.54</v>
      </c>
      <c r="S167" s="382">
        <v>117.53</v>
      </c>
      <c r="T167" s="382">
        <v>600</v>
      </c>
      <c r="U167" s="382">
        <v>111.94</v>
      </c>
      <c r="V167" s="382">
        <v>318</v>
      </c>
      <c r="W167" s="382">
        <v>178.74</v>
      </c>
      <c r="X167" s="382">
        <v>60</v>
      </c>
      <c r="Y167" s="382">
        <v>0</v>
      </c>
      <c r="Z167" s="382">
        <v>2</v>
      </c>
      <c r="AA167" s="382">
        <v>0</v>
      </c>
      <c r="AB167" s="382">
        <v>2</v>
      </c>
      <c r="AC167" s="382">
        <v>3</v>
      </c>
      <c r="AD167" s="386">
        <v>4299</v>
      </c>
      <c r="AE167" s="386">
        <v>14</v>
      </c>
      <c r="AF167" s="386">
        <v>1</v>
      </c>
      <c r="AG167" s="386">
        <v>15</v>
      </c>
    </row>
    <row r="168" spans="1:33" x14ac:dyDescent="0.25">
      <c r="A168" s="381" t="s">
        <v>396</v>
      </c>
      <c r="B168" s="387" t="s">
        <v>397</v>
      </c>
      <c r="C168" s="383">
        <v>46179</v>
      </c>
      <c r="D168" s="383">
        <v>74</v>
      </c>
      <c r="E168" s="383">
        <v>1663</v>
      </c>
      <c r="F168" s="383">
        <v>3197</v>
      </c>
      <c r="G168" s="383">
        <v>1261</v>
      </c>
      <c r="H168" s="383">
        <v>52374</v>
      </c>
      <c r="I168" s="382">
        <v>51113</v>
      </c>
      <c r="J168" s="382">
        <v>38</v>
      </c>
      <c r="K168" s="384">
        <v>80.900000000000006</v>
      </c>
      <c r="L168" s="384">
        <v>81.64</v>
      </c>
      <c r="M168" s="384">
        <v>4.8499999999999996</v>
      </c>
      <c r="N168" s="384">
        <v>82.7</v>
      </c>
      <c r="O168" s="385">
        <v>42570</v>
      </c>
      <c r="P168" s="382">
        <v>79.900000000000006</v>
      </c>
      <c r="Q168" s="382">
        <v>74.75</v>
      </c>
      <c r="R168" s="382">
        <v>40.47</v>
      </c>
      <c r="S168" s="382">
        <v>118.07</v>
      </c>
      <c r="T168" s="382">
        <v>4539</v>
      </c>
      <c r="U168" s="382">
        <v>108.82</v>
      </c>
      <c r="V168" s="382">
        <v>2935</v>
      </c>
      <c r="W168" s="382">
        <v>115.33</v>
      </c>
      <c r="X168" s="382">
        <v>2</v>
      </c>
      <c r="Y168" s="382">
        <v>13</v>
      </c>
      <c r="Z168" s="382">
        <v>255</v>
      </c>
      <c r="AA168" s="382">
        <v>3</v>
      </c>
      <c r="AB168" s="382">
        <v>145</v>
      </c>
      <c r="AC168" s="382">
        <v>51</v>
      </c>
      <c r="AD168" s="386">
        <v>45579</v>
      </c>
      <c r="AE168" s="386">
        <v>172</v>
      </c>
      <c r="AF168" s="386">
        <v>175</v>
      </c>
      <c r="AG168" s="386">
        <v>347</v>
      </c>
    </row>
    <row r="169" spans="1:33" x14ac:dyDescent="0.25">
      <c r="A169" s="381" t="s">
        <v>398</v>
      </c>
      <c r="B169" s="387" t="s">
        <v>399</v>
      </c>
      <c r="C169" s="383">
        <v>1705</v>
      </c>
      <c r="D169" s="383">
        <v>14</v>
      </c>
      <c r="E169" s="383">
        <v>397</v>
      </c>
      <c r="F169" s="383">
        <v>232</v>
      </c>
      <c r="G169" s="383">
        <v>124</v>
      </c>
      <c r="H169" s="383">
        <v>2472</v>
      </c>
      <c r="I169" s="382">
        <v>2348</v>
      </c>
      <c r="J169" s="382">
        <v>0</v>
      </c>
      <c r="K169" s="384">
        <v>81.209999999999994</v>
      </c>
      <c r="L169" s="384">
        <v>76.040000000000006</v>
      </c>
      <c r="M169" s="384">
        <v>5.93</v>
      </c>
      <c r="N169" s="384">
        <v>84.11</v>
      </c>
      <c r="O169" s="385">
        <v>1634</v>
      </c>
      <c r="P169" s="382">
        <v>105.97</v>
      </c>
      <c r="Q169" s="382">
        <v>75.400000000000006</v>
      </c>
      <c r="R169" s="382">
        <v>75.319999999999993</v>
      </c>
      <c r="S169" s="382">
        <v>176.99</v>
      </c>
      <c r="T169" s="382">
        <v>437</v>
      </c>
      <c r="U169" s="382">
        <v>93.15</v>
      </c>
      <c r="V169" s="382">
        <v>79</v>
      </c>
      <c r="W169" s="382">
        <v>0</v>
      </c>
      <c r="X169" s="382">
        <v>0</v>
      </c>
      <c r="Y169" s="382">
        <v>3</v>
      </c>
      <c r="Z169" s="382">
        <v>1</v>
      </c>
      <c r="AA169" s="382">
        <v>12</v>
      </c>
      <c r="AB169" s="382">
        <v>0</v>
      </c>
      <c r="AC169" s="382">
        <v>3</v>
      </c>
      <c r="AD169" s="386">
        <v>1705</v>
      </c>
      <c r="AE169" s="386">
        <v>11</v>
      </c>
      <c r="AF169" s="386">
        <v>12</v>
      </c>
      <c r="AG169" s="386">
        <v>23</v>
      </c>
    </row>
    <row r="170" spans="1:33" x14ac:dyDescent="0.25">
      <c r="A170" s="381" t="s">
        <v>400</v>
      </c>
      <c r="B170" s="387" t="s">
        <v>401</v>
      </c>
      <c r="C170" s="383">
        <v>4111</v>
      </c>
      <c r="D170" s="383">
        <v>0</v>
      </c>
      <c r="E170" s="383">
        <v>388</v>
      </c>
      <c r="F170" s="383">
        <v>750</v>
      </c>
      <c r="G170" s="383">
        <v>1197</v>
      </c>
      <c r="H170" s="383">
        <v>6446</v>
      </c>
      <c r="I170" s="382">
        <v>5249</v>
      </c>
      <c r="J170" s="382">
        <v>5</v>
      </c>
      <c r="K170" s="384">
        <v>100.47</v>
      </c>
      <c r="L170" s="384">
        <v>96.58</v>
      </c>
      <c r="M170" s="384">
        <v>7.96</v>
      </c>
      <c r="N170" s="384">
        <v>106.75</v>
      </c>
      <c r="O170" s="385">
        <v>3042</v>
      </c>
      <c r="P170" s="382">
        <v>93.43</v>
      </c>
      <c r="Q170" s="382">
        <v>88.23</v>
      </c>
      <c r="R170" s="382">
        <v>39.94</v>
      </c>
      <c r="S170" s="382">
        <v>133.01</v>
      </c>
      <c r="T170" s="382">
        <v>897</v>
      </c>
      <c r="U170" s="382">
        <v>130.4</v>
      </c>
      <c r="V170" s="382">
        <v>710</v>
      </c>
      <c r="W170" s="382">
        <v>164</v>
      </c>
      <c r="X170" s="382">
        <v>61</v>
      </c>
      <c r="Y170" s="382">
        <v>0</v>
      </c>
      <c r="Z170" s="382">
        <v>1</v>
      </c>
      <c r="AA170" s="382">
        <v>4</v>
      </c>
      <c r="AB170" s="382">
        <v>42</v>
      </c>
      <c r="AC170" s="382">
        <v>22</v>
      </c>
      <c r="AD170" s="386">
        <v>3726</v>
      </c>
      <c r="AE170" s="386">
        <v>18</v>
      </c>
      <c r="AF170" s="386">
        <v>12</v>
      </c>
      <c r="AG170" s="386">
        <v>30</v>
      </c>
    </row>
    <row r="171" spans="1:33" x14ac:dyDescent="0.25">
      <c r="A171" s="381" t="s">
        <v>402</v>
      </c>
      <c r="B171" s="387" t="s">
        <v>403</v>
      </c>
      <c r="C171" s="383">
        <v>560</v>
      </c>
      <c r="D171" s="383">
        <v>0</v>
      </c>
      <c r="E171" s="383">
        <v>69</v>
      </c>
      <c r="F171" s="383">
        <v>75</v>
      </c>
      <c r="G171" s="383">
        <v>171</v>
      </c>
      <c r="H171" s="383">
        <v>875</v>
      </c>
      <c r="I171" s="382">
        <v>704</v>
      </c>
      <c r="J171" s="382">
        <v>0</v>
      </c>
      <c r="K171" s="384">
        <v>91.05</v>
      </c>
      <c r="L171" s="384">
        <v>87.95</v>
      </c>
      <c r="M171" s="384">
        <v>2.83</v>
      </c>
      <c r="N171" s="384">
        <v>93.13</v>
      </c>
      <c r="O171" s="385">
        <v>414</v>
      </c>
      <c r="P171" s="382">
        <v>84.93</v>
      </c>
      <c r="Q171" s="382">
        <v>78.59</v>
      </c>
      <c r="R171" s="382">
        <v>63.88</v>
      </c>
      <c r="S171" s="382">
        <v>147.91999999999999</v>
      </c>
      <c r="T171" s="382">
        <v>144</v>
      </c>
      <c r="U171" s="382">
        <v>104.09</v>
      </c>
      <c r="V171" s="382">
        <v>128</v>
      </c>
      <c r="W171" s="382">
        <v>0</v>
      </c>
      <c r="X171" s="382">
        <v>0</v>
      </c>
      <c r="Y171" s="382">
        <v>0</v>
      </c>
      <c r="Z171" s="382">
        <v>0</v>
      </c>
      <c r="AA171" s="382">
        <v>0</v>
      </c>
      <c r="AB171" s="382">
        <v>4</v>
      </c>
      <c r="AC171" s="382">
        <v>4</v>
      </c>
      <c r="AD171" s="386">
        <v>559</v>
      </c>
      <c r="AE171" s="386">
        <v>1</v>
      </c>
      <c r="AF171" s="386">
        <v>1</v>
      </c>
      <c r="AG171" s="386">
        <v>2</v>
      </c>
    </row>
    <row r="172" spans="1:33" x14ac:dyDescent="0.25">
      <c r="A172" s="381" t="s">
        <v>404</v>
      </c>
      <c r="B172" s="387" t="s">
        <v>405</v>
      </c>
      <c r="C172" s="383">
        <v>5133</v>
      </c>
      <c r="D172" s="383">
        <v>0</v>
      </c>
      <c r="E172" s="383">
        <v>386</v>
      </c>
      <c r="F172" s="383">
        <v>914</v>
      </c>
      <c r="G172" s="383">
        <v>481</v>
      </c>
      <c r="H172" s="383">
        <v>6914</v>
      </c>
      <c r="I172" s="382">
        <v>6433</v>
      </c>
      <c r="J172" s="382">
        <v>0</v>
      </c>
      <c r="K172" s="384">
        <v>92.58</v>
      </c>
      <c r="L172" s="384">
        <v>91.87</v>
      </c>
      <c r="M172" s="384">
        <v>3.61</v>
      </c>
      <c r="N172" s="384">
        <v>94.68</v>
      </c>
      <c r="O172" s="385">
        <v>4286</v>
      </c>
      <c r="P172" s="382">
        <v>86.22</v>
      </c>
      <c r="Q172" s="382">
        <v>83.61</v>
      </c>
      <c r="R172" s="382">
        <v>26.82</v>
      </c>
      <c r="S172" s="382">
        <v>112.64</v>
      </c>
      <c r="T172" s="382">
        <v>1113</v>
      </c>
      <c r="U172" s="382">
        <v>114.52</v>
      </c>
      <c r="V172" s="382">
        <v>747</v>
      </c>
      <c r="W172" s="382">
        <v>104.81</v>
      </c>
      <c r="X172" s="382">
        <v>31</v>
      </c>
      <c r="Y172" s="382">
        <v>0</v>
      </c>
      <c r="Z172" s="382">
        <v>10</v>
      </c>
      <c r="AA172" s="382">
        <v>16</v>
      </c>
      <c r="AB172" s="382">
        <v>51</v>
      </c>
      <c r="AC172" s="382">
        <v>11</v>
      </c>
      <c r="AD172" s="386">
        <v>5039</v>
      </c>
      <c r="AE172" s="386">
        <v>10</v>
      </c>
      <c r="AF172" s="386">
        <v>26</v>
      </c>
      <c r="AG172" s="386">
        <v>36</v>
      </c>
    </row>
    <row r="173" spans="1:33" x14ac:dyDescent="0.25">
      <c r="A173" s="381" t="s">
        <v>406</v>
      </c>
      <c r="B173" s="387" t="s">
        <v>407</v>
      </c>
      <c r="C173" s="383">
        <v>10131</v>
      </c>
      <c r="D173" s="383">
        <v>5</v>
      </c>
      <c r="E173" s="383">
        <v>407</v>
      </c>
      <c r="F173" s="383">
        <v>818</v>
      </c>
      <c r="G173" s="383">
        <v>658</v>
      </c>
      <c r="H173" s="383">
        <v>12019</v>
      </c>
      <c r="I173" s="382">
        <v>11361</v>
      </c>
      <c r="J173" s="382">
        <v>82</v>
      </c>
      <c r="K173" s="384">
        <v>113.27</v>
      </c>
      <c r="L173" s="384">
        <v>113.57</v>
      </c>
      <c r="M173" s="384">
        <v>7.88</v>
      </c>
      <c r="N173" s="384">
        <v>119.4</v>
      </c>
      <c r="O173" s="385">
        <v>8945</v>
      </c>
      <c r="P173" s="382">
        <v>98.56</v>
      </c>
      <c r="Q173" s="382">
        <v>99.47</v>
      </c>
      <c r="R173" s="382">
        <v>34.61</v>
      </c>
      <c r="S173" s="382">
        <v>128.76</v>
      </c>
      <c r="T173" s="382">
        <v>926</v>
      </c>
      <c r="U173" s="382">
        <v>157.91999999999999</v>
      </c>
      <c r="V173" s="382">
        <v>1028</v>
      </c>
      <c r="W173" s="382">
        <v>252.53</v>
      </c>
      <c r="X173" s="382">
        <v>35</v>
      </c>
      <c r="Y173" s="382">
        <v>0</v>
      </c>
      <c r="Z173" s="382">
        <v>15</v>
      </c>
      <c r="AA173" s="382">
        <v>2</v>
      </c>
      <c r="AB173" s="382">
        <v>55</v>
      </c>
      <c r="AC173" s="382">
        <v>18</v>
      </c>
      <c r="AD173" s="386">
        <v>10041</v>
      </c>
      <c r="AE173" s="386">
        <v>21</v>
      </c>
      <c r="AF173" s="386">
        <v>35</v>
      </c>
      <c r="AG173" s="386">
        <v>56</v>
      </c>
    </row>
    <row r="174" spans="1:33" x14ac:dyDescent="0.25">
      <c r="A174" s="381" t="s">
        <v>408</v>
      </c>
      <c r="B174" s="387" t="s">
        <v>409</v>
      </c>
      <c r="C174" s="383">
        <v>1128</v>
      </c>
      <c r="D174" s="383">
        <v>0</v>
      </c>
      <c r="E174" s="383">
        <v>36</v>
      </c>
      <c r="F174" s="383">
        <v>284</v>
      </c>
      <c r="G174" s="383">
        <v>251</v>
      </c>
      <c r="H174" s="383">
        <v>1699</v>
      </c>
      <c r="I174" s="382">
        <v>1448</v>
      </c>
      <c r="J174" s="382">
        <v>0</v>
      </c>
      <c r="K174" s="384">
        <v>88.19</v>
      </c>
      <c r="L174" s="384">
        <v>84.92</v>
      </c>
      <c r="M174" s="384">
        <v>4.3099999999999996</v>
      </c>
      <c r="N174" s="384">
        <v>91.93</v>
      </c>
      <c r="O174" s="385">
        <v>809</v>
      </c>
      <c r="P174" s="382">
        <v>84.59</v>
      </c>
      <c r="Q174" s="382">
        <v>74.98</v>
      </c>
      <c r="R174" s="382">
        <v>18.100000000000001</v>
      </c>
      <c r="S174" s="382">
        <v>102.34</v>
      </c>
      <c r="T174" s="382">
        <v>154</v>
      </c>
      <c r="U174" s="382">
        <v>123.12</v>
      </c>
      <c r="V174" s="382">
        <v>211</v>
      </c>
      <c r="W174" s="382">
        <v>0</v>
      </c>
      <c r="X174" s="382">
        <v>0</v>
      </c>
      <c r="Y174" s="382">
        <v>0</v>
      </c>
      <c r="Z174" s="382">
        <v>0</v>
      </c>
      <c r="AA174" s="382">
        <v>5</v>
      </c>
      <c r="AB174" s="382">
        <v>17</v>
      </c>
      <c r="AC174" s="382">
        <v>4</v>
      </c>
      <c r="AD174" s="386">
        <v>1015</v>
      </c>
      <c r="AE174" s="386">
        <v>5</v>
      </c>
      <c r="AF174" s="386">
        <v>6</v>
      </c>
      <c r="AG174" s="386">
        <v>11</v>
      </c>
    </row>
    <row r="175" spans="1:33" x14ac:dyDescent="0.25">
      <c r="A175" s="381" t="s">
        <v>410</v>
      </c>
      <c r="B175" s="387" t="s">
        <v>411</v>
      </c>
      <c r="C175" s="383">
        <v>1392</v>
      </c>
      <c r="D175" s="383">
        <v>0</v>
      </c>
      <c r="E175" s="383">
        <v>98</v>
      </c>
      <c r="F175" s="383">
        <v>210</v>
      </c>
      <c r="G175" s="383">
        <v>322</v>
      </c>
      <c r="H175" s="383">
        <v>2022</v>
      </c>
      <c r="I175" s="382">
        <v>1700</v>
      </c>
      <c r="J175" s="382">
        <v>3</v>
      </c>
      <c r="K175" s="384">
        <v>92.91</v>
      </c>
      <c r="L175" s="384">
        <v>92.76</v>
      </c>
      <c r="M175" s="384">
        <v>4.0599999999999996</v>
      </c>
      <c r="N175" s="384">
        <v>95.75</v>
      </c>
      <c r="O175" s="385">
        <v>897</v>
      </c>
      <c r="P175" s="382">
        <v>85.67</v>
      </c>
      <c r="Q175" s="382">
        <v>78.760000000000005</v>
      </c>
      <c r="R175" s="382">
        <v>35.590000000000003</v>
      </c>
      <c r="S175" s="382">
        <v>121.01</v>
      </c>
      <c r="T175" s="382">
        <v>280</v>
      </c>
      <c r="U175" s="382">
        <v>110.37</v>
      </c>
      <c r="V175" s="382">
        <v>457</v>
      </c>
      <c r="W175" s="382">
        <v>114.48</v>
      </c>
      <c r="X175" s="382">
        <v>1</v>
      </c>
      <c r="Y175" s="382">
        <v>15</v>
      </c>
      <c r="Z175" s="382">
        <v>0</v>
      </c>
      <c r="AA175" s="382">
        <v>2</v>
      </c>
      <c r="AB175" s="382">
        <v>11</v>
      </c>
      <c r="AC175" s="382">
        <v>4</v>
      </c>
      <c r="AD175" s="386">
        <v>1392</v>
      </c>
      <c r="AE175" s="386">
        <v>6</v>
      </c>
      <c r="AF175" s="386">
        <v>1</v>
      </c>
      <c r="AG175" s="386">
        <v>7</v>
      </c>
    </row>
    <row r="176" spans="1:33" x14ac:dyDescent="0.25">
      <c r="A176" s="381" t="s">
        <v>412</v>
      </c>
      <c r="B176" s="387" t="s">
        <v>413</v>
      </c>
      <c r="C176" s="383">
        <v>5835</v>
      </c>
      <c r="D176" s="383">
        <v>3</v>
      </c>
      <c r="E176" s="383">
        <v>132</v>
      </c>
      <c r="F176" s="383">
        <v>867</v>
      </c>
      <c r="G176" s="383">
        <v>665</v>
      </c>
      <c r="H176" s="383">
        <v>7502</v>
      </c>
      <c r="I176" s="382">
        <v>6837</v>
      </c>
      <c r="J176" s="382">
        <v>13</v>
      </c>
      <c r="K176" s="384">
        <v>115.44</v>
      </c>
      <c r="L176" s="384">
        <v>114.81</v>
      </c>
      <c r="M176" s="384">
        <v>5.61</v>
      </c>
      <c r="N176" s="384">
        <v>119.6</v>
      </c>
      <c r="O176" s="385">
        <v>4158</v>
      </c>
      <c r="P176" s="382">
        <v>102.71</v>
      </c>
      <c r="Q176" s="382">
        <v>98.82</v>
      </c>
      <c r="R176" s="382">
        <v>43.64</v>
      </c>
      <c r="S176" s="382">
        <v>145.04</v>
      </c>
      <c r="T176" s="382">
        <v>832</v>
      </c>
      <c r="U176" s="382">
        <v>163.4</v>
      </c>
      <c r="V176" s="382">
        <v>1322</v>
      </c>
      <c r="W176" s="382">
        <v>136.81</v>
      </c>
      <c r="X176" s="382">
        <v>13</v>
      </c>
      <c r="Y176" s="382">
        <v>0</v>
      </c>
      <c r="Z176" s="382">
        <v>4</v>
      </c>
      <c r="AA176" s="382">
        <v>0</v>
      </c>
      <c r="AB176" s="382">
        <v>21</v>
      </c>
      <c r="AC176" s="382">
        <v>11</v>
      </c>
      <c r="AD176" s="386">
        <v>5529</v>
      </c>
      <c r="AE176" s="386">
        <v>66</v>
      </c>
      <c r="AF176" s="386">
        <v>16</v>
      </c>
      <c r="AG176" s="386">
        <v>82</v>
      </c>
    </row>
    <row r="177" spans="1:33" x14ac:dyDescent="0.25">
      <c r="A177" s="381" t="s">
        <v>414</v>
      </c>
      <c r="B177" s="387" t="s">
        <v>415</v>
      </c>
      <c r="C177" s="383">
        <v>13091</v>
      </c>
      <c r="D177" s="383">
        <v>4</v>
      </c>
      <c r="E177" s="383">
        <v>1349</v>
      </c>
      <c r="F177" s="383">
        <v>679</v>
      </c>
      <c r="G177" s="383">
        <v>249</v>
      </c>
      <c r="H177" s="383">
        <v>15372</v>
      </c>
      <c r="I177" s="382">
        <v>15123</v>
      </c>
      <c r="J177" s="382">
        <v>9</v>
      </c>
      <c r="K177" s="384">
        <v>85.18</v>
      </c>
      <c r="L177" s="384">
        <v>81.709999999999994</v>
      </c>
      <c r="M177" s="384">
        <v>7.99</v>
      </c>
      <c r="N177" s="384">
        <v>87.71</v>
      </c>
      <c r="O177" s="385">
        <v>12428</v>
      </c>
      <c r="P177" s="382">
        <v>86.56</v>
      </c>
      <c r="Q177" s="382">
        <v>78.209999999999994</v>
      </c>
      <c r="R177" s="382">
        <v>55.97</v>
      </c>
      <c r="S177" s="382">
        <v>129.43</v>
      </c>
      <c r="T177" s="382">
        <v>1901</v>
      </c>
      <c r="U177" s="382">
        <v>94.05</v>
      </c>
      <c r="V177" s="382">
        <v>539</v>
      </c>
      <c r="W177" s="382">
        <v>156.21</v>
      </c>
      <c r="X177" s="382">
        <v>99</v>
      </c>
      <c r="Y177" s="382">
        <v>177</v>
      </c>
      <c r="Z177" s="382">
        <v>58</v>
      </c>
      <c r="AA177" s="382">
        <v>13</v>
      </c>
      <c r="AB177" s="382">
        <v>1</v>
      </c>
      <c r="AC177" s="382">
        <v>2</v>
      </c>
      <c r="AD177" s="386">
        <v>13061</v>
      </c>
      <c r="AE177" s="386">
        <v>112</v>
      </c>
      <c r="AF177" s="386">
        <v>145</v>
      </c>
      <c r="AG177" s="386">
        <v>257</v>
      </c>
    </row>
    <row r="178" spans="1:33" x14ac:dyDescent="0.25">
      <c r="A178" s="381" t="s">
        <v>416</v>
      </c>
      <c r="B178" s="387" t="s">
        <v>417</v>
      </c>
      <c r="C178" s="383">
        <v>8401</v>
      </c>
      <c r="D178" s="383">
        <v>81</v>
      </c>
      <c r="E178" s="383">
        <v>406</v>
      </c>
      <c r="F178" s="383">
        <v>584</v>
      </c>
      <c r="G178" s="383">
        <v>5397</v>
      </c>
      <c r="H178" s="383">
        <v>14869</v>
      </c>
      <c r="I178" s="382">
        <v>9472</v>
      </c>
      <c r="J178" s="382">
        <v>9</v>
      </c>
      <c r="K178" s="384">
        <v>98.83</v>
      </c>
      <c r="L178" s="384">
        <v>96.1</v>
      </c>
      <c r="M178" s="384">
        <v>6.55</v>
      </c>
      <c r="N178" s="384">
        <v>103.24</v>
      </c>
      <c r="O178" s="385">
        <v>6391</v>
      </c>
      <c r="P178" s="382">
        <v>102.55</v>
      </c>
      <c r="Q178" s="382">
        <v>97.01</v>
      </c>
      <c r="R178" s="382">
        <v>41.43</v>
      </c>
      <c r="S178" s="382">
        <v>142.80000000000001</v>
      </c>
      <c r="T178" s="382">
        <v>880</v>
      </c>
      <c r="U178" s="382">
        <v>138.78</v>
      </c>
      <c r="V178" s="382">
        <v>1278</v>
      </c>
      <c r="W178" s="382">
        <v>94.52</v>
      </c>
      <c r="X178" s="382">
        <v>9</v>
      </c>
      <c r="Y178" s="382">
        <v>0</v>
      </c>
      <c r="Z178" s="382">
        <v>0</v>
      </c>
      <c r="AA178" s="382">
        <v>5</v>
      </c>
      <c r="AB178" s="382">
        <v>199</v>
      </c>
      <c r="AC178" s="382">
        <v>49</v>
      </c>
      <c r="AD178" s="386">
        <v>8035</v>
      </c>
      <c r="AE178" s="386">
        <v>29</v>
      </c>
      <c r="AF178" s="386">
        <v>28</v>
      </c>
      <c r="AG178" s="386">
        <v>57</v>
      </c>
    </row>
    <row r="179" spans="1:33" x14ac:dyDescent="0.25">
      <c r="A179" s="381" t="s">
        <v>418</v>
      </c>
      <c r="B179" s="387" t="s">
        <v>419</v>
      </c>
      <c r="C179" s="383">
        <v>3537</v>
      </c>
      <c r="D179" s="383">
        <v>11</v>
      </c>
      <c r="E179" s="383">
        <v>213</v>
      </c>
      <c r="F179" s="383">
        <v>659</v>
      </c>
      <c r="G179" s="383">
        <v>296</v>
      </c>
      <c r="H179" s="383">
        <v>4716</v>
      </c>
      <c r="I179" s="382">
        <v>4420</v>
      </c>
      <c r="J179" s="382">
        <v>6</v>
      </c>
      <c r="K179" s="384">
        <v>112.41</v>
      </c>
      <c r="L179" s="384">
        <v>113.92</v>
      </c>
      <c r="M179" s="384">
        <v>4.7</v>
      </c>
      <c r="N179" s="384">
        <v>115.37</v>
      </c>
      <c r="O179" s="385">
        <v>3031</v>
      </c>
      <c r="P179" s="382">
        <v>98.92</v>
      </c>
      <c r="Q179" s="382">
        <v>100.03</v>
      </c>
      <c r="R179" s="382">
        <v>28.47</v>
      </c>
      <c r="S179" s="382">
        <v>127.18</v>
      </c>
      <c r="T179" s="382">
        <v>701</v>
      </c>
      <c r="U179" s="382">
        <v>156.71</v>
      </c>
      <c r="V179" s="382">
        <v>463</v>
      </c>
      <c r="W179" s="382">
        <v>0</v>
      </c>
      <c r="X179" s="382">
        <v>0</v>
      </c>
      <c r="Y179" s="382">
        <v>0</v>
      </c>
      <c r="Z179" s="382">
        <v>6</v>
      </c>
      <c r="AA179" s="382">
        <v>1</v>
      </c>
      <c r="AB179" s="382">
        <v>14</v>
      </c>
      <c r="AC179" s="382">
        <v>13</v>
      </c>
      <c r="AD179" s="386">
        <v>3499</v>
      </c>
      <c r="AE179" s="386">
        <v>12</v>
      </c>
      <c r="AF179" s="386">
        <v>36</v>
      </c>
      <c r="AG179" s="386">
        <v>48</v>
      </c>
    </row>
    <row r="180" spans="1:33" x14ac:dyDescent="0.25">
      <c r="A180" s="381" t="s">
        <v>420</v>
      </c>
      <c r="B180" s="387" t="s">
        <v>421</v>
      </c>
      <c r="C180" s="383">
        <v>2818</v>
      </c>
      <c r="D180" s="383">
        <v>8</v>
      </c>
      <c r="E180" s="383">
        <v>281</v>
      </c>
      <c r="F180" s="383">
        <v>322</v>
      </c>
      <c r="G180" s="383">
        <v>352</v>
      </c>
      <c r="H180" s="383">
        <v>3781</v>
      </c>
      <c r="I180" s="382">
        <v>3429</v>
      </c>
      <c r="J180" s="382">
        <v>0</v>
      </c>
      <c r="K180" s="384">
        <v>112.08</v>
      </c>
      <c r="L180" s="384">
        <v>110.72</v>
      </c>
      <c r="M180" s="384">
        <v>4.49</v>
      </c>
      <c r="N180" s="384">
        <v>115.56</v>
      </c>
      <c r="O180" s="385">
        <v>2416</v>
      </c>
      <c r="P180" s="382">
        <v>97.56</v>
      </c>
      <c r="Q180" s="382">
        <v>93.73</v>
      </c>
      <c r="R180" s="382">
        <v>29.67</v>
      </c>
      <c r="S180" s="382">
        <v>125.92</v>
      </c>
      <c r="T180" s="382">
        <v>475</v>
      </c>
      <c r="U180" s="382">
        <v>141.41999999999999</v>
      </c>
      <c r="V180" s="382">
        <v>257</v>
      </c>
      <c r="W180" s="382">
        <v>135.61000000000001</v>
      </c>
      <c r="X180" s="382">
        <v>3</v>
      </c>
      <c r="Y180" s="382">
        <v>158</v>
      </c>
      <c r="Z180" s="382">
        <v>0</v>
      </c>
      <c r="AA180" s="382">
        <v>1</v>
      </c>
      <c r="AB180" s="382">
        <v>16</v>
      </c>
      <c r="AC180" s="382">
        <v>14</v>
      </c>
      <c r="AD180" s="386">
        <v>2726</v>
      </c>
      <c r="AE180" s="386">
        <v>7</v>
      </c>
      <c r="AF180" s="386">
        <v>10</v>
      </c>
      <c r="AG180" s="386">
        <v>17</v>
      </c>
    </row>
    <row r="181" spans="1:33" x14ac:dyDescent="0.25">
      <c r="A181" s="381" t="s">
        <v>422</v>
      </c>
      <c r="B181" s="387" t="s">
        <v>423</v>
      </c>
      <c r="C181" s="383">
        <v>1893</v>
      </c>
      <c r="D181" s="383">
        <v>9</v>
      </c>
      <c r="E181" s="383">
        <v>314</v>
      </c>
      <c r="F181" s="383">
        <v>263</v>
      </c>
      <c r="G181" s="383">
        <v>288</v>
      </c>
      <c r="H181" s="383">
        <v>2767</v>
      </c>
      <c r="I181" s="382">
        <v>2479</v>
      </c>
      <c r="J181" s="382">
        <v>3</v>
      </c>
      <c r="K181" s="384">
        <v>86.51</v>
      </c>
      <c r="L181" s="384">
        <v>82.82</v>
      </c>
      <c r="M181" s="384">
        <v>3.85</v>
      </c>
      <c r="N181" s="384">
        <v>88.76</v>
      </c>
      <c r="O181" s="385">
        <v>1594</v>
      </c>
      <c r="P181" s="382">
        <v>108.51</v>
      </c>
      <c r="Q181" s="382">
        <v>76.78</v>
      </c>
      <c r="R181" s="382">
        <v>67.959999999999994</v>
      </c>
      <c r="S181" s="382">
        <v>176.47</v>
      </c>
      <c r="T181" s="382">
        <v>444</v>
      </c>
      <c r="U181" s="382">
        <v>93.21</v>
      </c>
      <c r="V181" s="382">
        <v>241</v>
      </c>
      <c r="W181" s="382">
        <v>0</v>
      </c>
      <c r="X181" s="382">
        <v>0</v>
      </c>
      <c r="Y181" s="382">
        <v>205</v>
      </c>
      <c r="Z181" s="382">
        <v>2</v>
      </c>
      <c r="AA181" s="382">
        <v>14</v>
      </c>
      <c r="AB181" s="382">
        <v>13</v>
      </c>
      <c r="AC181" s="382">
        <v>7</v>
      </c>
      <c r="AD181" s="386">
        <v>1893</v>
      </c>
      <c r="AE181" s="386">
        <v>14</v>
      </c>
      <c r="AF181" s="386">
        <v>53</v>
      </c>
      <c r="AG181" s="386">
        <v>67</v>
      </c>
    </row>
    <row r="182" spans="1:33" x14ac:dyDescent="0.25">
      <c r="A182" s="381" t="s">
        <v>424</v>
      </c>
      <c r="B182" s="387" t="s">
        <v>425</v>
      </c>
      <c r="C182" s="383">
        <v>7263</v>
      </c>
      <c r="D182" s="383">
        <v>232</v>
      </c>
      <c r="E182" s="383">
        <v>1314</v>
      </c>
      <c r="F182" s="383">
        <v>1488</v>
      </c>
      <c r="G182" s="383">
        <v>342</v>
      </c>
      <c r="H182" s="383">
        <v>10639</v>
      </c>
      <c r="I182" s="382">
        <v>10297</v>
      </c>
      <c r="J182" s="382">
        <v>30</v>
      </c>
      <c r="K182" s="384">
        <v>77.599999999999994</v>
      </c>
      <c r="L182" s="384">
        <v>75.709999999999994</v>
      </c>
      <c r="M182" s="384">
        <v>10.14</v>
      </c>
      <c r="N182" s="384">
        <v>86.09</v>
      </c>
      <c r="O182" s="385">
        <v>5764</v>
      </c>
      <c r="P182" s="382">
        <v>83.81</v>
      </c>
      <c r="Q182" s="382">
        <v>76.03</v>
      </c>
      <c r="R182" s="382">
        <v>62.03</v>
      </c>
      <c r="S182" s="382">
        <v>144.31</v>
      </c>
      <c r="T182" s="382">
        <v>2143</v>
      </c>
      <c r="U182" s="382">
        <v>101.11</v>
      </c>
      <c r="V182" s="382">
        <v>1114</v>
      </c>
      <c r="W182" s="382">
        <v>192.2</v>
      </c>
      <c r="X182" s="382">
        <v>362</v>
      </c>
      <c r="Y182" s="382">
        <v>183</v>
      </c>
      <c r="Z182" s="382">
        <v>42</v>
      </c>
      <c r="AA182" s="382">
        <v>4</v>
      </c>
      <c r="AB182" s="382">
        <v>29</v>
      </c>
      <c r="AC182" s="382">
        <v>6</v>
      </c>
      <c r="AD182" s="386">
        <v>6693</v>
      </c>
      <c r="AE182" s="386">
        <v>69</v>
      </c>
      <c r="AF182" s="386">
        <v>40</v>
      </c>
      <c r="AG182" s="386">
        <v>109</v>
      </c>
    </row>
    <row r="183" spans="1:33" x14ac:dyDescent="0.25">
      <c r="A183" s="381" t="s">
        <v>426</v>
      </c>
      <c r="B183" s="387" t="s">
        <v>427</v>
      </c>
      <c r="C183" s="383">
        <v>8858</v>
      </c>
      <c r="D183" s="383">
        <v>15</v>
      </c>
      <c r="E183" s="383">
        <v>124</v>
      </c>
      <c r="F183" s="383">
        <v>876</v>
      </c>
      <c r="G183" s="383">
        <v>250</v>
      </c>
      <c r="H183" s="383">
        <v>10123</v>
      </c>
      <c r="I183" s="382">
        <v>9873</v>
      </c>
      <c r="J183" s="382">
        <v>5</v>
      </c>
      <c r="K183" s="384">
        <v>81.680000000000007</v>
      </c>
      <c r="L183" s="384">
        <v>81.69</v>
      </c>
      <c r="M183" s="384">
        <v>6.65</v>
      </c>
      <c r="N183" s="384">
        <v>82.38</v>
      </c>
      <c r="O183" s="385">
        <v>8323</v>
      </c>
      <c r="P183" s="382">
        <v>76.55</v>
      </c>
      <c r="Q183" s="382">
        <v>74.760000000000005</v>
      </c>
      <c r="R183" s="382">
        <v>28.54</v>
      </c>
      <c r="S183" s="382">
        <v>85.34</v>
      </c>
      <c r="T183" s="382">
        <v>818</v>
      </c>
      <c r="U183" s="382">
        <v>91.69</v>
      </c>
      <c r="V183" s="382">
        <v>520</v>
      </c>
      <c r="W183" s="382">
        <v>222.4</v>
      </c>
      <c r="X183" s="382">
        <v>96</v>
      </c>
      <c r="Y183" s="382">
        <v>0</v>
      </c>
      <c r="Z183" s="382">
        <v>22</v>
      </c>
      <c r="AA183" s="382">
        <v>36</v>
      </c>
      <c r="AB183" s="382">
        <v>7</v>
      </c>
      <c r="AC183" s="382">
        <v>3</v>
      </c>
      <c r="AD183" s="386">
        <v>8858</v>
      </c>
      <c r="AE183" s="386">
        <v>32</v>
      </c>
      <c r="AF183" s="386">
        <v>77</v>
      </c>
      <c r="AG183" s="386">
        <v>109</v>
      </c>
    </row>
    <row r="184" spans="1:33" x14ac:dyDescent="0.25">
      <c r="A184" s="381" t="s">
        <v>428</v>
      </c>
      <c r="B184" s="387" t="s">
        <v>429</v>
      </c>
      <c r="C184" s="383">
        <v>12132</v>
      </c>
      <c r="D184" s="383">
        <v>16</v>
      </c>
      <c r="E184" s="383">
        <v>918</v>
      </c>
      <c r="F184" s="383">
        <v>831</v>
      </c>
      <c r="G184" s="383">
        <v>2421</v>
      </c>
      <c r="H184" s="383">
        <v>16318</v>
      </c>
      <c r="I184" s="382">
        <v>13897</v>
      </c>
      <c r="J184" s="382">
        <v>87</v>
      </c>
      <c r="K184" s="384">
        <v>118.61</v>
      </c>
      <c r="L184" s="384">
        <v>115.67</v>
      </c>
      <c r="M184" s="384">
        <v>11.1</v>
      </c>
      <c r="N184" s="384">
        <v>124.79</v>
      </c>
      <c r="O184" s="385">
        <v>9282</v>
      </c>
      <c r="P184" s="382">
        <v>105.04</v>
      </c>
      <c r="Q184" s="382">
        <v>100.91</v>
      </c>
      <c r="R184" s="382">
        <v>77.02</v>
      </c>
      <c r="S184" s="382">
        <v>156.05000000000001</v>
      </c>
      <c r="T184" s="382">
        <v>1516</v>
      </c>
      <c r="U184" s="382">
        <v>190.28</v>
      </c>
      <c r="V184" s="382">
        <v>943</v>
      </c>
      <c r="W184" s="382">
        <v>179.29</v>
      </c>
      <c r="X184" s="382">
        <v>13</v>
      </c>
      <c r="Y184" s="382">
        <v>0</v>
      </c>
      <c r="Z184" s="382">
        <v>4</v>
      </c>
      <c r="AA184" s="382">
        <v>5</v>
      </c>
      <c r="AB184" s="382">
        <v>141</v>
      </c>
      <c r="AC184" s="382">
        <v>72</v>
      </c>
      <c r="AD184" s="386">
        <v>10987</v>
      </c>
      <c r="AE184" s="386">
        <v>146</v>
      </c>
      <c r="AF184" s="386">
        <v>62</v>
      </c>
      <c r="AG184" s="386">
        <v>208</v>
      </c>
    </row>
    <row r="185" spans="1:33" x14ac:dyDescent="0.25">
      <c r="A185" s="381" t="s">
        <v>430</v>
      </c>
      <c r="B185" s="387" t="s">
        <v>431</v>
      </c>
      <c r="C185" s="383">
        <v>3849</v>
      </c>
      <c r="D185" s="383">
        <v>0</v>
      </c>
      <c r="E185" s="383">
        <v>80</v>
      </c>
      <c r="F185" s="383">
        <v>765</v>
      </c>
      <c r="G185" s="383">
        <v>327</v>
      </c>
      <c r="H185" s="383">
        <v>5021</v>
      </c>
      <c r="I185" s="382">
        <v>4694</v>
      </c>
      <c r="J185" s="382">
        <v>3</v>
      </c>
      <c r="K185" s="384">
        <v>84.06</v>
      </c>
      <c r="L185" s="384">
        <v>83.4</v>
      </c>
      <c r="M185" s="384">
        <v>3.59</v>
      </c>
      <c r="N185" s="384">
        <v>86.32</v>
      </c>
      <c r="O185" s="385">
        <v>3333</v>
      </c>
      <c r="P185" s="382">
        <v>80.739999999999995</v>
      </c>
      <c r="Q185" s="382">
        <v>74.22</v>
      </c>
      <c r="R185" s="382">
        <v>20.07</v>
      </c>
      <c r="S185" s="382">
        <v>100.29</v>
      </c>
      <c r="T185" s="382">
        <v>774</v>
      </c>
      <c r="U185" s="382">
        <v>113.92</v>
      </c>
      <c r="V185" s="382">
        <v>487</v>
      </c>
      <c r="W185" s="382">
        <v>0</v>
      </c>
      <c r="X185" s="382">
        <v>0</v>
      </c>
      <c r="Y185" s="382">
        <v>16</v>
      </c>
      <c r="Z185" s="382">
        <v>8</v>
      </c>
      <c r="AA185" s="382">
        <v>10</v>
      </c>
      <c r="AB185" s="382">
        <v>26</v>
      </c>
      <c r="AC185" s="382">
        <v>4</v>
      </c>
      <c r="AD185" s="386">
        <v>3849</v>
      </c>
      <c r="AE185" s="386">
        <v>19</v>
      </c>
      <c r="AF185" s="386">
        <v>52</v>
      </c>
      <c r="AG185" s="386">
        <v>71</v>
      </c>
    </row>
    <row r="186" spans="1:33" x14ac:dyDescent="0.25">
      <c r="A186" s="381" t="s">
        <v>432</v>
      </c>
      <c r="B186" s="387" t="s">
        <v>433</v>
      </c>
      <c r="C186" s="383">
        <v>772</v>
      </c>
      <c r="D186" s="383">
        <v>36</v>
      </c>
      <c r="E186" s="383">
        <v>84</v>
      </c>
      <c r="F186" s="383">
        <v>145</v>
      </c>
      <c r="G186" s="383">
        <v>107</v>
      </c>
      <c r="H186" s="383">
        <v>1144</v>
      </c>
      <c r="I186" s="382">
        <v>1037</v>
      </c>
      <c r="J186" s="382">
        <v>0</v>
      </c>
      <c r="K186" s="384">
        <v>89.22</v>
      </c>
      <c r="L186" s="384">
        <v>88.15</v>
      </c>
      <c r="M186" s="384">
        <v>4.49</v>
      </c>
      <c r="N186" s="384">
        <v>91.47</v>
      </c>
      <c r="O186" s="385">
        <v>584</v>
      </c>
      <c r="P186" s="382">
        <v>97.33</v>
      </c>
      <c r="Q186" s="382">
        <v>86.03</v>
      </c>
      <c r="R186" s="382">
        <v>31.75</v>
      </c>
      <c r="S186" s="382">
        <v>126.22</v>
      </c>
      <c r="T186" s="382">
        <v>222</v>
      </c>
      <c r="U186" s="382">
        <v>99.87</v>
      </c>
      <c r="V186" s="382">
        <v>199</v>
      </c>
      <c r="W186" s="382">
        <v>0</v>
      </c>
      <c r="X186" s="382">
        <v>0</v>
      </c>
      <c r="Y186" s="382">
        <v>31</v>
      </c>
      <c r="Z186" s="382">
        <v>0</v>
      </c>
      <c r="AA186" s="382">
        <v>3</v>
      </c>
      <c r="AB186" s="382">
        <v>1</v>
      </c>
      <c r="AC186" s="382">
        <v>5</v>
      </c>
      <c r="AD186" s="386">
        <v>696</v>
      </c>
      <c r="AE186" s="386">
        <v>7</v>
      </c>
      <c r="AF186" s="386">
        <v>2</v>
      </c>
      <c r="AG186" s="386">
        <v>9</v>
      </c>
    </row>
    <row r="187" spans="1:33" x14ac:dyDescent="0.25">
      <c r="A187" s="381" t="s">
        <v>434</v>
      </c>
      <c r="B187" s="387" t="s">
        <v>435</v>
      </c>
      <c r="C187" s="383">
        <v>8011</v>
      </c>
      <c r="D187" s="383">
        <v>0</v>
      </c>
      <c r="E187" s="383">
        <v>408</v>
      </c>
      <c r="F187" s="383">
        <v>1207</v>
      </c>
      <c r="G187" s="383">
        <v>226</v>
      </c>
      <c r="H187" s="383">
        <v>9852</v>
      </c>
      <c r="I187" s="382">
        <v>9626</v>
      </c>
      <c r="J187" s="382">
        <v>0</v>
      </c>
      <c r="K187" s="384">
        <v>78.69</v>
      </c>
      <c r="L187" s="384">
        <v>77.45</v>
      </c>
      <c r="M187" s="384">
        <v>2.2999999999999998</v>
      </c>
      <c r="N187" s="384">
        <v>80.83</v>
      </c>
      <c r="O187" s="385">
        <v>7964</v>
      </c>
      <c r="P187" s="382">
        <v>86.98</v>
      </c>
      <c r="Q187" s="382">
        <v>68.239999999999995</v>
      </c>
      <c r="R187" s="382">
        <v>28.3</v>
      </c>
      <c r="S187" s="382">
        <v>115.08</v>
      </c>
      <c r="T187" s="382">
        <v>1486</v>
      </c>
      <c r="U187" s="382">
        <v>91.21</v>
      </c>
      <c r="V187" s="382">
        <v>35</v>
      </c>
      <c r="W187" s="382">
        <v>0</v>
      </c>
      <c r="X187" s="382">
        <v>0</v>
      </c>
      <c r="Y187" s="382">
        <v>0</v>
      </c>
      <c r="Z187" s="382">
        <v>28</v>
      </c>
      <c r="AA187" s="382">
        <v>25</v>
      </c>
      <c r="AB187" s="382">
        <v>15</v>
      </c>
      <c r="AC187" s="382">
        <v>7</v>
      </c>
      <c r="AD187" s="386">
        <v>8009</v>
      </c>
      <c r="AE187" s="386">
        <v>64</v>
      </c>
      <c r="AF187" s="386">
        <v>171</v>
      </c>
      <c r="AG187" s="386">
        <v>235</v>
      </c>
    </row>
    <row r="188" spans="1:33" x14ac:dyDescent="0.25">
      <c r="A188" s="381" t="s">
        <v>436</v>
      </c>
      <c r="B188" s="387" t="s">
        <v>437</v>
      </c>
      <c r="C188" s="383">
        <v>9440</v>
      </c>
      <c r="D188" s="383">
        <v>0</v>
      </c>
      <c r="E188" s="383">
        <v>255</v>
      </c>
      <c r="F188" s="383">
        <v>967</v>
      </c>
      <c r="G188" s="383">
        <v>598</v>
      </c>
      <c r="H188" s="383">
        <v>11260</v>
      </c>
      <c r="I188" s="382">
        <v>10662</v>
      </c>
      <c r="J188" s="382">
        <v>739</v>
      </c>
      <c r="K188" s="384">
        <v>107.95</v>
      </c>
      <c r="L188" s="384">
        <v>114.77</v>
      </c>
      <c r="M188" s="384">
        <v>4.6399999999999997</v>
      </c>
      <c r="N188" s="384">
        <v>109.43</v>
      </c>
      <c r="O188" s="385">
        <v>9137</v>
      </c>
      <c r="P188" s="382">
        <v>95.48</v>
      </c>
      <c r="Q188" s="382">
        <v>95.2</v>
      </c>
      <c r="R188" s="382">
        <v>23.49</v>
      </c>
      <c r="S188" s="382">
        <v>118.54</v>
      </c>
      <c r="T188" s="382">
        <v>1200</v>
      </c>
      <c r="U188" s="382">
        <v>136.51</v>
      </c>
      <c r="V188" s="382">
        <v>229</v>
      </c>
      <c r="W188" s="382">
        <v>0</v>
      </c>
      <c r="X188" s="382">
        <v>0</v>
      </c>
      <c r="Y188" s="382">
        <v>0</v>
      </c>
      <c r="Z188" s="382">
        <v>17</v>
      </c>
      <c r="AA188" s="382">
        <v>9</v>
      </c>
      <c r="AB188" s="382">
        <v>27</v>
      </c>
      <c r="AC188" s="382">
        <v>11</v>
      </c>
      <c r="AD188" s="386">
        <v>9389</v>
      </c>
      <c r="AE188" s="386">
        <v>29</v>
      </c>
      <c r="AF188" s="386">
        <v>12</v>
      </c>
      <c r="AG188" s="386">
        <v>41</v>
      </c>
    </row>
    <row r="189" spans="1:33" x14ac:dyDescent="0.25">
      <c r="A189" s="381" t="s">
        <v>438</v>
      </c>
      <c r="B189" s="387" t="s">
        <v>439</v>
      </c>
      <c r="C189" s="383">
        <v>1071</v>
      </c>
      <c r="D189" s="383">
        <v>0</v>
      </c>
      <c r="E189" s="383">
        <v>96</v>
      </c>
      <c r="F189" s="383">
        <v>98</v>
      </c>
      <c r="G189" s="383">
        <v>370</v>
      </c>
      <c r="H189" s="383">
        <v>1635</v>
      </c>
      <c r="I189" s="382">
        <v>1265</v>
      </c>
      <c r="J189" s="382">
        <v>0</v>
      </c>
      <c r="K189" s="384">
        <v>87.35</v>
      </c>
      <c r="L189" s="384">
        <v>85.55</v>
      </c>
      <c r="M189" s="384">
        <v>4.18</v>
      </c>
      <c r="N189" s="384">
        <v>90.78</v>
      </c>
      <c r="O189" s="385">
        <v>777</v>
      </c>
      <c r="P189" s="382">
        <v>99.09</v>
      </c>
      <c r="Q189" s="382">
        <v>81.78</v>
      </c>
      <c r="R189" s="382">
        <v>61.74</v>
      </c>
      <c r="S189" s="382">
        <v>160.5</v>
      </c>
      <c r="T189" s="382">
        <v>185</v>
      </c>
      <c r="U189" s="382">
        <v>97.96</v>
      </c>
      <c r="V189" s="382">
        <v>203</v>
      </c>
      <c r="W189" s="382">
        <v>115.39</v>
      </c>
      <c r="X189" s="382">
        <v>1</v>
      </c>
      <c r="Y189" s="382">
        <v>0</v>
      </c>
      <c r="Z189" s="382">
        <v>1</v>
      </c>
      <c r="AA189" s="382">
        <v>1</v>
      </c>
      <c r="AB189" s="382">
        <v>39</v>
      </c>
      <c r="AC189" s="382">
        <v>7</v>
      </c>
      <c r="AD189" s="386">
        <v>1014</v>
      </c>
      <c r="AE189" s="386">
        <v>5</v>
      </c>
      <c r="AF189" s="386">
        <v>2</v>
      </c>
      <c r="AG189" s="386">
        <v>7</v>
      </c>
    </row>
    <row r="190" spans="1:33" x14ac:dyDescent="0.25">
      <c r="A190" s="381" t="s">
        <v>440</v>
      </c>
      <c r="B190" s="387" t="s">
        <v>441</v>
      </c>
      <c r="C190" s="383">
        <v>10845</v>
      </c>
      <c r="D190" s="383">
        <v>0</v>
      </c>
      <c r="E190" s="383">
        <v>157</v>
      </c>
      <c r="F190" s="383">
        <v>317</v>
      </c>
      <c r="G190" s="383">
        <v>77</v>
      </c>
      <c r="H190" s="383">
        <v>11396</v>
      </c>
      <c r="I190" s="382">
        <v>11319</v>
      </c>
      <c r="J190" s="382">
        <v>0</v>
      </c>
      <c r="K190" s="384">
        <v>79.55</v>
      </c>
      <c r="L190" s="384">
        <v>79.37</v>
      </c>
      <c r="M190" s="384">
        <v>3.13</v>
      </c>
      <c r="N190" s="384">
        <v>81.010000000000005</v>
      </c>
      <c r="O190" s="385">
        <v>10400</v>
      </c>
      <c r="P190" s="382">
        <v>95.42</v>
      </c>
      <c r="Q190" s="382">
        <v>79.25</v>
      </c>
      <c r="R190" s="382">
        <v>53.21</v>
      </c>
      <c r="S190" s="382">
        <v>144.58000000000001</v>
      </c>
      <c r="T190" s="382">
        <v>434</v>
      </c>
      <c r="U190" s="382">
        <v>93.16</v>
      </c>
      <c r="V190" s="382">
        <v>400</v>
      </c>
      <c r="W190" s="382">
        <v>252.17</v>
      </c>
      <c r="X190" s="382">
        <v>32</v>
      </c>
      <c r="Y190" s="382">
        <v>0</v>
      </c>
      <c r="Z190" s="382">
        <v>29</v>
      </c>
      <c r="AA190" s="382">
        <v>1</v>
      </c>
      <c r="AB190" s="382">
        <v>0</v>
      </c>
      <c r="AC190" s="382">
        <v>1</v>
      </c>
      <c r="AD190" s="386">
        <v>10806</v>
      </c>
      <c r="AE190" s="386">
        <v>116</v>
      </c>
      <c r="AF190" s="386">
        <v>8</v>
      </c>
      <c r="AG190" s="386">
        <v>124</v>
      </c>
    </row>
    <row r="191" spans="1:33" x14ac:dyDescent="0.25">
      <c r="A191" s="381" t="s">
        <v>442</v>
      </c>
      <c r="B191" s="387" t="s">
        <v>443</v>
      </c>
      <c r="C191" s="383">
        <v>5947</v>
      </c>
      <c r="D191" s="383">
        <v>0</v>
      </c>
      <c r="E191" s="383">
        <v>158</v>
      </c>
      <c r="F191" s="383">
        <v>184</v>
      </c>
      <c r="G191" s="383">
        <v>177</v>
      </c>
      <c r="H191" s="383">
        <v>6466</v>
      </c>
      <c r="I191" s="382">
        <v>6289</v>
      </c>
      <c r="J191" s="382">
        <v>2</v>
      </c>
      <c r="K191" s="384">
        <v>87.11</v>
      </c>
      <c r="L191" s="384">
        <v>85.93</v>
      </c>
      <c r="M191" s="384">
        <v>3.08</v>
      </c>
      <c r="N191" s="384">
        <v>89.37</v>
      </c>
      <c r="O191" s="385">
        <v>5320</v>
      </c>
      <c r="P191" s="382">
        <v>92.53</v>
      </c>
      <c r="Q191" s="382">
        <v>72.55</v>
      </c>
      <c r="R191" s="382">
        <v>39.270000000000003</v>
      </c>
      <c r="S191" s="382">
        <v>124.92</v>
      </c>
      <c r="T191" s="382">
        <v>342</v>
      </c>
      <c r="U191" s="382">
        <v>103.84</v>
      </c>
      <c r="V191" s="382">
        <v>622</v>
      </c>
      <c r="W191" s="382">
        <v>0</v>
      </c>
      <c r="X191" s="382">
        <v>0</v>
      </c>
      <c r="Y191" s="382">
        <v>0</v>
      </c>
      <c r="Z191" s="382">
        <v>17</v>
      </c>
      <c r="AA191" s="382">
        <v>56</v>
      </c>
      <c r="AB191" s="382">
        <v>16</v>
      </c>
      <c r="AC191" s="382">
        <v>4</v>
      </c>
      <c r="AD191" s="386">
        <v>5936</v>
      </c>
      <c r="AE191" s="386">
        <v>27</v>
      </c>
      <c r="AF191" s="386">
        <v>47</v>
      </c>
      <c r="AG191" s="386">
        <v>74</v>
      </c>
    </row>
    <row r="192" spans="1:33" ht="14.5" x14ac:dyDescent="0.35">
      <c r="A192" s="388" t="s">
        <v>814</v>
      </c>
      <c r="B192" s="388" t="s">
        <v>812</v>
      </c>
      <c r="C192" s="382">
        <v>13562</v>
      </c>
      <c r="D192" s="382">
        <v>250</v>
      </c>
      <c r="E192" s="382">
        <v>720</v>
      </c>
      <c r="F192" s="382">
        <v>1004</v>
      </c>
      <c r="G192" s="382">
        <v>1482</v>
      </c>
      <c r="H192" s="382">
        <v>17018</v>
      </c>
      <c r="I192" s="382">
        <v>15536</v>
      </c>
      <c r="J192" s="382">
        <v>2</v>
      </c>
      <c r="K192" s="382">
        <v>89.52</v>
      </c>
      <c r="L192" s="382">
        <v>89.19</v>
      </c>
      <c r="M192" s="382">
        <v>5.97</v>
      </c>
      <c r="N192" s="382">
        <v>92.24</v>
      </c>
      <c r="O192" s="382">
        <v>11833</v>
      </c>
      <c r="P192" s="382">
        <v>89.3</v>
      </c>
      <c r="Q192" s="382">
        <v>81.510000000000005</v>
      </c>
      <c r="R192" s="382">
        <v>42.83</v>
      </c>
      <c r="S192" s="382">
        <v>130.66</v>
      </c>
      <c r="T192" s="382">
        <v>1610</v>
      </c>
      <c r="U192" s="382">
        <v>103.27</v>
      </c>
      <c r="V192" s="382">
        <v>1436</v>
      </c>
      <c r="W192" s="382">
        <v>126.6</v>
      </c>
      <c r="X192" s="382">
        <v>7</v>
      </c>
      <c r="Y192" s="382">
        <v>30</v>
      </c>
      <c r="Z192" s="382">
        <v>30</v>
      </c>
      <c r="AA192" s="382">
        <v>5</v>
      </c>
      <c r="AB192" s="382">
        <v>137</v>
      </c>
      <c r="AC192" s="382">
        <v>23</v>
      </c>
      <c r="AD192" s="382">
        <v>13478</v>
      </c>
      <c r="AE192" s="382">
        <v>42</v>
      </c>
      <c r="AF192" s="382">
        <v>80</v>
      </c>
      <c r="AG192" s="382">
        <v>122</v>
      </c>
    </row>
    <row r="193" spans="1:33" x14ac:dyDescent="0.25">
      <c r="A193" s="381" t="s">
        <v>444</v>
      </c>
      <c r="B193" s="387" t="s">
        <v>445</v>
      </c>
      <c r="C193" s="383">
        <v>7868</v>
      </c>
      <c r="D193" s="383">
        <v>0</v>
      </c>
      <c r="E193" s="383">
        <v>398</v>
      </c>
      <c r="F193" s="383">
        <v>632</v>
      </c>
      <c r="G193" s="383">
        <v>541</v>
      </c>
      <c r="H193" s="383">
        <v>9439</v>
      </c>
      <c r="I193" s="382">
        <v>8898</v>
      </c>
      <c r="J193" s="382">
        <v>10</v>
      </c>
      <c r="K193" s="384">
        <v>93.65</v>
      </c>
      <c r="L193" s="384">
        <v>97.37</v>
      </c>
      <c r="M193" s="384">
        <v>7.13</v>
      </c>
      <c r="N193" s="384">
        <v>98.07</v>
      </c>
      <c r="O193" s="385">
        <v>6858</v>
      </c>
      <c r="P193" s="382">
        <v>108.36</v>
      </c>
      <c r="Q193" s="382">
        <v>90.08</v>
      </c>
      <c r="R193" s="382">
        <v>50.09</v>
      </c>
      <c r="S193" s="382">
        <v>158.16999999999999</v>
      </c>
      <c r="T193" s="382">
        <v>871</v>
      </c>
      <c r="U193" s="382">
        <v>124.7</v>
      </c>
      <c r="V193" s="382">
        <v>812</v>
      </c>
      <c r="W193" s="382">
        <v>158.16999999999999</v>
      </c>
      <c r="X193" s="382">
        <v>79</v>
      </c>
      <c r="Y193" s="382">
        <v>0</v>
      </c>
      <c r="Z193" s="382">
        <v>15</v>
      </c>
      <c r="AA193" s="382">
        <v>2</v>
      </c>
      <c r="AB193" s="382">
        <v>42</v>
      </c>
      <c r="AC193" s="382">
        <v>11</v>
      </c>
      <c r="AD193" s="386">
        <v>7676</v>
      </c>
      <c r="AE193" s="386">
        <v>17</v>
      </c>
      <c r="AF193" s="386">
        <v>21</v>
      </c>
      <c r="AG193" s="386">
        <v>38</v>
      </c>
    </row>
    <row r="194" spans="1:33" x14ac:dyDescent="0.25">
      <c r="A194" s="381" t="s">
        <v>446</v>
      </c>
      <c r="B194" s="387" t="s">
        <v>447</v>
      </c>
      <c r="C194" s="383">
        <v>4253</v>
      </c>
      <c r="D194" s="383">
        <v>36</v>
      </c>
      <c r="E194" s="383">
        <v>508</v>
      </c>
      <c r="F194" s="383">
        <v>1278</v>
      </c>
      <c r="G194" s="383">
        <v>343</v>
      </c>
      <c r="H194" s="383">
        <v>6418</v>
      </c>
      <c r="I194" s="382">
        <v>6075</v>
      </c>
      <c r="J194" s="382">
        <v>0</v>
      </c>
      <c r="K194" s="384">
        <v>81.25</v>
      </c>
      <c r="L194" s="384">
        <v>77.75</v>
      </c>
      <c r="M194" s="384">
        <v>8.4499999999999993</v>
      </c>
      <c r="N194" s="384">
        <v>87.97</v>
      </c>
      <c r="O194" s="385">
        <v>3243</v>
      </c>
      <c r="P194" s="382">
        <v>89.66</v>
      </c>
      <c r="Q194" s="382">
        <v>77.739999999999995</v>
      </c>
      <c r="R194" s="382">
        <v>46.51</v>
      </c>
      <c r="S194" s="382">
        <v>135.62</v>
      </c>
      <c r="T194" s="382">
        <v>1519</v>
      </c>
      <c r="U194" s="382">
        <v>101.62</v>
      </c>
      <c r="V194" s="382">
        <v>844</v>
      </c>
      <c r="W194" s="382">
        <v>189.09</v>
      </c>
      <c r="X194" s="382">
        <v>161</v>
      </c>
      <c r="Y194" s="382">
        <v>113</v>
      </c>
      <c r="Z194" s="382">
        <v>2</v>
      </c>
      <c r="AA194" s="382">
        <v>0</v>
      </c>
      <c r="AB194" s="382">
        <v>56</v>
      </c>
      <c r="AC194" s="382">
        <v>5</v>
      </c>
      <c r="AD194" s="386">
        <v>4073</v>
      </c>
      <c r="AE194" s="386">
        <v>47</v>
      </c>
      <c r="AF194" s="386">
        <v>8</v>
      </c>
      <c r="AG194" s="386">
        <v>55</v>
      </c>
    </row>
    <row r="195" spans="1:33" x14ac:dyDescent="0.25">
      <c r="A195" s="381" t="s">
        <v>448</v>
      </c>
      <c r="B195" s="387" t="s">
        <v>449</v>
      </c>
      <c r="C195" s="383">
        <v>1076</v>
      </c>
      <c r="D195" s="383">
        <v>0</v>
      </c>
      <c r="E195" s="383">
        <v>21</v>
      </c>
      <c r="F195" s="383">
        <v>47</v>
      </c>
      <c r="G195" s="383">
        <v>189</v>
      </c>
      <c r="H195" s="383">
        <v>1333</v>
      </c>
      <c r="I195" s="382">
        <v>1144</v>
      </c>
      <c r="J195" s="382">
        <v>0</v>
      </c>
      <c r="K195" s="384">
        <v>97.37</v>
      </c>
      <c r="L195" s="384">
        <v>95.3</v>
      </c>
      <c r="M195" s="384">
        <v>5.16</v>
      </c>
      <c r="N195" s="384">
        <v>100.3</v>
      </c>
      <c r="O195" s="385">
        <v>850</v>
      </c>
      <c r="P195" s="382">
        <v>95.6</v>
      </c>
      <c r="Q195" s="382">
        <v>86.23</v>
      </c>
      <c r="R195" s="382">
        <v>37.729999999999997</v>
      </c>
      <c r="S195" s="382">
        <v>129.79</v>
      </c>
      <c r="T195" s="382">
        <v>64</v>
      </c>
      <c r="U195" s="382">
        <v>111.11</v>
      </c>
      <c r="V195" s="382">
        <v>223</v>
      </c>
      <c r="W195" s="382">
        <v>0</v>
      </c>
      <c r="X195" s="382">
        <v>0</v>
      </c>
      <c r="Y195" s="382">
        <v>0</v>
      </c>
      <c r="Z195" s="382">
        <v>1</v>
      </c>
      <c r="AA195" s="382">
        <v>3</v>
      </c>
      <c r="AB195" s="382">
        <v>10</v>
      </c>
      <c r="AC195" s="382">
        <v>5</v>
      </c>
      <c r="AD195" s="386">
        <v>1074</v>
      </c>
      <c r="AE195" s="386">
        <v>3</v>
      </c>
      <c r="AF195" s="386">
        <v>0</v>
      </c>
      <c r="AG195" s="386">
        <v>3</v>
      </c>
    </row>
    <row r="196" spans="1:33" x14ac:dyDescent="0.25">
      <c r="A196" s="381" t="s">
        <v>450</v>
      </c>
      <c r="B196" s="387" t="s">
        <v>451</v>
      </c>
      <c r="C196" s="383">
        <v>1791</v>
      </c>
      <c r="D196" s="383">
        <v>0</v>
      </c>
      <c r="E196" s="383">
        <v>59</v>
      </c>
      <c r="F196" s="383">
        <v>213</v>
      </c>
      <c r="G196" s="383">
        <v>424</v>
      </c>
      <c r="H196" s="383">
        <v>2487</v>
      </c>
      <c r="I196" s="382">
        <v>2063</v>
      </c>
      <c r="J196" s="382">
        <v>0</v>
      </c>
      <c r="K196" s="384">
        <v>87.06</v>
      </c>
      <c r="L196" s="384">
        <v>86.66</v>
      </c>
      <c r="M196" s="384">
        <v>7.04</v>
      </c>
      <c r="N196" s="384">
        <v>92.62</v>
      </c>
      <c r="O196" s="385">
        <v>1309</v>
      </c>
      <c r="P196" s="382">
        <v>86.42</v>
      </c>
      <c r="Q196" s="382">
        <v>90.55</v>
      </c>
      <c r="R196" s="382">
        <v>42.06</v>
      </c>
      <c r="S196" s="382">
        <v>125.12</v>
      </c>
      <c r="T196" s="382">
        <v>250</v>
      </c>
      <c r="U196" s="382">
        <v>98.2</v>
      </c>
      <c r="V196" s="382">
        <v>463</v>
      </c>
      <c r="W196" s="382">
        <v>0</v>
      </c>
      <c r="X196" s="382">
        <v>0</v>
      </c>
      <c r="Y196" s="382">
        <v>0</v>
      </c>
      <c r="Z196" s="382">
        <v>0</v>
      </c>
      <c r="AA196" s="382">
        <v>1</v>
      </c>
      <c r="AB196" s="382">
        <v>11</v>
      </c>
      <c r="AC196" s="382">
        <v>9</v>
      </c>
      <c r="AD196" s="386">
        <v>1791</v>
      </c>
      <c r="AE196" s="386">
        <v>8</v>
      </c>
      <c r="AF196" s="386">
        <v>1</v>
      </c>
      <c r="AG196" s="386">
        <v>9</v>
      </c>
    </row>
    <row r="197" spans="1:33" x14ac:dyDescent="0.25">
      <c r="A197" s="381" t="s">
        <v>452</v>
      </c>
      <c r="B197" s="387" t="s">
        <v>453</v>
      </c>
      <c r="C197" s="383">
        <v>14807</v>
      </c>
      <c r="D197" s="383">
        <v>22</v>
      </c>
      <c r="E197" s="383">
        <v>400</v>
      </c>
      <c r="F197" s="383">
        <v>2534</v>
      </c>
      <c r="G197" s="383">
        <v>419</v>
      </c>
      <c r="H197" s="383">
        <v>18182</v>
      </c>
      <c r="I197" s="382">
        <v>17763</v>
      </c>
      <c r="J197" s="382">
        <v>11</v>
      </c>
      <c r="K197" s="384">
        <v>74.59</v>
      </c>
      <c r="L197" s="384">
        <v>72.180000000000007</v>
      </c>
      <c r="M197" s="384">
        <v>3.25</v>
      </c>
      <c r="N197" s="384">
        <v>76.2</v>
      </c>
      <c r="O197" s="385">
        <v>13419</v>
      </c>
      <c r="P197" s="382">
        <v>75.72</v>
      </c>
      <c r="Q197" s="382">
        <v>66.55</v>
      </c>
      <c r="R197" s="382">
        <v>25.65</v>
      </c>
      <c r="S197" s="382">
        <v>99.93</v>
      </c>
      <c r="T197" s="382">
        <v>2766</v>
      </c>
      <c r="U197" s="382">
        <v>96.28</v>
      </c>
      <c r="V197" s="382">
        <v>1163</v>
      </c>
      <c r="W197" s="382">
        <v>137.36000000000001</v>
      </c>
      <c r="X197" s="382">
        <v>73</v>
      </c>
      <c r="Y197" s="382">
        <v>206</v>
      </c>
      <c r="Z197" s="382">
        <v>12</v>
      </c>
      <c r="AA197" s="382">
        <v>0</v>
      </c>
      <c r="AB197" s="382">
        <v>14</v>
      </c>
      <c r="AC197" s="382">
        <v>4</v>
      </c>
      <c r="AD197" s="386">
        <v>14566</v>
      </c>
      <c r="AE197" s="386">
        <v>167</v>
      </c>
      <c r="AF197" s="386">
        <v>39</v>
      </c>
      <c r="AG197" s="386">
        <v>206</v>
      </c>
    </row>
    <row r="198" spans="1:33" x14ac:dyDescent="0.25">
      <c r="A198" s="381" t="s">
        <v>454</v>
      </c>
      <c r="B198" s="387" t="s">
        <v>455</v>
      </c>
      <c r="C198" s="383">
        <v>3908</v>
      </c>
      <c r="D198" s="383">
        <v>0</v>
      </c>
      <c r="E198" s="383">
        <v>510</v>
      </c>
      <c r="F198" s="383">
        <v>1181</v>
      </c>
      <c r="G198" s="383">
        <v>280</v>
      </c>
      <c r="H198" s="383">
        <v>5879</v>
      </c>
      <c r="I198" s="382">
        <v>5599</v>
      </c>
      <c r="J198" s="382">
        <v>5</v>
      </c>
      <c r="K198" s="384">
        <v>87.99</v>
      </c>
      <c r="L198" s="384">
        <v>87.62</v>
      </c>
      <c r="M198" s="384">
        <v>6.3</v>
      </c>
      <c r="N198" s="384">
        <v>92.99</v>
      </c>
      <c r="O198" s="385">
        <v>3499</v>
      </c>
      <c r="P198" s="382">
        <v>86.5</v>
      </c>
      <c r="Q198" s="382">
        <v>81.010000000000005</v>
      </c>
      <c r="R198" s="382">
        <v>43.41</v>
      </c>
      <c r="S198" s="382">
        <v>127.6</v>
      </c>
      <c r="T198" s="382">
        <v>1033</v>
      </c>
      <c r="U198" s="382">
        <v>105.13</v>
      </c>
      <c r="V198" s="382">
        <v>345</v>
      </c>
      <c r="W198" s="382">
        <v>0</v>
      </c>
      <c r="X198" s="382">
        <v>0</v>
      </c>
      <c r="Y198" s="382">
        <v>0</v>
      </c>
      <c r="Z198" s="382">
        <v>0</v>
      </c>
      <c r="AA198" s="382">
        <v>1</v>
      </c>
      <c r="AB198" s="382">
        <v>5</v>
      </c>
      <c r="AC198" s="382">
        <v>9</v>
      </c>
      <c r="AD198" s="386">
        <v>3892</v>
      </c>
      <c r="AE198" s="386">
        <v>15</v>
      </c>
      <c r="AF198" s="386">
        <v>19</v>
      </c>
      <c r="AG198" s="386">
        <v>34</v>
      </c>
    </row>
    <row r="199" spans="1:33" x14ac:dyDescent="0.25">
      <c r="A199" s="381" t="s">
        <v>456</v>
      </c>
      <c r="B199" s="387" t="s">
        <v>457</v>
      </c>
      <c r="C199" s="383">
        <v>6732</v>
      </c>
      <c r="D199" s="383">
        <v>7</v>
      </c>
      <c r="E199" s="383">
        <v>1241</v>
      </c>
      <c r="F199" s="383">
        <v>2242</v>
      </c>
      <c r="G199" s="383">
        <v>290</v>
      </c>
      <c r="H199" s="383">
        <v>10512</v>
      </c>
      <c r="I199" s="382">
        <v>10222</v>
      </c>
      <c r="J199" s="382">
        <v>40</v>
      </c>
      <c r="K199" s="384">
        <v>84.57</v>
      </c>
      <c r="L199" s="384">
        <v>82.4</v>
      </c>
      <c r="M199" s="384">
        <v>6.16</v>
      </c>
      <c r="N199" s="384">
        <v>88.5</v>
      </c>
      <c r="O199" s="385">
        <v>5837</v>
      </c>
      <c r="P199" s="382">
        <v>86.38</v>
      </c>
      <c r="Q199" s="382">
        <v>79.22</v>
      </c>
      <c r="R199" s="382">
        <v>74.599999999999994</v>
      </c>
      <c r="S199" s="382">
        <v>159.13999999999999</v>
      </c>
      <c r="T199" s="382">
        <v>2872</v>
      </c>
      <c r="U199" s="382">
        <v>99.08</v>
      </c>
      <c r="V199" s="382">
        <v>476</v>
      </c>
      <c r="W199" s="382">
        <v>180.6</v>
      </c>
      <c r="X199" s="382">
        <v>177</v>
      </c>
      <c r="Y199" s="382">
        <v>110</v>
      </c>
      <c r="Z199" s="382">
        <v>6</v>
      </c>
      <c r="AA199" s="382">
        <v>47</v>
      </c>
      <c r="AB199" s="382">
        <v>8</v>
      </c>
      <c r="AC199" s="382">
        <v>21</v>
      </c>
      <c r="AD199" s="386">
        <v>6677</v>
      </c>
      <c r="AE199" s="386">
        <v>20</v>
      </c>
      <c r="AF199" s="386">
        <v>32</v>
      </c>
      <c r="AG199" s="386">
        <v>52</v>
      </c>
    </row>
    <row r="200" spans="1:33" x14ac:dyDescent="0.25">
      <c r="A200" s="381" t="s">
        <v>458</v>
      </c>
      <c r="B200" s="387" t="s">
        <v>459</v>
      </c>
      <c r="C200" s="383">
        <v>2129</v>
      </c>
      <c r="D200" s="383">
        <v>0</v>
      </c>
      <c r="E200" s="383">
        <v>234</v>
      </c>
      <c r="F200" s="383">
        <v>360</v>
      </c>
      <c r="G200" s="383">
        <v>339</v>
      </c>
      <c r="H200" s="383">
        <v>3062</v>
      </c>
      <c r="I200" s="382">
        <v>2723</v>
      </c>
      <c r="J200" s="382">
        <v>9</v>
      </c>
      <c r="K200" s="384">
        <v>95.26</v>
      </c>
      <c r="L200" s="384">
        <v>93.26</v>
      </c>
      <c r="M200" s="384">
        <v>7.26</v>
      </c>
      <c r="N200" s="384">
        <v>101.29</v>
      </c>
      <c r="O200" s="385">
        <v>1678</v>
      </c>
      <c r="P200" s="382">
        <v>113.98</v>
      </c>
      <c r="Q200" s="382">
        <v>82.23</v>
      </c>
      <c r="R200" s="382">
        <v>55.48</v>
      </c>
      <c r="S200" s="382">
        <v>168.03</v>
      </c>
      <c r="T200" s="382">
        <v>463</v>
      </c>
      <c r="U200" s="382">
        <v>112.53</v>
      </c>
      <c r="V200" s="382">
        <v>430</v>
      </c>
      <c r="W200" s="382">
        <v>171.76</v>
      </c>
      <c r="X200" s="382">
        <v>60</v>
      </c>
      <c r="Y200" s="382">
        <v>0</v>
      </c>
      <c r="Z200" s="382">
        <v>0</v>
      </c>
      <c r="AA200" s="382">
        <v>1</v>
      </c>
      <c r="AB200" s="382">
        <v>33</v>
      </c>
      <c r="AC200" s="382">
        <v>15</v>
      </c>
      <c r="AD200" s="386">
        <v>2129</v>
      </c>
      <c r="AE200" s="386">
        <v>15</v>
      </c>
      <c r="AF200" s="386">
        <v>14</v>
      </c>
      <c r="AG200" s="386">
        <v>29</v>
      </c>
    </row>
    <row r="201" spans="1:33" x14ac:dyDescent="0.25">
      <c r="A201" s="381" t="s">
        <v>460</v>
      </c>
      <c r="B201" s="387" t="s">
        <v>461</v>
      </c>
      <c r="C201" s="383">
        <v>490</v>
      </c>
      <c r="D201" s="383">
        <v>0</v>
      </c>
      <c r="E201" s="383">
        <v>62</v>
      </c>
      <c r="F201" s="383">
        <v>94</v>
      </c>
      <c r="G201" s="383">
        <v>112</v>
      </c>
      <c r="H201" s="383">
        <v>758</v>
      </c>
      <c r="I201" s="382">
        <v>646</v>
      </c>
      <c r="J201" s="382">
        <v>0</v>
      </c>
      <c r="K201" s="384">
        <v>91.27</v>
      </c>
      <c r="L201" s="384">
        <v>90.61</v>
      </c>
      <c r="M201" s="384">
        <v>5.27</v>
      </c>
      <c r="N201" s="384">
        <v>94.14</v>
      </c>
      <c r="O201" s="385">
        <v>282</v>
      </c>
      <c r="P201" s="382">
        <v>115.8</v>
      </c>
      <c r="Q201" s="382">
        <v>76.150000000000006</v>
      </c>
      <c r="R201" s="382">
        <v>41.84</v>
      </c>
      <c r="S201" s="382">
        <v>157.65</v>
      </c>
      <c r="T201" s="382">
        <v>145</v>
      </c>
      <c r="U201" s="382">
        <v>103.58</v>
      </c>
      <c r="V201" s="382">
        <v>115</v>
      </c>
      <c r="W201" s="382">
        <v>0</v>
      </c>
      <c r="X201" s="382">
        <v>0</v>
      </c>
      <c r="Y201" s="382">
        <v>0</v>
      </c>
      <c r="Z201" s="382">
        <v>0</v>
      </c>
      <c r="AA201" s="382">
        <v>0</v>
      </c>
      <c r="AB201" s="382">
        <v>1</v>
      </c>
      <c r="AC201" s="382">
        <v>5</v>
      </c>
      <c r="AD201" s="386">
        <v>455</v>
      </c>
      <c r="AE201" s="386">
        <v>2</v>
      </c>
      <c r="AF201" s="386">
        <v>0</v>
      </c>
      <c r="AG201" s="386">
        <v>2</v>
      </c>
    </row>
    <row r="202" spans="1:33" x14ac:dyDescent="0.25">
      <c r="A202" s="381" t="s">
        <v>462</v>
      </c>
      <c r="B202" s="387" t="s">
        <v>463</v>
      </c>
      <c r="C202" s="383">
        <v>17473</v>
      </c>
      <c r="D202" s="383">
        <v>1</v>
      </c>
      <c r="E202" s="383">
        <v>570</v>
      </c>
      <c r="F202" s="383">
        <v>679</v>
      </c>
      <c r="G202" s="383">
        <v>247</v>
      </c>
      <c r="H202" s="383">
        <v>18970</v>
      </c>
      <c r="I202" s="382">
        <v>18723</v>
      </c>
      <c r="J202" s="382">
        <v>20</v>
      </c>
      <c r="K202" s="384">
        <v>76.48</v>
      </c>
      <c r="L202" s="384">
        <v>76.290000000000006</v>
      </c>
      <c r="M202" s="384">
        <v>3.3</v>
      </c>
      <c r="N202" s="384">
        <v>78.209999999999994</v>
      </c>
      <c r="O202" s="385">
        <v>15585</v>
      </c>
      <c r="P202" s="382">
        <v>78.180000000000007</v>
      </c>
      <c r="Q202" s="382">
        <v>74.650000000000006</v>
      </c>
      <c r="R202" s="382">
        <v>35.909999999999997</v>
      </c>
      <c r="S202" s="382">
        <v>112.86</v>
      </c>
      <c r="T202" s="382">
        <v>1200</v>
      </c>
      <c r="U202" s="382">
        <v>97.07</v>
      </c>
      <c r="V202" s="382">
        <v>1383</v>
      </c>
      <c r="W202" s="382">
        <v>0</v>
      </c>
      <c r="X202" s="382">
        <v>0</v>
      </c>
      <c r="Y202" s="382">
        <v>18</v>
      </c>
      <c r="Z202" s="382">
        <v>74</v>
      </c>
      <c r="AA202" s="382">
        <v>4</v>
      </c>
      <c r="AB202" s="382">
        <v>14</v>
      </c>
      <c r="AC202" s="382">
        <v>8</v>
      </c>
      <c r="AD202" s="386">
        <v>16809</v>
      </c>
      <c r="AE202" s="386">
        <v>68</v>
      </c>
      <c r="AF202" s="386">
        <v>183</v>
      </c>
      <c r="AG202" s="386">
        <v>251</v>
      </c>
    </row>
    <row r="203" spans="1:33" x14ac:dyDescent="0.25">
      <c r="A203" s="381" t="s">
        <v>464</v>
      </c>
      <c r="B203" s="387" t="s">
        <v>465</v>
      </c>
      <c r="C203" s="383">
        <v>3006</v>
      </c>
      <c r="D203" s="383">
        <v>99</v>
      </c>
      <c r="E203" s="383">
        <v>461</v>
      </c>
      <c r="F203" s="383">
        <v>855</v>
      </c>
      <c r="G203" s="383">
        <v>659</v>
      </c>
      <c r="H203" s="383">
        <v>5080</v>
      </c>
      <c r="I203" s="382">
        <v>4421</v>
      </c>
      <c r="J203" s="382">
        <v>10</v>
      </c>
      <c r="K203" s="384">
        <v>110.61</v>
      </c>
      <c r="L203" s="384">
        <v>109.35</v>
      </c>
      <c r="M203" s="384">
        <v>7.87</v>
      </c>
      <c r="N203" s="384">
        <v>118</v>
      </c>
      <c r="O203" s="385">
        <v>3013</v>
      </c>
      <c r="P203" s="382">
        <v>106.86</v>
      </c>
      <c r="Q203" s="382">
        <v>102.68</v>
      </c>
      <c r="R203" s="382">
        <v>43.87</v>
      </c>
      <c r="S203" s="382">
        <v>148.08000000000001</v>
      </c>
      <c r="T203" s="382">
        <v>1258</v>
      </c>
      <c r="U203" s="382">
        <v>166.82</v>
      </c>
      <c r="V203" s="382">
        <v>76</v>
      </c>
      <c r="W203" s="382">
        <v>0</v>
      </c>
      <c r="X203" s="382">
        <v>0</v>
      </c>
      <c r="Y203" s="382">
        <v>0</v>
      </c>
      <c r="Z203" s="382">
        <v>0</v>
      </c>
      <c r="AA203" s="382">
        <v>0</v>
      </c>
      <c r="AB203" s="382">
        <v>2</v>
      </c>
      <c r="AC203" s="382">
        <v>13</v>
      </c>
      <c r="AD203" s="386">
        <v>3006</v>
      </c>
      <c r="AE203" s="386">
        <v>39</v>
      </c>
      <c r="AF203" s="386">
        <v>4</v>
      </c>
      <c r="AG203" s="386">
        <v>43</v>
      </c>
    </row>
    <row r="204" spans="1:33" x14ac:dyDescent="0.25">
      <c r="A204" s="381" t="s">
        <v>466</v>
      </c>
      <c r="B204" s="387" t="s">
        <v>467</v>
      </c>
      <c r="C204" s="383">
        <v>4207</v>
      </c>
      <c r="D204" s="383">
        <v>0</v>
      </c>
      <c r="E204" s="383">
        <v>240</v>
      </c>
      <c r="F204" s="383">
        <v>215</v>
      </c>
      <c r="G204" s="383">
        <v>6</v>
      </c>
      <c r="H204" s="383">
        <v>4668</v>
      </c>
      <c r="I204" s="382">
        <v>4662</v>
      </c>
      <c r="J204" s="382">
        <v>5</v>
      </c>
      <c r="K204" s="384">
        <v>73.08</v>
      </c>
      <c r="L204" s="384">
        <v>69.88</v>
      </c>
      <c r="M204" s="384">
        <v>1.8</v>
      </c>
      <c r="N204" s="384">
        <v>74.69</v>
      </c>
      <c r="O204" s="385">
        <v>3786</v>
      </c>
      <c r="P204" s="382">
        <v>95.68</v>
      </c>
      <c r="Q204" s="382">
        <v>69.64</v>
      </c>
      <c r="R204" s="382">
        <v>43.9</v>
      </c>
      <c r="S204" s="382">
        <v>138.54</v>
      </c>
      <c r="T204" s="382">
        <v>337</v>
      </c>
      <c r="U204" s="382">
        <v>92.31</v>
      </c>
      <c r="V204" s="382">
        <v>408</v>
      </c>
      <c r="W204" s="382">
        <v>89.69</v>
      </c>
      <c r="X204" s="382">
        <v>18</v>
      </c>
      <c r="Y204" s="382">
        <v>11</v>
      </c>
      <c r="Z204" s="382">
        <v>24</v>
      </c>
      <c r="AA204" s="382">
        <v>11</v>
      </c>
      <c r="AB204" s="382">
        <v>0</v>
      </c>
      <c r="AC204" s="382">
        <v>0</v>
      </c>
      <c r="AD204" s="386">
        <v>4203</v>
      </c>
      <c r="AE204" s="386">
        <v>28</v>
      </c>
      <c r="AF204" s="386">
        <v>14</v>
      </c>
      <c r="AG204" s="386">
        <v>42</v>
      </c>
    </row>
    <row r="205" spans="1:33" x14ac:dyDescent="0.25">
      <c r="A205" s="381" t="s">
        <v>468</v>
      </c>
      <c r="B205" s="387" t="s">
        <v>469</v>
      </c>
      <c r="C205" s="383">
        <v>12956</v>
      </c>
      <c r="D205" s="383">
        <v>13</v>
      </c>
      <c r="E205" s="383">
        <v>762</v>
      </c>
      <c r="F205" s="383">
        <v>2091</v>
      </c>
      <c r="G205" s="383">
        <v>942</v>
      </c>
      <c r="H205" s="383">
        <v>16764</v>
      </c>
      <c r="I205" s="382">
        <v>15822</v>
      </c>
      <c r="J205" s="382">
        <v>36</v>
      </c>
      <c r="K205" s="384">
        <v>85.83</v>
      </c>
      <c r="L205" s="384">
        <v>85.25</v>
      </c>
      <c r="M205" s="384">
        <v>5.97</v>
      </c>
      <c r="N205" s="384">
        <v>88.78</v>
      </c>
      <c r="O205" s="385">
        <v>11178</v>
      </c>
      <c r="P205" s="382">
        <v>93.34</v>
      </c>
      <c r="Q205" s="382">
        <v>85.77</v>
      </c>
      <c r="R205" s="382">
        <v>35.97</v>
      </c>
      <c r="S205" s="382">
        <v>127.71</v>
      </c>
      <c r="T205" s="382">
        <v>2561</v>
      </c>
      <c r="U205" s="382">
        <v>104.46</v>
      </c>
      <c r="V205" s="382">
        <v>1502</v>
      </c>
      <c r="W205" s="382">
        <v>201.78</v>
      </c>
      <c r="X205" s="382">
        <v>87</v>
      </c>
      <c r="Y205" s="382">
        <v>26</v>
      </c>
      <c r="Z205" s="382">
        <v>47</v>
      </c>
      <c r="AA205" s="382">
        <v>6</v>
      </c>
      <c r="AB205" s="382">
        <v>30</v>
      </c>
      <c r="AC205" s="382">
        <v>23</v>
      </c>
      <c r="AD205" s="386">
        <v>12956</v>
      </c>
      <c r="AE205" s="386">
        <v>45</v>
      </c>
      <c r="AF205" s="386">
        <v>43</v>
      </c>
      <c r="AG205" s="386">
        <v>88</v>
      </c>
    </row>
    <row r="206" spans="1:33" x14ac:dyDescent="0.25">
      <c r="A206" s="381" t="s">
        <v>470</v>
      </c>
      <c r="B206" s="387" t="s">
        <v>471</v>
      </c>
      <c r="C206" s="383">
        <v>19172</v>
      </c>
      <c r="D206" s="383">
        <v>0</v>
      </c>
      <c r="E206" s="383">
        <v>2424</v>
      </c>
      <c r="F206" s="383">
        <v>1061</v>
      </c>
      <c r="G206" s="383">
        <v>1172</v>
      </c>
      <c r="H206" s="383">
        <v>23829</v>
      </c>
      <c r="I206" s="382">
        <v>22657</v>
      </c>
      <c r="J206" s="382">
        <v>70</v>
      </c>
      <c r="K206" s="384">
        <v>75.06</v>
      </c>
      <c r="L206" s="384">
        <v>74.25</v>
      </c>
      <c r="M206" s="384">
        <v>6.58</v>
      </c>
      <c r="N206" s="384">
        <v>79.19</v>
      </c>
      <c r="O206" s="385">
        <v>14983</v>
      </c>
      <c r="P206" s="382">
        <v>71.42</v>
      </c>
      <c r="Q206" s="382">
        <v>69.62</v>
      </c>
      <c r="R206" s="382">
        <v>28.62</v>
      </c>
      <c r="S206" s="382">
        <v>98.67</v>
      </c>
      <c r="T206" s="382">
        <v>3029</v>
      </c>
      <c r="U206" s="382">
        <v>106.44</v>
      </c>
      <c r="V206" s="382">
        <v>3662</v>
      </c>
      <c r="W206" s="382">
        <v>100.13</v>
      </c>
      <c r="X206" s="382">
        <v>368</v>
      </c>
      <c r="Y206" s="382">
        <v>8</v>
      </c>
      <c r="Z206" s="382">
        <v>73</v>
      </c>
      <c r="AA206" s="382">
        <v>20</v>
      </c>
      <c r="AB206" s="382">
        <v>106</v>
      </c>
      <c r="AC206" s="382">
        <v>30</v>
      </c>
      <c r="AD206" s="386">
        <v>18707</v>
      </c>
      <c r="AE206" s="386">
        <v>94</v>
      </c>
      <c r="AF206" s="386">
        <v>234</v>
      </c>
      <c r="AG206" s="386">
        <v>328</v>
      </c>
    </row>
    <row r="207" spans="1:33" x14ac:dyDescent="0.25">
      <c r="A207" s="381" t="s">
        <v>472</v>
      </c>
      <c r="B207" s="387" t="s">
        <v>473</v>
      </c>
      <c r="C207" s="383">
        <v>4950</v>
      </c>
      <c r="D207" s="383">
        <v>31</v>
      </c>
      <c r="E207" s="383">
        <v>452</v>
      </c>
      <c r="F207" s="383">
        <v>892</v>
      </c>
      <c r="G207" s="383">
        <v>665</v>
      </c>
      <c r="H207" s="383">
        <v>6990</v>
      </c>
      <c r="I207" s="382">
        <v>6325</v>
      </c>
      <c r="J207" s="382">
        <v>3</v>
      </c>
      <c r="K207" s="384">
        <v>97.43</v>
      </c>
      <c r="L207" s="384">
        <v>94.27</v>
      </c>
      <c r="M207" s="384">
        <v>9.4499999999999993</v>
      </c>
      <c r="N207" s="384">
        <v>104.94</v>
      </c>
      <c r="O207" s="385">
        <v>3901</v>
      </c>
      <c r="P207" s="382">
        <v>110.01</v>
      </c>
      <c r="Q207" s="382">
        <v>85.93</v>
      </c>
      <c r="R207" s="382">
        <v>42.58</v>
      </c>
      <c r="S207" s="382">
        <v>146.29</v>
      </c>
      <c r="T207" s="382">
        <v>527</v>
      </c>
      <c r="U207" s="382">
        <v>127.76</v>
      </c>
      <c r="V207" s="382">
        <v>767</v>
      </c>
      <c r="W207" s="382">
        <v>174.83</v>
      </c>
      <c r="X207" s="382">
        <v>273</v>
      </c>
      <c r="Y207" s="382">
        <v>0</v>
      </c>
      <c r="Z207" s="382">
        <v>7</v>
      </c>
      <c r="AA207" s="382">
        <v>6</v>
      </c>
      <c r="AB207" s="382">
        <v>3</v>
      </c>
      <c r="AC207" s="382">
        <v>20</v>
      </c>
      <c r="AD207" s="386">
        <v>4868</v>
      </c>
      <c r="AE207" s="386">
        <v>16</v>
      </c>
      <c r="AF207" s="386">
        <v>8</v>
      </c>
      <c r="AG207" s="386">
        <v>24</v>
      </c>
    </row>
    <row r="208" spans="1:33" x14ac:dyDescent="0.25">
      <c r="A208" s="381" t="s">
        <v>474</v>
      </c>
      <c r="B208" s="387" t="s">
        <v>475</v>
      </c>
      <c r="C208" s="383">
        <v>10152</v>
      </c>
      <c r="D208" s="383">
        <v>0</v>
      </c>
      <c r="E208" s="383">
        <v>489</v>
      </c>
      <c r="F208" s="383">
        <v>965</v>
      </c>
      <c r="G208" s="383">
        <v>393</v>
      </c>
      <c r="H208" s="383">
        <v>11999</v>
      </c>
      <c r="I208" s="382">
        <v>11606</v>
      </c>
      <c r="J208" s="382">
        <v>25</v>
      </c>
      <c r="K208" s="384">
        <v>78.17</v>
      </c>
      <c r="L208" s="384">
        <v>77.33</v>
      </c>
      <c r="M208" s="384">
        <v>6.52</v>
      </c>
      <c r="N208" s="384">
        <v>81.48</v>
      </c>
      <c r="O208" s="385">
        <v>9221</v>
      </c>
      <c r="P208" s="382">
        <v>81.209999999999994</v>
      </c>
      <c r="Q208" s="382">
        <v>70.39</v>
      </c>
      <c r="R208" s="382">
        <v>50.55</v>
      </c>
      <c r="S208" s="382">
        <v>130.34</v>
      </c>
      <c r="T208" s="382">
        <v>1393</v>
      </c>
      <c r="U208" s="382">
        <v>100.18</v>
      </c>
      <c r="V208" s="382">
        <v>899</v>
      </c>
      <c r="W208" s="382">
        <v>0</v>
      </c>
      <c r="X208" s="382">
        <v>0</v>
      </c>
      <c r="Y208" s="382">
        <v>350</v>
      </c>
      <c r="Z208" s="382">
        <v>33</v>
      </c>
      <c r="AA208" s="382">
        <v>6</v>
      </c>
      <c r="AB208" s="382">
        <v>1</v>
      </c>
      <c r="AC208" s="382">
        <v>15</v>
      </c>
      <c r="AD208" s="386">
        <v>10094</v>
      </c>
      <c r="AE208" s="386">
        <v>60</v>
      </c>
      <c r="AF208" s="386">
        <v>84</v>
      </c>
      <c r="AG208" s="386">
        <v>144</v>
      </c>
    </row>
    <row r="209" spans="1:33" x14ac:dyDescent="0.25">
      <c r="A209" s="381" t="s">
        <v>476</v>
      </c>
      <c r="B209" s="387" t="s">
        <v>477</v>
      </c>
      <c r="C209" s="383">
        <v>3833</v>
      </c>
      <c r="D209" s="383">
        <v>0</v>
      </c>
      <c r="E209" s="383">
        <v>344</v>
      </c>
      <c r="F209" s="383">
        <v>362</v>
      </c>
      <c r="G209" s="383">
        <v>929</v>
      </c>
      <c r="H209" s="383">
        <v>5468</v>
      </c>
      <c r="I209" s="382">
        <v>4539</v>
      </c>
      <c r="J209" s="382">
        <v>6</v>
      </c>
      <c r="K209" s="384">
        <v>116.81</v>
      </c>
      <c r="L209" s="384">
        <v>114.87</v>
      </c>
      <c r="M209" s="384">
        <v>9.16</v>
      </c>
      <c r="N209" s="384">
        <v>125.44</v>
      </c>
      <c r="O209" s="385">
        <v>2964</v>
      </c>
      <c r="P209" s="382">
        <v>117.37</v>
      </c>
      <c r="Q209" s="382">
        <v>100.93</v>
      </c>
      <c r="R209" s="382">
        <v>75.650000000000006</v>
      </c>
      <c r="S209" s="382">
        <v>188.17</v>
      </c>
      <c r="T209" s="382">
        <v>577</v>
      </c>
      <c r="U209" s="382">
        <v>166.85</v>
      </c>
      <c r="V209" s="382">
        <v>447</v>
      </c>
      <c r="W209" s="382">
        <v>146.76</v>
      </c>
      <c r="X209" s="382">
        <v>33</v>
      </c>
      <c r="Y209" s="382">
        <v>8</v>
      </c>
      <c r="Z209" s="382">
        <v>9</v>
      </c>
      <c r="AA209" s="382">
        <v>1</v>
      </c>
      <c r="AB209" s="382">
        <v>16</v>
      </c>
      <c r="AC209" s="382">
        <v>18</v>
      </c>
      <c r="AD209" s="386">
        <v>3641</v>
      </c>
      <c r="AE209" s="386">
        <v>60</v>
      </c>
      <c r="AF209" s="386">
        <v>4</v>
      </c>
      <c r="AG209" s="386">
        <v>64</v>
      </c>
    </row>
    <row r="210" spans="1:33" x14ac:dyDescent="0.25">
      <c r="A210" s="381" t="s">
        <v>478</v>
      </c>
      <c r="B210" s="387" t="s">
        <v>479</v>
      </c>
      <c r="C210" s="383">
        <v>3405</v>
      </c>
      <c r="D210" s="383">
        <v>0</v>
      </c>
      <c r="E210" s="383">
        <v>346</v>
      </c>
      <c r="F210" s="383">
        <v>1096</v>
      </c>
      <c r="G210" s="383">
        <v>665</v>
      </c>
      <c r="H210" s="383">
        <v>5512</v>
      </c>
      <c r="I210" s="382">
        <v>4847</v>
      </c>
      <c r="J210" s="382">
        <v>102</v>
      </c>
      <c r="K210" s="384">
        <v>124.38</v>
      </c>
      <c r="L210" s="384">
        <v>122.68</v>
      </c>
      <c r="M210" s="384">
        <v>10.199999999999999</v>
      </c>
      <c r="N210" s="384">
        <v>130.36000000000001</v>
      </c>
      <c r="O210" s="385">
        <v>2845</v>
      </c>
      <c r="P210" s="382">
        <v>103.91</v>
      </c>
      <c r="Q210" s="382">
        <v>98.53</v>
      </c>
      <c r="R210" s="382">
        <v>50.43</v>
      </c>
      <c r="S210" s="382">
        <v>149</v>
      </c>
      <c r="T210" s="382">
        <v>1256</v>
      </c>
      <c r="U210" s="382">
        <v>173.3</v>
      </c>
      <c r="V210" s="382">
        <v>275</v>
      </c>
      <c r="W210" s="382">
        <v>134.57</v>
      </c>
      <c r="X210" s="382">
        <v>53</v>
      </c>
      <c r="Y210" s="382">
        <v>0</v>
      </c>
      <c r="Z210" s="382">
        <v>1</v>
      </c>
      <c r="AA210" s="382">
        <v>1</v>
      </c>
      <c r="AB210" s="382">
        <v>106</v>
      </c>
      <c r="AC210" s="382">
        <v>14</v>
      </c>
      <c r="AD210" s="386">
        <v>3278</v>
      </c>
      <c r="AE210" s="386">
        <v>25</v>
      </c>
      <c r="AF210" s="386">
        <v>8</v>
      </c>
      <c r="AG210" s="386">
        <v>33</v>
      </c>
    </row>
    <row r="211" spans="1:33" x14ac:dyDescent="0.25">
      <c r="A211" s="381" t="s">
        <v>480</v>
      </c>
      <c r="B211" s="387" t="s">
        <v>481</v>
      </c>
      <c r="C211" s="383">
        <v>11388</v>
      </c>
      <c r="D211" s="383">
        <v>0</v>
      </c>
      <c r="E211" s="383">
        <v>267</v>
      </c>
      <c r="F211" s="383">
        <v>564</v>
      </c>
      <c r="G211" s="383">
        <v>276</v>
      </c>
      <c r="H211" s="383">
        <v>12495</v>
      </c>
      <c r="I211" s="382">
        <v>12219</v>
      </c>
      <c r="J211" s="382">
        <v>0</v>
      </c>
      <c r="K211" s="384">
        <v>86.63</v>
      </c>
      <c r="L211" s="384">
        <v>86.68</v>
      </c>
      <c r="M211" s="384">
        <v>5.31</v>
      </c>
      <c r="N211" s="384">
        <v>89.33</v>
      </c>
      <c r="O211" s="385">
        <v>10890</v>
      </c>
      <c r="P211" s="382">
        <v>83.91</v>
      </c>
      <c r="Q211" s="382">
        <v>77.55</v>
      </c>
      <c r="R211" s="382">
        <v>48.37</v>
      </c>
      <c r="S211" s="382">
        <v>131.52000000000001</v>
      </c>
      <c r="T211" s="382">
        <v>633</v>
      </c>
      <c r="U211" s="382">
        <v>105.13</v>
      </c>
      <c r="V211" s="382">
        <v>305</v>
      </c>
      <c r="W211" s="382">
        <v>138.58000000000001</v>
      </c>
      <c r="X211" s="382">
        <v>152</v>
      </c>
      <c r="Y211" s="382">
        <v>186</v>
      </c>
      <c r="Z211" s="382">
        <v>22</v>
      </c>
      <c r="AA211" s="382">
        <v>5</v>
      </c>
      <c r="AB211" s="382">
        <v>3</v>
      </c>
      <c r="AC211" s="382">
        <v>10</v>
      </c>
      <c r="AD211" s="386">
        <v>11385</v>
      </c>
      <c r="AE211" s="386">
        <v>80</v>
      </c>
      <c r="AF211" s="386">
        <v>83</v>
      </c>
      <c r="AG211" s="386">
        <v>163</v>
      </c>
    </row>
    <row r="212" spans="1:33" x14ac:dyDescent="0.25">
      <c r="A212" s="381" t="s">
        <v>482</v>
      </c>
      <c r="B212" s="387" t="s">
        <v>483</v>
      </c>
      <c r="C212" s="383">
        <v>1826</v>
      </c>
      <c r="D212" s="383">
        <v>0</v>
      </c>
      <c r="E212" s="383">
        <v>145</v>
      </c>
      <c r="F212" s="383">
        <v>181</v>
      </c>
      <c r="G212" s="383">
        <v>194</v>
      </c>
      <c r="H212" s="383">
        <v>2346</v>
      </c>
      <c r="I212" s="382">
        <v>2152</v>
      </c>
      <c r="J212" s="382">
        <v>0</v>
      </c>
      <c r="K212" s="384">
        <v>88.8</v>
      </c>
      <c r="L212" s="384">
        <v>85.92</v>
      </c>
      <c r="M212" s="384">
        <v>4.88</v>
      </c>
      <c r="N212" s="384">
        <v>93.01</v>
      </c>
      <c r="O212" s="385">
        <v>1394</v>
      </c>
      <c r="P212" s="382">
        <v>97.62</v>
      </c>
      <c r="Q212" s="382">
        <v>96.71</v>
      </c>
      <c r="R212" s="382">
        <v>56.61</v>
      </c>
      <c r="S212" s="382">
        <v>152.99</v>
      </c>
      <c r="T212" s="382">
        <v>229</v>
      </c>
      <c r="U212" s="382">
        <v>114.67</v>
      </c>
      <c r="V212" s="382">
        <v>198</v>
      </c>
      <c r="W212" s="382">
        <v>212.38</v>
      </c>
      <c r="X212" s="382">
        <v>43</v>
      </c>
      <c r="Y212" s="382">
        <v>157</v>
      </c>
      <c r="Z212" s="382">
        <v>0</v>
      </c>
      <c r="AA212" s="382">
        <v>4</v>
      </c>
      <c r="AB212" s="382">
        <v>29</v>
      </c>
      <c r="AC212" s="382">
        <v>3</v>
      </c>
      <c r="AD212" s="386">
        <v>1661</v>
      </c>
      <c r="AE212" s="386">
        <v>11</v>
      </c>
      <c r="AF212" s="386">
        <v>2</v>
      </c>
      <c r="AG212" s="386">
        <v>13</v>
      </c>
    </row>
    <row r="213" spans="1:33" x14ac:dyDescent="0.25">
      <c r="A213" s="381" t="s">
        <v>484</v>
      </c>
      <c r="B213" s="387" t="s">
        <v>485</v>
      </c>
      <c r="C213" s="383">
        <v>6129</v>
      </c>
      <c r="D213" s="383">
        <v>0</v>
      </c>
      <c r="E213" s="383">
        <v>386</v>
      </c>
      <c r="F213" s="383">
        <v>591</v>
      </c>
      <c r="G213" s="383">
        <v>811</v>
      </c>
      <c r="H213" s="383">
        <v>7917</v>
      </c>
      <c r="I213" s="382">
        <v>7106</v>
      </c>
      <c r="J213" s="382">
        <v>5</v>
      </c>
      <c r="K213" s="384">
        <v>117.66</v>
      </c>
      <c r="L213" s="384">
        <v>117.02</v>
      </c>
      <c r="M213" s="384">
        <v>5.0199999999999996</v>
      </c>
      <c r="N213" s="384">
        <v>122.38</v>
      </c>
      <c r="O213" s="385">
        <v>5191</v>
      </c>
      <c r="P213" s="382">
        <v>113.35</v>
      </c>
      <c r="Q213" s="382">
        <v>99.28</v>
      </c>
      <c r="R213" s="382">
        <v>29.51</v>
      </c>
      <c r="S213" s="382">
        <v>141.09</v>
      </c>
      <c r="T213" s="382">
        <v>650</v>
      </c>
      <c r="U213" s="382">
        <v>146.79</v>
      </c>
      <c r="V213" s="382">
        <v>893</v>
      </c>
      <c r="W213" s="382">
        <v>199.49</v>
      </c>
      <c r="X213" s="382">
        <v>63</v>
      </c>
      <c r="Y213" s="382">
        <v>0</v>
      </c>
      <c r="Z213" s="382">
        <v>18</v>
      </c>
      <c r="AA213" s="382">
        <v>3</v>
      </c>
      <c r="AB213" s="382">
        <v>32</v>
      </c>
      <c r="AC213" s="382">
        <v>3</v>
      </c>
      <c r="AD213" s="386">
        <v>6119</v>
      </c>
      <c r="AE213" s="386">
        <v>21</v>
      </c>
      <c r="AF213" s="386">
        <v>26</v>
      </c>
      <c r="AG213" s="386">
        <v>47</v>
      </c>
    </row>
    <row r="214" spans="1:33" x14ac:dyDescent="0.25">
      <c r="A214" s="381" t="s">
        <v>486</v>
      </c>
      <c r="B214" s="387" t="s">
        <v>487</v>
      </c>
      <c r="C214" s="383">
        <v>1269</v>
      </c>
      <c r="D214" s="383">
        <v>0</v>
      </c>
      <c r="E214" s="383">
        <v>88</v>
      </c>
      <c r="F214" s="383">
        <v>753</v>
      </c>
      <c r="G214" s="383">
        <v>310</v>
      </c>
      <c r="H214" s="383">
        <v>2420</v>
      </c>
      <c r="I214" s="382">
        <v>2110</v>
      </c>
      <c r="J214" s="382">
        <v>42</v>
      </c>
      <c r="K214" s="384">
        <v>84.57</v>
      </c>
      <c r="L214" s="384">
        <v>83.73</v>
      </c>
      <c r="M214" s="384">
        <v>3.09</v>
      </c>
      <c r="N214" s="384">
        <v>86.69</v>
      </c>
      <c r="O214" s="385">
        <v>956</v>
      </c>
      <c r="P214" s="382">
        <v>73.48</v>
      </c>
      <c r="Q214" s="382">
        <v>70.040000000000006</v>
      </c>
      <c r="R214" s="382">
        <v>19.34</v>
      </c>
      <c r="S214" s="382">
        <v>92.47</v>
      </c>
      <c r="T214" s="382">
        <v>781</v>
      </c>
      <c r="U214" s="382">
        <v>102.62</v>
      </c>
      <c r="V214" s="382">
        <v>307</v>
      </c>
      <c r="W214" s="382">
        <v>120.53</v>
      </c>
      <c r="X214" s="382">
        <v>12</v>
      </c>
      <c r="Y214" s="382">
        <v>0</v>
      </c>
      <c r="Z214" s="382">
        <v>1</v>
      </c>
      <c r="AA214" s="382">
        <v>0</v>
      </c>
      <c r="AB214" s="382">
        <v>22</v>
      </c>
      <c r="AC214" s="382">
        <v>6</v>
      </c>
      <c r="AD214" s="386">
        <v>1268</v>
      </c>
      <c r="AE214" s="386">
        <v>13</v>
      </c>
      <c r="AF214" s="386">
        <v>4</v>
      </c>
      <c r="AG214" s="386">
        <v>17</v>
      </c>
    </row>
    <row r="215" spans="1:33" x14ac:dyDescent="0.25">
      <c r="A215" s="381" t="s">
        <v>488</v>
      </c>
      <c r="B215" s="387" t="s">
        <v>489</v>
      </c>
      <c r="C215" s="383">
        <v>8786</v>
      </c>
      <c r="D215" s="383">
        <v>9</v>
      </c>
      <c r="E215" s="383">
        <v>284</v>
      </c>
      <c r="F215" s="383">
        <v>853</v>
      </c>
      <c r="G215" s="383">
        <v>484</v>
      </c>
      <c r="H215" s="383">
        <v>10416</v>
      </c>
      <c r="I215" s="382">
        <v>9932</v>
      </c>
      <c r="J215" s="382">
        <v>2</v>
      </c>
      <c r="K215" s="384">
        <v>120.13</v>
      </c>
      <c r="L215" s="384">
        <v>133.77000000000001</v>
      </c>
      <c r="M215" s="384">
        <v>10.3</v>
      </c>
      <c r="N215" s="384">
        <v>127.32</v>
      </c>
      <c r="O215" s="385">
        <v>7895</v>
      </c>
      <c r="P215" s="382">
        <v>119.63</v>
      </c>
      <c r="Q215" s="382">
        <v>118.71</v>
      </c>
      <c r="R215" s="382">
        <v>48.09</v>
      </c>
      <c r="S215" s="382">
        <v>164.34</v>
      </c>
      <c r="T215" s="382">
        <v>1053</v>
      </c>
      <c r="U215" s="382">
        <v>196.65</v>
      </c>
      <c r="V215" s="382">
        <v>798</v>
      </c>
      <c r="W215" s="382">
        <v>0</v>
      </c>
      <c r="X215" s="382">
        <v>0</v>
      </c>
      <c r="Y215" s="382">
        <v>0</v>
      </c>
      <c r="Z215" s="382">
        <v>10</v>
      </c>
      <c r="AA215" s="382">
        <v>1</v>
      </c>
      <c r="AB215" s="382">
        <v>23</v>
      </c>
      <c r="AC215" s="382">
        <v>9</v>
      </c>
      <c r="AD215" s="386">
        <v>8735</v>
      </c>
      <c r="AE215" s="386">
        <v>36</v>
      </c>
      <c r="AF215" s="386">
        <v>39</v>
      </c>
      <c r="AG215" s="386">
        <v>75</v>
      </c>
    </row>
    <row r="216" spans="1:33" x14ac:dyDescent="0.25">
      <c r="A216" s="381" t="s">
        <v>490</v>
      </c>
      <c r="B216" s="387" t="s">
        <v>491</v>
      </c>
      <c r="C216" s="383">
        <v>734</v>
      </c>
      <c r="D216" s="383">
        <v>0</v>
      </c>
      <c r="E216" s="383">
        <v>119</v>
      </c>
      <c r="F216" s="383">
        <v>96</v>
      </c>
      <c r="G216" s="383">
        <v>57</v>
      </c>
      <c r="H216" s="383">
        <v>1006</v>
      </c>
      <c r="I216" s="382">
        <v>949</v>
      </c>
      <c r="J216" s="382">
        <v>1</v>
      </c>
      <c r="K216" s="384">
        <v>90.84</v>
      </c>
      <c r="L216" s="384">
        <v>88.99</v>
      </c>
      <c r="M216" s="384">
        <v>3.65</v>
      </c>
      <c r="N216" s="384">
        <v>93.57</v>
      </c>
      <c r="O216" s="385">
        <v>534</v>
      </c>
      <c r="P216" s="382">
        <v>112.05</v>
      </c>
      <c r="Q216" s="382">
        <v>108.36</v>
      </c>
      <c r="R216" s="382">
        <v>94.27</v>
      </c>
      <c r="S216" s="382">
        <v>206.32</v>
      </c>
      <c r="T216" s="382">
        <v>144</v>
      </c>
      <c r="U216" s="382">
        <v>107.18</v>
      </c>
      <c r="V216" s="382">
        <v>167</v>
      </c>
      <c r="W216" s="382">
        <v>169.36</v>
      </c>
      <c r="X216" s="382">
        <v>62</v>
      </c>
      <c r="Y216" s="382">
        <v>0</v>
      </c>
      <c r="Z216" s="382">
        <v>0</v>
      </c>
      <c r="AA216" s="382">
        <v>0</v>
      </c>
      <c r="AB216" s="382">
        <v>0</v>
      </c>
      <c r="AC216" s="382">
        <v>0</v>
      </c>
      <c r="AD216" s="386">
        <v>734</v>
      </c>
      <c r="AE216" s="386">
        <v>1</v>
      </c>
      <c r="AF216" s="386">
        <v>5</v>
      </c>
      <c r="AG216" s="386">
        <v>6</v>
      </c>
    </row>
    <row r="217" spans="1:33" x14ac:dyDescent="0.25">
      <c r="A217" s="381" t="s">
        <v>492</v>
      </c>
      <c r="B217" s="387" t="s">
        <v>493</v>
      </c>
      <c r="C217" s="383">
        <v>18289</v>
      </c>
      <c r="D217" s="383">
        <v>0</v>
      </c>
      <c r="E217" s="383">
        <v>588</v>
      </c>
      <c r="F217" s="383">
        <v>2045</v>
      </c>
      <c r="G217" s="383">
        <v>184</v>
      </c>
      <c r="H217" s="383">
        <v>21106</v>
      </c>
      <c r="I217" s="382">
        <v>20922</v>
      </c>
      <c r="J217" s="382">
        <v>47</v>
      </c>
      <c r="K217" s="384">
        <v>74.86</v>
      </c>
      <c r="L217" s="384">
        <v>74.67</v>
      </c>
      <c r="M217" s="384">
        <v>4.24</v>
      </c>
      <c r="N217" s="384">
        <v>78.62</v>
      </c>
      <c r="O217" s="385">
        <v>16290</v>
      </c>
      <c r="P217" s="382">
        <v>75.97</v>
      </c>
      <c r="Q217" s="382">
        <v>70.12</v>
      </c>
      <c r="R217" s="382">
        <v>38.15</v>
      </c>
      <c r="S217" s="382">
        <v>113.27</v>
      </c>
      <c r="T217" s="382">
        <v>2479</v>
      </c>
      <c r="U217" s="382">
        <v>91.31</v>
      </c>
      <c r="V217" s="382">
        <v>1801</v>
      </c>
      <c r="W217" s="382">
        <v>0</v>
      </c>
      <c r="X217" s="382">
        <v>0</v>
      </c>
      <c r="Y217" s="382">
        <v>0</v>
      </c>
      <c r="Z217" s="382">
        <v>152</v>
      </c>
      <c r="AA217" s="382">
        <v>5</v>
      </c>
      <c r="AB217" s="382">
        <v>7</v>
      </c>
      <c r="AC217" s="382">
        <v>2</v>
      </c>
      <c r="AD217" s="386">
        <v>18127</v>
      </c>
      <c r="AE217" s="386">
        <v>141</v>
      </c>
      <c r="AF217" s="386">
        <v>122</v>
      </c>
      <c r="AG217" s="386">
        <v>263</v>
      </c>
    </row>
    <row r="218" spans="1:33" x14ac:dyDescent="0.25">
      <c r="A218" s="381" t="s">
        <v>494</v>
      </c>
      <c r="B218" s="387" t="s">
        <v>495</v>
      </c>
      <c r="C218" s="383">
        <v>2173</v>
      </c>
      <c r="D218" s="383">
        <v>0</v>
      </c>
      <c r="E218" s="383">
        <v>59</v>
      </c>
      <c r="F218" s="383">
        <v>696</v>
      </c>
      <c r="G218" s="383">
        <v>124</v>
      </c>
      <c r="H218" s="383">
        <v>3052</v>
      </c>
      <c r="I218" s="382">
        <v>2928</v>
      </c>
      <c r="J218" s="382">
        <v>28</v>
      </c>
      <c r="K218" s="384">
        <v>99.17</v>
      </c>
      <c r="L218" s="384">
        <v>99.41</v>
      </c>
      <c r="M218" s="384">
        <v>6.65</v>
      </c>
      <c r="N218" s="384">
        <v>103.74</v>
      </c>
      <c r="O218" s="385">
        <v>1763</v>
      </c>
      <c r="P218" s="382">
        <v>86.86</v>
      </c>
      <c r="Q218" s="382">
        <v>86.68</v>
      </c>
      <c r="R218" s="382">
        <v>38.869999999999997</v>
      </c>
      <c r="S218" s="382">
        <v>125.16</v>
      </c>
      <c r="T218" s="382">
        <v>751</v>
      </c>
      <c r="U218" s="382">
        <v>140.56</v>
      </c>
      <c r="V218" s="382">
        <v>411</v>
      </c>
      <c r="W218" s="382">
        <v>0</v>
      </c>
      <c r="X218" s="382">
        <v>0</v>
      </c>
      <c r="Y218" s="382">
        <v>0</v>
      </c>
      <c r="Z218" s="382">
        <v>1</v>
      </c>
      <c r="AA218" s="382">
        <v>0</v>
      </c>
      <c r="AB218" s="382">
        <v>17</v>
      </c>
      <c r="AC218" s="382">
        <v>2</v>
      </c>
      <c r="AD218" s="386">
        <v>2173</v>
      </c>
      <c r="AE218" s="386">
        <v>4</v>
      </c>
      <c r="AF218" s="386">
        <v>8</v>
      </c>
      <c r="AG218" s="386">
        <v>12</v>
      </c>
    </row>
    <row r="219" spans="1:33" x14ac:dyDescent="0.25">
      <c r="A219" s="381" t="s">
        <v>496</v>
      </c>
      <c r="B219" s="387" t="s">
        <v>497</v>
      </c>
      <c r="C219" s="383">
        <v>4224</v>
      </c>
      <c r="D219" s="383">
        <v>0</v>
      </c>
      <c r="E219" s="383">
        <v>96</v>
      </c>
      <c r="F219" s="383">
        <v>350</v>
      </c>
      <c r="G219" s="383">
        <v>48</v>
      </c>
      <c r="H219" s="383">
        <v>4718</v>
      </c>
      <c r="I219" s="382">
        <v>4670</v>
      </c>
      <c r="J219" s="382">
        <v>2</v>
      </c>
      <c r="K219" s="384">
        <v>73.38</v>
      </c>
      <c r="L219" s="384">
        <v>71.03</v>
      </c>
      <c r="M219" s="384">
        <v>4.3099999999999996</v>
      </c>
      <c r="N219" s="384">
        <v>73.87</v>
      </c>
      <c r="O219" s="385">
        <v>3724</v>
      </c>
      <c r="P219" s="382">
        <v>89.13</v>
      </c>
      <c r="Q219" s="382">
        <v>80.3</v>
      </c>
      <c r="R219" s="382">
        <v>47.43</v>
      </c>
      <c r="S219" s="382">
        <v>134.1</v>
      </c>
      <c r="T219" s="382">
        <v>405</v>
      </c>
      <c r="U219" s="382">
        <v>90.43</v>
      </c>
      <c r="V219" s="382">
        <v>489</v>
      </c>
      <c r="W219" s="382">
        <v>0</v>
      </c>
      <c r="X219" s="382">
        <v>0</v>
      </c>
      <c r="Y219" s="382">
        <v>0</v>
      </c>
      <c r="Z219" s="382">
        <v>16</v>
      </c>
      <c r="AA219" s="382">
        <v>1</v>
      </c>
      <c r="AB219" s="382">
        <v>0</v>
      </c>
      <c r="AC219" s="382">
        <v>0</v>
      </c>
      <c r="AD219" s="386">
        <v>4218</v>
      </c>
      <c r="AE219" s="386">
        <v>23</v>
      </c>
      <c r="AF219" s="386">
        <v>7</v>
      </c>
      <c r="AG219" s="386">
        <v>30</v>
      </c>
    </row>
    <row r="220" spans="1:33" x14ac:dyDescent="0.25">
      <c r="A220" s="381" t="s">
        <v>498</v>
      </c>
      <c r="B220" s="387" t="s">
        <v>499</v>
      </c>
      <c r="C220" s="383">
        <v>3701</v>
      </c>
      <c r="D220" s="383">
        <v>0</v>
      </c>
      <c r="E220" s="383">
        <v>62</v>
      </c>
      <c r="F220" s="383">
        <v>638</v>
      </c>
      <c r="G220" s="383">
        <v>240</v>
      </c>
      <c r="H220" s="383">
        <v>4641</v>
      </c>
      <c r="I220" s="382">
        <v>4401</v>
      </c>
      <c r="J220" s="382">
        <v>4</v>
      </c>
      <c r="K220" s="384">
        <v>95.44</v>
      </c>
      <c r="L220" s="384">
        <v>95.48</v>
      </c>
      <c r="M220" s="384">
        <v>3.71</v>
      </c>
      <c r="N220" s="384">
        <v>98.5</v>
      </c>
      <c r="O220" s="385">
        <v>3219</v>
      </c>
      <c r="P220" s="382">
        <v>88.47</v>
      </c>
      <c r="Q220" s="382">
        <v>86.83</v>
      </c>
      <c r="R220" s="382">
        <v>34.58</v>
      </c>
      <c r="S220" s="382">
        <v>123.05</v>
      </c>
      <c r="T220" s="382">
        <v>560</v>
      </c>
      <c r="U220" s="382">
        <v>117.47</v>
      </c>
      <c r="V220" s="382">
        <v>477</v>
      </c>
      <c r="W220" s="382">
        <v>108.68</v>
      </c>
      <c r="X220" s="382">
        <v>9</v>
      </c>
      <c r="Y220" s="382">
        <v>13</v>
      </c>
      <c r="Z220" s="382">
        <v>3</v>
      </c>
      <c r="AA220" s="382">
        <v>0</v>
      </c>
      <c r="AB220" s="382">
        <v>30</v>
      </c>
      <c r="AC220" s="382">
        <v>3</v>
      </c>
      <c r="AD220" s="386">
        <v>3701</v>
      </c>
      <c r="AE220" s="386">
        <v>14</v>
      </c>
      <c r="AF220" s="386">
        <v>26</v>
      </c>
      <c r="AG220" s="386">
        <v>40</v>
      </c>
    </row>
    <row r="221" spans="1:33" x14ac:dyDescent="0.25">
      <c r="A221" s="381" t="s">
        <v>500</v>
      </c>
      <c r="B221" s="387" t="s">
        <v>501</v>
      </c>
      <c r="C221" s="383">
        <v>3422</v>
      </c>
      <c r="D221" s="383">
        <v>0</v>
      </c>
      <c r="E221" s="383">
        <v>405</v>
      </c>
      <c r="F221" s="383">
        <v>860</v>
      </c>
      <c r="G221" s="383">
        <v>279</v>
      </c>
      <c r="H221" s="383">
        <v>4966</v>
      </c>
      <c r="I221" s="382">
        <v>4687</v>
      </c>
      <c r="J221" s="382">
        <v>0</v>
      </c>
      <c r="K221" s="384">
        <v>81</v>
      </c>
      <c r="L221" s="384">
        <v>79.48</v>
      </c>
      <c r="M221" s="384">
        <v>8.09</v>
      </c>
      <c r="N221" s="384">
        <v>85.02</v>
      </c>
      <c r="O221" s="385">
        <v>2839</v>
      </c>
      <c r="P221" s="382">
        <v>87.87</v>
      </c>
      <c r="Q221" s="382">
        <v>75.87</v>
      </c>
      <c r="R221" s="382">
        <v>39.18</v>
      </c>
      <c r="S221" s="382">
        <v>125.26</v>
      </c>
      <c r="T221" s="382">
        <v>1245</v>
      </c>
      <c r="U221" s="382">
        <v>97.01</v>
      </c>
      <c r="V221" s="382">
        <v>472</v>
      </c>
      <c r="W221" s="382">
        <v>90.62</v>
      </c>
      <c r="X221" s="382">
        <v>10</v>
      </c>
      <c r="Y221" s="382">
        <v>0</v>
      </c>
      <c r="Z221" s="382">
        <v>1</v>
      </c>
      <c r="AA221" s="382">
        <v>58</v>
      </c>
      <c r="AB221" s="382">
        <v>1</v>
      </c>
      <c r="AC221" s="382">
        <v>5</v>
      </c>
      <c r="AD221" s="386">
        <v>3383</v>
      </c>
      <c r="AE221" s="386">
        <v>47</v>
      </c>
      <c r="AF221" s="386">
        <v>30</v>
      </c>
      <c r="AG221" s="386">
        <v>77</v>
      </c>
    </row>
    <row r="222" spans="1:33" x14ac:dyDescent="0.25">
      <c r="A222" s="381" t="s">
        <v>502</v>
      </c>
      <c r="B222" s="387" t="s">
        <v>503</v>
      </c>
      <c r="C222" s="383">
        <v>2342</v>
      </c>
      <c r="D222" s="383">
        <v>0</v>
      </c>
      <c r="E222" s="383">
        <v>53</v>
      </c>
      <c r="F222" s="383">
        <v>239</v>
      </c>
      <c r="G222" s="383">
        <v>538</v>
      </c>
      <c r="H222" s="383">
        <v>3172</v>
      </c>
      <c r="I222" s="382">
        <v>2634</v>
      </c>
      <c r="J222" s="382">
        <v>14</v>
      </c>
      <c r="K222" s="384">
        <v>98.34</v>
      </c>
      <c r="L222" s="384">
        <v>98.67</v>
      </c>
      <c r="M222" s="384">
        <v>6.08</v>
      </c>
      <c r="N222" s="384">
        <v>102.76</v>
      </c>
      <c r="O222" s="385">
        <v>2118</v>
      </c>
      <c r="P222" s="382">
        <v>84.72</v>
      </c>
      <c r="Q222" s="382">
        <v>88.1</v>
      </c>
      <c r="R222" s="382">
        <v>43.14</v>
      </c>
      <c r="S222" s="382">
        <v>127.86</v>
      </c>
      <c r="T222" s="382">
        <v>175</v>
      </c>
      <c r="U222" s="382">
        <v>113.62</v>
      </c>
      <c r="V222" s="382">
        <v>182</v>
      </c>
      <c r="W222" s="382">
        <v>188.47</v>
      </c>
      <c r="X222" s="382">
        <v>72</v>
      </c>
      <c r="Y222" s="382">
        <v>0</v>
      </c>
      <c r="Z222" s="382">
        <v>1</v>
      </c>
      <c r="AA222" s="382">
        <v>2</v>
      </c>
      <c r="AB222" s="382">
        <v>42</v>
      </c>
      <c r="AC222" s="382">
        <v>13</v>
      </c>
      <c r="AD222" s="386">
        <v>2292</v>
      </c>
      <c r="AE222" s="386">
        <v>23</v>
      </c>
      <c r="AF222" s="386">
        <v>31</v>
      </c>
      <c r="AG222" s="386">
        <v>54</v>
      </c>
    </row>
    <row r="223" spans="1:33" x14ac:dyDescent="0.25">
      <c r="A223" s="381" t="s">
        <v>504</v>
      </c>
      <c r="B223" s="387" t="s">
        <v>505</v>
      </c>
      <c r="C223" s="383">
        <v>1377</v>
      </c>
      <c r="D223" s="383">
        <v>369</v>
      </c>
      <c r="E223" s="383">
        <v>93</v>
      </c>
      <c r="F223" s="383">
        <v>239</v>
      </c>
      <c r="G223" s="383">
        <v>423</v>
      </c>
      <c r="H223" s="383">
        <v>2501</v>
      </c>
      <c r="I223" s="382">
        <v>2078</v>
      </c>
      <c r="J223" s="382">
        <v>7</v>
      </c>
      <c r="K223" s="384">
        <v>119.72</v>
      </c>
      <c r="L223" s="384">
        <v>115.44</v>
      </c>
      <c r="M223" s="384">
        <v>9.2799999999999994</v>
      </c>
      <c r="N223" s="384">
        <v>127.65</v>
      </c>
      <c r="O223" s="385">
        <v>928</v>
      </c>
      <c r="P223" s="382">
        <v>118.19</v>
      </c>
      <c r="Q223" s="382">
        <v>104.94</v>
      </c>
      <c r="R223" s="382">
        <v>24.74</v>
      </c>
      <c r="S223" s="382">
        <v>142.84</v>
      </c>
      <c r="T223" s="382">
        <v>271</v>
      </c>
      <c r="U223" s="382">
        <v>198.34</v>
      </c>
      <c r="V223" s="382">
        <v>243</v>
      </c>
      <c r="W223" s="382">
        <v>128</v>
      </c>
      <c r="X223" s="382">
        <v>33</v>
      </c>
      <c r="Y223" s="382">
        <v>0</v>
      </c>
      <c r="Z223" s="382">
        <v>0</v>
      </c>
      <c r="AA223" s="382">
        <v>171</v>
      </c>
      <c r="AB223" s="382">
        <v>31</v>
      </c>
      <c r="AC223" s="382">
        <v>6</v>
      </c>
      <c r="AD223" s="386">
        <v>1320</v>
      </c>
      <c r="AE223" s="386">
        <v>23</v>
      </c>
      <c r="AF223" s="386">
        <v>1</v>
      </c>
      <c r="AG223" s="386">
        <v>24</v>
      </c>
    </row>
    <row r="224" spans="1:33" x14ac:dyDescent="0.25">
      <c r="A224" s="381" t="s">
        <v>506</v>
      </c>
      <c r="B224" s="387" t="s">
        <v>507</v>
      </c>
      <c r="C224" s="383">
        <v>2863</v>
      </c>
      <c r="D224" s="383">
        <v>0</v>
      </c>
      <c r="E224" s="383">
        <v>98</v>
      </c>
      <c r="F224" s="383">
        <v>1383</v>
      </c>
      <c r="G224" s="383">
        <v>375</v>
      </c>
      <c r="H224" s="383">
        <v>4719</v>
      </c>
      <c r="I224" s="382">
        <v>4344</v>
      </c>
      <c r="J224" s="382">
        <v>17</v>
      </c>
      <c r="K224" s="384">
        <v>95.12</v>
      </c>
      <c r="L224" s="384">
        <v>94.97</v>
      </c>
      <c r="M224" s="384">
        <v>4.32</v>
      </c>
      <c r="N224" s="384">
        <v>96.77</v>
      </c>
      <c r="O224" s="385">
        <v>2601</v>
      </c>
      <c r="P224" s="382">
        <v>94.26</v>
      </c>
      <c r="Q224" s="382">
        <v>90.93</v>
      </c>
      <c r="R224" s="382">
        <v>19.47</v>
      </c>
      <c r="S224" s="382">
        <v>113.55</v>
      </c>
      <c r="T224" s="382">
        <v>1476</v>
      </c>
      <c r="U224" s="382">
        <v>107.61</v>
      </c>
      <c r="V224" s="382">
        <v>223</v>
      </c>
      <c r="W224" s="382">
        <v>153.84</v>
      </c>
      <c r="X224" s="382">
        <v>5</v>
      </c>
      <c r="Y224" s="382">
        <v>0</v>
      </c>
      <c r="Z224" s="382">
        <v>1</v>
      </c>
      <c r="AA224" s="382">
        <v>1</v>
      </c>
      <c r="AB224" s="382">
        <v>14</v>
      </c>
      <c r="AC224" s="382">
        <v>11</v>
      </c>
      <c r="AD224" s="386">
        <v>2800</v>
      </c>
      <c r="AE224" s="386">
        <v>2</v>
      </c>
      <c r="AF224" s="386">
        <v>3</v>
      </c>
      <c r="AG224" s="386">
        <v>5</v>
      </c>
    </row>
    <row r="225" spans="1:33" x14ac:dyDescent="0.25">
      <c r="A225" s="381" t="s">
        <v>508</v>
      </c>
      <c r="B225" s="387" t="s">
        <v>509</v>
      </c>
      <c r="C225" s="383">
        <v>5607</v>
      </c>
      <c r="D225" s="383">
        <v>12</v>
      </c>
      <c r="E225" s="383">
        <v>219</v>
      </c>
      <c r="F225" s="383">
        <v>646</v>
      </c>
      <c r="G225" s="383">
        <v>603</v>
      </c>
      <c r="H225" s="383">
        <v>7087</v>
      </c>
      <c r="I225" s="382">
        <v>6484</v>
      </c>
      <c r="J225" s="382">
        <v>0</v>
      </c>
      <c r="K225" s="384">
        <v>110.35</v>
      </c>
      <c r="L225" s="384">
        <v>106.53</v>
      </c>
      <c r="M225" s="384">
        <v>8.51</v>
      </c>
      <c r="N225" s="384">
        <v>115.16</v>
      </c>
      <c r="O225" s="385">
        <v>4513</v>
      </c>
      <c r="P225" s="382">
        <v>96.14</v>
      </c>
      <c r="Q225" s="382">
        <v>90.47</v>
      </c>
      <c r="R225" s="382">
        <v>40.590000000000003</v>
      </c>
      <c r="S225" s="382">
        <v>136.43</v>
      </c>
      <c r="T225" s="382">
        <v>821</v>
      </c>
      <c r="U225" s="382">
        <v>152.4</v>
      </c>
      <c r="V225" s="382">
        <v>947</v>
      </c>
      <c r="W225" s="382">
        <v>147.59</v>
      </c>
      <c r="X225" s="382">
        <v>35</v>
      </c>
      <c r="Y225" s="382">
        <v>52</v>
      </c>
      <c r="Z225" s="382">
        <v>2</v>
      </c>
      <c r="AA225" s="382">
        <v>7</v>
      </c>
      <c r="AB225" s="382">
        <v>29</v>
      </c>
      <c r="AC225" s="382">
        <v>11</v>
      </c>
      <c r="AD225" s="386">
        <v>5457</v>
      </c>
      <c r="AE225" s="386">
        <v>22</v>
      </c>
      <c r="AF225" s="386">
        <v>105</v>
      </c>
      <c r="AG225" s="386">
        <v>127</v>
      </c>
    </row>
    <row r="226" spans="1:33" x14ac:dyDescent="0.25">
      <c r="A226" s="381" t="s">
        <v>510</v>
      </c>
      <c r="B226" s="387" t="s">
        <v>511</v>
      </c>
      <c r="C226" s="383">
        <v>1504</v>
      </c>
      <c r="D226" s="383">
        <v>0</v>
      </c>
      <c r="E226" s="383">
        <v>32</v>
      </c>
      <c r="F226" s="383">
        <v>287</v>
      </c>
      <c r="G226" s="383">
        <v>188</v>
      </c>
      <c r="H226" s="383">
        <v>2011</v>
      </c>
      <c r="I226" s="382">
        <v>1823</v>
      </c>
      <c r="J226" s="382">
        <v>4</v>
      </c>
      <c r="K226" s="384">
        <v>89.04</v>
      </c>
      <c r="L226" s="384">
        <v>88.47</v>
      </c>
      <c r="M226" s="384">
        <v>5.8</v>
      </c>
      <c r="N226" s="384">
        <v>91.3</v>
      </c>
      <c r="O226" s="385">
        <v>1267</v>
      </c>
      <c r="P226" s="382">
        <v>85.59</v>
      </c>
      <c r="Q226" s="382">
        <v>81.11</v>
      </c>
      <c r="R226" s="382">
        <v>30.59</v>
      </c>
      <c r="S226" s="382">
        <v>109.13</v>
      </c>
      <c r="T226" s="382">
        <v>217</v>
      </c>
      <c r="U226" s="382">
        <v>111.12</v>
      </c>
      <c r="V226" s="382">
        <v>205</v>
      </c>
      <c r="W226" s="382">
        <v>0</v>
      </c>
      <c r="X226" s="382">
        <v>0</v>
      </c>
      <c r="Y226" s="382">
        <v>29</v>
      </c>
      <c r="Z226" s="382">
        <v>7</v>
      </c>
      <c r="AA226" s="382">
        <v>0</v>
      </c>
      <c r="AB226" s="382">
        <v>25</v>
      </c>
      <c r="AC226" s="382">
        <v>6</v>
      </c>
      <c r="AD226" s="386">
        <v>1490</v>
      </c>
      <c r="AE226" s="386">
        <v>8</v>
      </c>
      <c r="AF226" s="386">
        <v>2</v>
      </c>
      <c r="AG226" s="386">
        <v>10</v>
      </c>
    </row>
    <row r="227" spans="1:33" x14ac:dyDescent="0.25">
      <c r="A227" s="381" t="s">
        <v>512</v>
      </c>
      <c r="B227" s="387" t="s">
        <v>513</v>
      </c>
      <c r="C227" s="383">
        <v>3020</v>
      </c>
      <c r="D227" s="383">
        <v>3</v>
      </c>
      <c r="E227" s="383">
        <v>44</v>
      </c>
      <c r="F227" s="383">
        <v>114</v>
      </c>
      <c r="G227" s="383">
        <v>45</v>
      </c>
      <c r="H227" s="383">
        <v>3226</v>
      </c>
      <c r="I227" s="382">
        <v>3181</v>
      </c>
      <c r="J227" s="382">
        <v>8</v>
      </c>
      <c r="K227" s="384">
        <v>89.43</v>
      </c>
      <c r="L227" s="384">
        <v>85.65</v>
      </c>
      <c r="M227" s="384">
        <v>4.03</v>
      </c>
      <c r="N227" s="384">
        <v>90.74</v>
      </c>
      <c r="O227" s="385">
        <v>1979</v>
      </c>
      <c r="P227" s="382">
        <v>75.38</v>
      </c>
      <c r="Q227" s="382">
        <v>71.94</v>
      </c>
      <c r="R227" s="382">
        <v>50.86</v>
      </c>
      <c r="S227" s="382">
        <v>124.8</v>
      </c>
      <c r="T227" s="382">
        <v>142</v>
      </c>
      <c r="U227" s="382">
        <v>96.71</v>
      </c>
      <c r="V227" s="382">
        <v>936</v>
      </c>
      <c r="W227" s="382">
        <v>0</v>
      </c>
      <c r="X227" s="382">
        <v>0</v>
      </c>
      <c r="Y227" s="382">
        <v>0</v>
      </c>
      <c r="Z227" s="382">
        <v>3</v>
      </c>
      <c r="AA227" s="382">
        <v>37</v>
      </c>
      <c r="AB227" s="382">
        <v>7</v>
      </c>
      <c r="AC227" s="382">
        <v>2</v>
      </c>
      <c r="AD227" s="386">
        <v>2995</v>
      </c>
      <c r="AE227" s="386">
        <v>18</v>
      </c>
      <c r="AF227" s="386">
        <v>5</v>
      </c>
      <c r="AG227" s="386">
        <v>23</v>
      </c>
    </row>
    <row r="228" spans="1:33" x14ac:dyDescent="0.25">
      <c r="A228" s="381" t="s">
        <v>514</v>
      </c>
      <c r="B228" s="387" t="s">
        <v>515</v>
      </c>
      <c r="C228" s="383">
        <v>26950</v>
      </c>
      <c r="D228" s="383">
        <v>0</v>
      </c>
      <c r="E228" s="383">
        <v>1567</v>
      </c>
      <c r="F228" s="383">
        <v>1293</v>
      </c>
      <c r="G228" s="383">
        <v>340</v>
      </c>
      <c r="H228" s="383">
        <v>30150</v>
      </c>
      <c r="I228" s="382">
        <v>29810</v>
      </c>
      <c r="J228" s="382">
        <v>403</v>
      </c>
      <c r="K228" s="384">
        <v>77.260000000000005</v>
      </c>
      <c r="L228" s="384">
        <v>77.38</v>
      </c>
      <c r="M228" s="384">
        <v>7.8</v>
      </c>
      <c r="N228" s="384">
        <v>80.84</v>
      </c>
      <c r="O228" s="385">
        <v>24649</v>
      </c>
      <c r="P228" s="382">
        <v>79.510000000000005</v>
      </c>
      <c r="Q228" s="382">
        <v>72.87</v>
      </c>
      <c r="R228" s="382">
        <v>34.18</v>
      </c>
      <c r="S228" s="382">
        <v>112.35</v>
      </c>
      <c r="T228" s="382">
        <v>2565</v>
      </c>
      <c r="U228" s="382">
        <v>108.62</v>
      </c>
      <c r="V228" s="382">
        <v>2100</v>
      </c>
      <c r="W228" s="382">
        <v>158.43</v>
      </c>
      <c r="X228" s="382">
        <v>65</v>
      </c>
      <c r="Y228" s="382">
        <v>0</v>
      </c>
      <c r="Z228" s="382">
        <v>171</v>
      </c>
      <c r="AA228" s="382">
        <v>3</v>
      </c>
      <c r="AB228" s="382">
        <v>48</v>
      </c>
      <c r="AC228" s="382">
        <v>19</v>
      </c>
      <c r="AD228" s="386">
        <v>26848</v>
      </c>
      <c r="AE228" s="386">
        <v>84</v>
      </c>
      <c r="AF228" s="386">
        <v>289</v>
      </c>
      <c r="AG228" s="386">
        <v>373</v>
      </c>
    </row>
    <row r="229" spans="1:33" x14ac:dyDescent="0.25">
      <c r="A229" s="381" t="s">
        <v>516</v>
      </c>
      <c r="B229" s="387" t="s">
        <v>517</v>
      </c>
      <c r="C229" s="383">
        <v>5723</v>
      </c>
      <c r="D229" s="383">
        <v>41</v>
      </c>
      <c r="E229" s="383">
        <v>438</v>
      </c>
      <c r="F229" s="383">
        <v>1077</v>
      </c>
      <c r="G229" s="383">
        <v>586</v>
      </c>
      <c r="H229" s="383">
        <v>7865</v>
      </c>
      <c r="I229" s="382">
        <v>7279</v>
      </c>
      <c r="J229" s="382">
        <v>0</v>
      </c>
      <c r="K229" s="384">
        <v>89.1</v>
      </c>
      <c r="L229" s="384">
        <v>86.82</v>
      </c>
      <c r="M229" s="384">
        <v>7.1</v>
      </c>
      <c r="N229" s="384">
        <v>94.63</v>
      </c>
      <c r="O229" s="385">
        <v>4519</v>
      </c>
      <c r="P229" s="382">
        <v>92.72</v>
      </c>
      <c r="Q229" s="382">
        <v>81.680000000000007</v>
      </c>
      <c r="R229" s="382">
        <v>46.98</v>
      </c>
      <c r="S229" s="382">
        <v>137.34</v>
      </c>
      <c r="T229" s="382">
        <v>1137</v>
      </c>
      <c r="U229" s="382">
        <v>109.66</v>
      </c>
      <c r="V229" s="382">
        <v>698</v>
      </c>
      <c r="W229" s="382">
        <v>186.46</v>
      </c>
      <c r="X229" s="382">
        <v>288</v>
      </c>
      <c r="Y229" s="382">
        <v>81</v>
      </c>
      <c r="Z229" s="382">
        <v>4</v>
      </c>
      <c r="AA229" s="382">
        <v>19</v>
      </c>
      <c r="AB229" s="382">
        <v>5</v>
      </c>
      <c r="AC229" s="382">
        <v>9</v>
      </c>
      <c r="AD229" s="386">
        <v>5490</v>
      </c>
      <c r="AE229" s="386">
        <v>22</v>
      </c>
      <c r="AF229" s="386">
        <v>25</v>
      </c>
      <c r="AG229" s="386">
        <v>47</v>
      </c>
    </row>
    <row r="230" spans="1:33" x14ac:dyDescent="0.25">
      <c r="A230" s="381" t="s">
        <v>518</v>
      </c>
      <c r="B230" s="387" t="s">
        <v>519</v>
      </c>
      <c r="C230" s="383">
        <v>6106</v>
      </c>
      <c r="D230" s="383">
        <v>0</v>
      </c>
      <c r="E230" s="383">
        <v>130</v>
      </c>
      <c r="F230" s="383">
        <v>612</v>
      </c>
      <c r="G230" s="383">
        <v>290</v>
      </c>
      <c r="H230" s="383">
        <v>7138</v>
      </c>
      <c r="I230" s="382">
        <v>6848</v>
      </c>
      <c r="J230" s="382">
        <v>10</v>
      </c>
      <c r="K230" s="384">
        <v>83.45</v>
      </c>
      <c r="L230" s="384">
        <v>82.91</v>
      </c>
      <c r="M230" s="384">
        <v>3.94</v>
      </c>
      <c r="N230" s="384">
        <v>84.34</v>
      </c>
      <c r="O230" s="385">
        <v>5440</v>
      </c>
      <c r="P230" s="382">
        <v>85.71</v>
      </c>
      <c r="Q230" s="382">
        <v>82.57</v>
      </c>
      <c r="R230" s="382">
        <v>32.9</v>
      </c>
      <c r="S230" s="382">
        <v>117.76</v>
      </c>
      <c r="T230" s="382">
        <v>583</v>
      </c>
      <c r="U230" s="382">
        <v>102.68</v>
      </c>
      <c r="V230" s="382">
        <v>635</v>
      </c>
      <c r="W230" s="382">
        <v>199.49</v>
      </c>
      <c r="X230" s="382">
        <v>64</v>
      </c>
      <c r="Y230" s="382">
        <v>0</v>
      </c>
      <c r="Z230" s="382">
        <v>15</v>
      </c>
      <c r="AA230" s="382">
        <v>0</v>
      </c>
      <c r="AB230" s="382">
        <v>7</v>
      </c>
      <c r="AC230" s="382">
        <v>1</v>
      </c>
      <c r="AD230" s="386">
        <v>6063</v>
      </c>
      <c r="AE230" s="386">
        <v>13</v>
      </c>
      <c r="AF230" s="386">
        <v>27</v>
      </c>
      <c r="AG230" s="386">
        <v>40</v>
      </c>
    </row>
    <row r="231" spans="1:33" x14ac:dyDescent="0.25">
      <c r="A231" s="381" t="s">
        <v>520</v>
      </c>
      <c r="B231" s="387" t="s">
        <v>521</v>
      </c>
      <c r="C231" s="383">
        <v>2864</v>
      </c>
      <c r="D231" s="383">
        <v>0</v>
      </c>
      <c r="E231" s="383">
        <v>286</v>
      </c>
      <c r="F231" s="383">
        <v>98</v>
      </c>
      <c r="G231" s="383">
        <v>274</v>
      </c>
      <c r="H231" s="383">
        <v>3522</v>
      </c>
      <c r="I231" s="382">
        <v>3248</v>
      </c>
      <c r="J231" s="382">
        <v>0</v>
      </c>
      <c r="K231" s="384">
        <v>91.29</v>
      </c>
      <c r="L231" s="384">
        <v>89.19</v>
      </c>
      <c r="M231" s="384">
        <v>4.54</v>
      </c>
      <c r="N231" s="384">
        <v>95.17</v>
      </c>
      <c r="O231" s="385">
        <v>1531</v>
      </c>
      <c r="P231" s="382">
        <v>81.069999999999993</v>
      </c>
      <c r="Q231" s="382">
        <v>75.569999999999993</v>
      </c>
      <c r="R231" s="382">
        <v>44.99</v>
      </c>
      <c r="S231" s="382">
        <v>122.95</v>
      </c>
      <c r="T231" s="382">
        <v>217</v>
      </c>
      <c r="U231" s="382">
        <v>113.32</v>
      </c>
      <c r="V231" s="382">
        <v>578</v>
      </c>
      <c r="W231" s="382">
        <v>0</v>
      </c>
      <c r="X231" s="382">
        <v>0</v>
      </c>
      <c r="Y231" s="382">
        <v>0</v>
      </c>
      <c r="Z231" s="382">
        <v>1</v>
      </c>
      <c r="AA231" s="382">
        <v>0</v>
      </c>
      <c r="AB231" s="382">
        <v>19</v>
      </c>
      <c r="AC231" s="382">
        <v>4</v>
      </c>
      <c r="AD231" s="386">
        <v>2044</v>
      </c>
      <c r="AE231" s="386">
        <v>15</v>
      </c>
      <c r="AF231" s="386">
        <v>6</v>
      </c>
      <c r="AG231" s="386">
        <v>21</v>
      </c>
    </row>
    <row r="232" spans="1:33" x14ac:dyDescent="0.25">
      <c r="A232" s="381" t="s">
        <v>522</v>
      </c>
      <c r="B232" s="387" t="s">
        <v>523</v>
      </c>
      <c r="C232" s="383">
        <v>15407</v>
      </c>
      <c r="D232" s="383">
        <v>8</v>
      </c>
      <c r="E232" s="383">
        <v>1637</v>
      </c>
      <c r="F232" s="383">
        <v>1649</v>
      </c>
      <c r="G232" s="383">
        <v>552</v>
      </c>
      <c r="H232" s="383">
        <v>19253</v>
      </c>
      <c r="I232" s="382">
        <v>18701</v>
      </c>
      <c r="J232" s="382">
        <v>17</v>
      </c>
      <c r="K232" s="384">
        <v>86.34</v>
      </c>
      <c r="L232" s="384">
        <v>83.38</v>
      </c>
      <c r="M232" s="384">
        <v>8.34</v>
      </c>
      <c r="N232" s="384">
        <v>89.38</v>
      </c>
      <c r="O232" s="385">
        <v>13802</v>
      </c>
      <c r="P232" s="382">
        <v>80.45</v>
      </c>
      <c r="Q232" s="382">
        <v>75.540000000000006</v>
      </c>
      <c r="R232" s="382">
        <v>32.64</v>
      </c>
      <c r="S232" s="382">
        <v>111.83</v>
      </c>
      <c r="T232" s="382">
        <v>2774</v>
      </c>
      <c r="U232" s="382">
        <v>98.41</v>
      </c>
      <c r="V232" s="382">
        <v>1002</v>
      </c>
      <c r="W232" s="382">
        <v>127.42</v>
      </c>
      <c r="X232" s="382">
        <v>11</v>
      </c>
      <c r="Y232" s="382">
        <v>0</v>
      </c>
      <c r="Z232" s="382">
        <v>50</v>
      </c>
      <c r="AA232" s="382">
        <v>20</v>
      </c>
      <c r="AB232" s="382">
        <v>24</v>
      </c>
      <c r="AC232" s="382">
        <v>9</v>
      </c>
      <c r="AD232" s="386">
        <v>14859</v>
      </c>
      <c r="AE232" s="386">
        <v>70</v>
      </c>
      <c r="AF232" s="386">
        <v>39</v>
      </c>
      <c r="AG232" s="386">
        <v>109</v>
      </c>
    </row>
    <row r="233" spans="1:33" x14ac:dyDescent="0.25">
      <c r="A233" s="381" t="s">
        <v>524</v>
      </c>
      <c r="B233" s="387" t="s">
        <v>525</v>
      </c>
      <c r="C233" s="383">
        <v>1599</v>
      </c>
      <c r="D233" s="383">
        <v>0</v>
      </c>
      <c r="E233" s="383">
        <v>45</v>
      </c>
      <c r="F233" s="383">
        <v>195</v>
      </c>
      <c r="G233" s="383">
        <v>279</v>
      </c>
      <c r="H233" s="383">
        <v>2118</v>
      </c>
      <c r="I233" s="382">
        <v>1839</v>
      </c>
      <c r="J233" s="382">
        <v>2</v>
      </c>
      <c r="K233" s="384">
        <v>91.95</v>
      </c>
      <c r="L233" s="384">
        <v>89.6</v>
      </c>
      <c r="M233" s="384">
        <v>5.59</v>
      </c>
      <c r="N233" s="384">
        <v>95.81</v>
      </c>
      <c r="O233" s="385">
        <v>1151</v>
      </c>
      <c r="P233" s="382">
        <v>103.74</v>
      </c>
      <c r="Q233" s="382">
        <v>96.26</v>
      </c>
      <c r="R233" s="382">
        <v>54.32</v>
      </c>
      <c r="S233" s="382">
        <v>157.59</v>
      </c>
      <c r="T233" s="382">
        <v>233</v>
      </c>
      <c r="U233" s="382">
        <v>105.11</v>
      </c>
      <c r="V233" s="382">
        <v>287</v>
      </c>
      <c r="W233" s="382">
        <v>0</v>
      </c>
      <c r="X233" s="382">
        <v>0</v>
      </c>
      <c r="Y233" s="382">
        <v>0</v>
      </c>
      <c r="Z233" s="382">
        <v>2</v>
      </c>
      <c r="AA233" s="382">
        <v>2</v>
      </c>
      <c r="AB233" s="382">
        <v>48</v>
      </c>
      <c r="AC233" s="382">
        <v>2</v>
      </c>
      <c r="AD233" s="386">
        <v>1575</v>
      </c>
      <c r="AE233" s="386">
        <v>17</v>
      </c>
      <c r="AF233" s="386">
        <v>11</v>
      </c>
      <c r="AG233" s="386">
        <v>28</v>
      </c>
    </row>
    <row r="234" spans="1:33" x14ac:dyDescent="0.25">
      <c r="A234" s="381" t="s">
        <v>526</v>
      </c>
      <c r="B234" s="387" t="s">
        <v>527</v>
      </c>
      <c r="C234" s="383">
        <v>5461</v>
      </c>
      <c r="D234" s="383">
        <v>0</v>
      </c>
      <c r="E234" s="383">
        <v>86</v>
      </c>
      <c r="F234" s="383">
        <v>1068</v>
      </c>
      <c r="G234" s="383">
        <v>762</v>
      </c>
      <c r="H234" s="383">
        <v>7377</v>
      </c>
      <c r="I234" s="382">
        <v>6615</v>
      </c>
      <c r="J234" s="382">
        <v>126</v>
      </c>
      <c r="K234" s="384">
        <v>106.3</v>
      </c>
      <c r="L234" s="384">
        <v>102.9</v>
      </c>
      <c r="M234" s="384">
        <v>4.16</v>
      </c>
      <c r="N234" s="384">
        <v>108.93</v>
      </c>
      <c r="O234" s="385">
        <v>5180</v>
      </c>
      <c r="P234" s="382">
        <v>91.55</v>
      </c>
      <c r="Q234" s="382">
        <v>87.11</v>
      </c>
      <c r="R234" s="382">
        <v>22.92</v>
      </c>
      <c r="S234" s="382">
        <v>114.3</v>
      </c>
      <c r="T234" s="382">
        <v>906</v>
      </c>
      <c r="U234" s="382">
        <v>154.41999999999999</v>
      </c>
      <c r="V234" s="382">
        <v>225</v>
      </c>
      <c r="W234" s="382">
        <v>138.06</v>
      </c>
      <c r="X234" s="382">
        <v>102</v>
      </c>
      <c r="Y234" s="382">
        <v>21</v>
      </c>
      <c r="Z234" s="382">
        <v>2</v>
      </c>
      <c r="AA234" s="382">
        <v>1</v>
      </c>
      <c r="AB234" s="382">
        <v>31</v>
      </c>
      <c r="AC234" s="382">
        <v>14</v>
      </c>
      <c r="AD234" s="386">
        <v>5429</v>
      </c>
      <c r="AE234" s="386">
        <v>35</v>
      </c>
      <c r="AF234" s="386">
        <v>7</v>
      </c>
      <c r="AG234" s="386">
        <v>42</v>
      </c>
    </row>
    <row r="235" spans="1:33" x14ac:dyDescent="0.25">
      <c r="A235" s="381" t="s">
        <v>528</v>
      </c>
      <c r="B235" s="387" t="s">
        <v>529</v>
      </c>
      <c r="C235" s="383">
        <v>15520</v>
      </c>
      <c r="D235" s="383">
        <v>6</v>
      </c>
      <c r="E235" s="383">
        <v>1331</v>
      </c>
      <c r="F235" s="383">
        <v>1040</v>
      </c>
      <c r="G235" s="383">
        <v>462</v>
      </c>
      <c r="H235" s="383">
        <v>18359</v>
      </c>
      <c r="I235" s="382">
        <v>17897</v>
      </c>
      <c r="J235" s="382">
        <v>15</v>
      </c>
      <c r="K235" s="384">
        <v>79.69</v>
      </c>
      <c r="L235" s="384">
        <v>77.63</v>
      </c>
      <c r="M235" s="384">
        <v>8.41</v>
      </c>
      <c r="N235" s="384">
        <v>82.49</v>
      </c>
      <c r="O235" s="385">
        <v>13216</v>
      </c>
      <c r="P235" s="382">
        <v>87.27</v>
      </c>
      <c r="Q235" s="382">
        <v>78.55</v>
      </c>
      <c r="R235" s="382">
        <v>53.87</v>
      </c>
      <c r="S235" s="382">
        <v>139.78</v>
      </c>
      <c r="T235" s="382">
        <v>2130</v>
      </c>
      <c r="U235" s="382">
        <v>95.83</v>
      </c>
      <c r="V235" s="382">
        <v>2026</v>
      </c>
      <c r="W235" s="382">
        <v>100.92</v>
      </c>
      <c r="X235" s="382">
        <v>10</v>
      </c>
      <c r="Y235" s="382">
        <v>0</v>
      </c>
      <c r="Z235" s="382">
        <v>50</v>
      </c>
      <c r="AA235" s="382">
        <v>6</v>
      </c>
      <c r="AB235" s="382">
        <v>12</v>
      </c>
      <c r="AC235" s="382">
        <v>14</v>
      </c>
      <c r="AD235" s="386">
        <v>15409</v>
      </c>
      <c r="AE235" s="386">
        <v>85</v>
      </c>
      <c r="AF235" s="386">
        <v>44</v>
      </c>
      <c r="AG235" s="386">
        <v>129</v>
      </c>
    </row>
    <row r="236" spans="1:33" x14ac:dyDescent="0.25">
      <c r="A236" s="381" t="s">
        <v>530</v>
      </c>
      <c r="B236" s="387" t="s">
        <v>531</v>
      </c>
      <c r="C236" s="383">
        <v>12639</v>
      </c>
      <c r="D236" s="383">
        <v>1</v>
      </c>
      <c r="E236" s="383">
        <v>387</v>
      </c>
      <c r="F236" s="383">
        <v>1642</v>
      </c>
      <c r="G236" s="383">
        <v>829</v>
      </c>
      <c r="H236" s="383">
        <v>15498</v>
      </c>
      <c r="I236" s="382">
        <v>14669</v>
      </c>
      <c r="J236" s="382">
        <v>58</v>
      </c>
      <c r="K236" s="384">
        <v>87.63</v>
      </c>
      <c r="L236" s="384">
        <v>87.2</v>
      </c>
      <c r="M236" s="384">
        <v>3.36</v>
      </c>
      <c r="N236" s="384">
        <v>89.42</v>
      </c>
      <c r="O236" s="385">
        <v>10316</v>
      </c>
      <c r="P236" s="382">
        <v>85.77</v>
      </c>
      <c r="Q236" s="382">
        <v>81.040000000000006</v>
      </c>
      <c r="R236" s="382">
        <v>21.87</v>
      </c>
      <c r="S236" s="382">
        <v>106.93</v>
      </c>
      <c r="T236" s="382">
        <v>1626</v>
      </c>
      <c r="U236" s="382">
        <v>105.56</v>
      </c>
      <c r="V236" s="382">
        <v>1660</v>
      </c>
      <c r="W236" s="382">
        <v>204.28</v>
      </c>
      <c r="X236" s="382">
        <v>328</v>
      </c>
      <c r="Y236" s="382">
        <v>14</v>
      </c>
      <c r="Z236" s="382">
        <v>28</v>
      </c>
      <c r="AA236" s="382">
        <v>21</v>
      </c>
      <c r="AB236" s="382">
        <v>32</v>
      </c>
      <c r="AC236" s="382">
        <v>12</v>
      </c>
      <c r="AD236" s="386">
        <v>12191</v>
      </c>
      <c r="AE236" s="386">
        <v>67</v>
      </c>
      <c r="AF236" s="386">
        <v>121</v>
      </c>
      <c r="AG236" s="386">
        <v>188</v>
      </c>
    </row>
    <row r="237" spans="1:33" x14ac:dyDescent="0.25">
      <c r="A237" s="381" t="s">
        <v>532</v>
      </c>
      <c r="B237" s="387" t="s">
        <v>533</v>
      </c>
      <c r="C237" s="383">
        <v>3578</v>
      </c>
      <c r="D237" s="383">
        <v>27</v>
      </c>
      <c r="E237" s="383">
        <v>332</v>
      </c>
      <c r="F237" s="383">
        <v>230</v>
      </c>
      <c r="G237" s="383">
        <v>486</v>
      </c>
      <c r="H237" s="383">
        <v>4653</v>
      </c>
      <c r="I237" s="382">
        <v>4167</v>
      </c>
      <c r="J237" s="382">
        <v>5</v>
      </c>
      <c r="K237" s="384">
        <v>119.53</v>
      </c>
      <c r="L237" s="384">
        <v>117.44</v>
      </c>
      <c r="M237" s="384">
        <v>6.81</v>
      </c>
      <c r="N237" s="384">
        <v>125.89</v>
      </c>
      <c r="O237" s="385">
        <v>3173</v>
      </c>
      <c r="P237" s="382">
        <v>111.49</v>
      </c>
      <c r="Q237" s="382">
        <v>94.42</v>
      </c>
      <c r="R237" s="382">
        <v>67.260000000000005</v>
      </c>
      <c r="S237" s="382">
        <v>164.84</v>
      </c>
      <c r="T237" s="382">
        <v>493</v>
      </c>
      <c r="U237" s="382">
        <v>146.15</v>
      </c>
      <c r="V237" s="382">
        <v>175</v>
      </c>
      <c r="W237" s="382">
        <v>0</v>
      </c>
      <c r="X237" s="382">
        <v>0</v>
      </c>
      <c r="Y237" s="382">
        <v>0</v>
      </c>
      <c r="Z237" s="382">
        <v>1</v>
      </c>
      <c r="AA237" s="382">
        <v>4</v>
      </c>
      <c r="AB237" s="382">
        <v>10</v>
      </c>
      <c r="AC237" s="382">
        <v>11</v>
      </c>
      <c r="AD237" s="386">
        <v>3405</v>
      </c>
      <c r="AE237" s="386">
        <v>7</v>
      </c>
      <c r="AF237" s="386">
        <v>10</v>
      </c>
      <c r="AG237" s="386">
        <v>17</v>
      </c>
    </row>
    <row r="238" spans="1:33" x14ac:dyDescent="0.25">
      <c r="A238" s="381" t="s">
        <v>534</v>
      </c>
      <c r="B238" s="387" t="s">
        <v>535</v>
      </c>
      <c r="C238" s="383">
        <v>2430</v>
      </c>
      <c r="D238" s="383">
        <v>0</v>
      </c>
      <c r="E238" s="383">
        <v>215</v>
      </c>
      <c r="F238" s="383">
        <v>588</v>
      </c>
      <c r="G238" s="383">
        <v>572</v>
      </c>
      <c r="H238" s="383">
        <v>3805</v>
      </c>
      <c r="I238" s="382">
        <v>3233</v>
      </c>
      <c r="J238" s="382">
        <v>0</v>
      </c>
      <c r="K238" s="384">
        <v>101.76</v>
      </c>
      <c r="L238" s="384">
        <v>99.88</v>
      </c>
      <c r="M238" s="384">
        <v>5.21</v>
      </c>
      <c r="N238" s="384">
        <v>105.84</v>
      </c>
      <c r="O238" s="385">
        <v>1922</v>
      </c>
      <c r="P238" s="382">
        <v>90.39</v>
      </c>
      <c r="Q238" s="382">
        <v>85.63</v>
      </c>
      <c r="R238" s="382">
        <v>55.04</v>
      </c>
      <c r="S238" s="382">
        <v>142.66999999999999</v>
      </c>
      <c r="T238" s="382">
        <v>459</v>
      </c>
      <c r="U238" s="382">
        <v>111.49</v>
      </c>
      <c r="V238" s="382">
        <v>468</v>
      </c>
      <c r="W238" s="382">
        <v>139.4</v>
      </c>
      <c r="X238" s="382">
        <v>107</v>
      </c>
      <c r="Y238" s="382">
        <v>0</v>
      </c>
      <c r="Z238" s="382">
        <v>4</v>
      </c>
      <c r="AA238" s="382">
        <v>0</v>
      </c>
      <c r="AB238" s="382">
        <v>62</v>
      </c>
      <c r="AC238" s="382">
        <v>13</v>
      </c>
      <c r="AD238" s="386">
        <v>2422</v>
      </c>
      <c r="AE238" s="386">
        <v>8</v>
      </c>
      <c r="AF238" s="386">
        <v>3</v>
      </c>
      <c r="AG238" s="386">
        <v>11</v>
      </c>
    </row>
    <row r="239" spans="1:33" x14ac:dyDescent="0.25">
      <c r="A239" s="381" t="s">
        <v>536</v>
      </c>
      <c r="B239" s="387" t="s">
        <v>537</v>
      </c>
      <c r="C239" s="382">
        <v>4110</v>
      </c>
      <c r="D239" s="382">
        <v>0</v>
      </c>
      <c r="E239" s="382">
        <v>342</v>
      </c>
      <c r="F239" s="382">
        <v>863</v>
      </c>
      <c r="G239" s="382">
        <v>587</v>
      </c>
      <c r="H239" s="382">
        <v>5902</v>
      </c>
      <c r="I239" s="382">
        <v>5315</v>
      </c>
      <c r="J239" s="382">
        <v>0</v>
      </c>
      <c r="K239" s="382">
        <v>95.29</v>
      </c>
      <c r="L239" s="384">
        <v>94.18</v>
      </c>
      <c r="M239" s="384">
        <v>4.53</v>
      </c>
      <c r="N239" s="384">
        <v>98.97</v>
      </c>
      <c r="O239" s="385">
        <v>3320</v>
      </c>
      <c r="P239" s="382">
        <v>91.12</v>
      </c>
      <c r="Q239" s="382">
        <v>88.74</v>
      </c>
      <c r="R239" s="382">
        <v>35.130000000000003</v>
      </c>
      <c r="S239" s="382">
        <v>125.44</v>
      </c>
      <c r="T239" s="382">
        <v>1000</v>
      </c>
      <c r="U239" s="382">
        <v>112.23</v>
      </c>
      <c r="V239" s="382">
        <v>393</v>
      </c>
      <c r="W239" s="382">
        <v>142.06</v>
      </c>
      <c r="X239" s="382">
        <v>78</v>
      </c>
      <c r="Y239" s="382">
        <v>0</v>
      </c>
      <c r="Z239" s="382">
        <v>4</v>
      </c>
      <c r="AA239" s="382">
        <v>8</v>
      </c>
      <c r="AB239" s="382">
        <v>64</v>
      </c>
      <c r="AC239" s="382">
        <v>11</v>
      </c>
      <c r="AD239" s="382">
        <v>3726</v>
      </c>
      <c r="AE239" s="382">
        <v>16</v>
      </c>
      <c r="AF239" s="382">
        <v>5</v>
      </c>
      <c r="AG239" s="382">
        <v>21</v>
      </c>
    </row>
    <row r="240" spans="1:33" x14ac:dyDescent="0.25">
      <c r="A240" s="381" t="s">
        <v>538</v>
      </c>
      <c r="B240" s="387" t="s">
        <v>539</v>
      </c>
      <c r="C240" s="383">
        <v>3269</v>
      </c>
      <c r="D240" s="383">
        <v>0</v>
      </c>
      <c r="E240" s="383">
        <v>356</v>
      </c>
      <c r="F240" s="383">
        <v>181</v>
      </c>
      <c r="G240" s="383">
        <v>1141</v>
      </c>
      <c r="H240" s="383">
        <v>4947</v>
      </c>
      <c r="I240" s="382">
        <v>3806</v>
      </c>
      <c r="J240" s="382">
        <v>20</v>
      </c>
      <c r="K240" s="384">
        <v>110.5</v>
      </c>
      <c r="L240" s="384">
        <v>108.61</v>
      </c>
      <c r="M240" s="384">
        <v>3.4</v>
      </c>
      <c r="N240" s="384">
        <v>113.27</v>
      </c>
      <c r="O240" s="385">
        <v>2300</v>
      </c>
      <c r="P240" s="382">
        <v>97.98</v>
      </c>
      <c r="Q240" s="382">
        <v>98.28</v>
      </c>
      <c r="R240" s="382">
        <v>42.17</v>
      </c>
      <c r="S240" s="382">
        <v>140.15</v>
      </c>
      <c r="T240" s="382">
        <v>235</v>
      </c>
      <c r="U240" s="382">
        <v>146.63999999999999</v>
      </c>
      <c r="V240" s="382">
        <v>591</v>
      </c>
      <c r="W240" s="382">
        <v>160.63</v>
      </c>
      <c r="X240" s="382">
        <v>79</v>
      </c>
      <c r="Y240" s="382">
        <v>0</v>
      </c>
      <c r="Z240" s="382">
        <v>0</v>
      </c>
      <c r="AA240" s="382">
        <v>36</v>
      </c>
      <c r="AB240" s="382">
        <v>48</v>
      </c>
      <c r="AC240" s="382">
        <v>24</v>
      </c>
      <c r="AD240" s="386">
        <v>3040</v>
      </c>
      <c r="AE240" s="386">
        <v>11</v>
      </c>
      <c r="AF240" s="386">
        <v>7</v>
      </c>
      <c r="AG240" s="386">
        <v>18</v>
      </c>
    </row>
    <row r="241" spans="1:33" x14ac:dyDescent="0.25">
      <c r="A241" s="381" t="s">
        <v>540</v>
      </c>
      <c r="B241" s="387" t="s">
        <v>541</v>
      </c>
      <c r="C241" s="383">
        <v>1396</v>
      </c>
      <c r="D241" s="383">
        <v>0</v>
      </c>
      <c r="E241" s="383">
        <v>143</v>
      </c>
      <c r="F241" s="383">
        <v>48</v>
      </c>
      <c r="G241" s="383">
        <v>218</v>
      </c>
      <c r="H241" s="383">
        <v>1805</v>
      </c>
      <c r="I241" s="382">
        <v>1587</v>
      </c>
      <c r="J241" s="382">
        <v>0</v>
      </c>
      <c r="K241" s="384">
        <v>92.26</v>
      </c>
      <c r="L241" s="384">
        <v>91.43</v>
      </c>
      <c r="M241" s="384">
        <v>5.29</v>
      </c>
      <c r="N241" s="384">
        <v>95.94</v>
      </c>
      <c r="O241" s="385">
        <v>1139</v>
      </c>
      <c r="P241" s="382">
        <v>109.61</v>
      </c>
      <c r="Q241" s="382">
        <v>107.1</v>
      </c>
      <c r="R241" s="382">
        <v>86.1</v>
      </c>
      <c r="S241" s="382">
        <v>195.71</v>
      </c>
      <c r="T241" s="382">
        <v>119</v>
      </c>
      <c r="U241" s="382">
        <v>99.87</v>
      </c>
      <c r="V241" s="382">
        <v>238</v>
      </c>
      <c r="W241" s="382">
        <v>185.89</v>
      </c>
      <c r="X241" s="382">
        <v>47</v>
      </c>
      <c r="Y241" s="382">
        <v>0</v>
      </c>
      <c r="Z241" s="382">
        <v>0</v>
      </c>
      <c r="AA241" s="382">
        <v>1</v>
      </c>
      <c r="AB241" s="382">
        <v>54</v>
      </c>
      <c r="AC241" s="382">
        <v>7</v>
      </c>
      <c r="AD241" s="386">
        <v>1377</v>
      </c>
      <c r="AE241" s="386">
        <v>7</v>
      </c>
      <c r="AF241" s="386">
        <v>11</v>
      </c>
      <c r="AG241" s="386">
        <v>18</v>
      </c>
    </row>
    <row r="242" spans="1:33" x14ac:dyDescent="0.25">
      <c r="A242" s="381" t="s">
        <v>542</v>
      </c>
      <c r="B242" s="387" t="s">
        <v>543</v>
      </c>
      <c r="C242" s="383">
        <v>10577</v>
      </c>
      <c r="D242" s="383">
        <v>22</v>
      </c>
      <c r="E242" s="383">
        <v>317</v>
      </c>
      <c r="F242" s="383">
        <v>1838</v>
      </c>
      <c r="G242" s="383">
        <v>830</v>
      </c>
      <c r="H242" s="383">
        <v>13584</v>
      </c>
      <c r="I242" s="382">
        <v>12754</v>
      </c>
      <c r="J242" s="382">
        <v>0</v>
      </c>
      <c r="K242" s="384">
        <v>96.96</v>
      </c>
      <c r="L242" s="384">
        <v>97.99</v>
      </c>
      <c r="M242" s="384">
        <v>5.42</v>
      </c>
      <c r="N242" s="384">
        <v>100.05</v>
      </c>
      <c r="O242" s="385">
        <v>9596</v>
      </c>
      <c r="P242" s="382">
        <v>88.5</v>
      </c>
      <c r="Q242" s="382">
        <v>90.63</v>
      </c>
      <c r="R242" s="382">
        <v>32.24</v>
      </c>
      <c r="S242" s="382">
        <v>120.64</v>
      </c>
      <c r="T242" s="382">
        <v>1876</v>
      </c>
      <c r="U242" s="382">
        <v>136.55000000000001</v>
      </c>
      <c r="V242" s="382">
        <v>624</v>
      </c>
      <c r="W242" s="382">
        <v>185.74</v>
      </c>
      <c r="X242" s="382">
        <v>91</v>
      </c>
      <c r="Y242" s="382">
        <v>20</v>
      </c>
      <c r="Z242" s="382">
        <v>23</v>
      </c>
      <c r="AA242" s="382">
        <v>7</v>
      </c>
      <c r="AB242" s="382">
        <v>31</v>
      </c>
      <c r="AC242" s="382">
        <v>5</v>
      </c>
      <c r="AD242" s="386">
        <v>10257</v>
      </c>
      <c r="AE242" s="386">
        <v>49</v>
      </c>
      <c r="AF242" s="386">
        <v>30</v>
      </c>
      <c r="AG242" s="386">
        <v>79</v>
      </c>
    </row>
    <row r="243" spans="1:33" x14ac:dyDescent="0.25">
      <c r="A243" s="381" t="s">
        <v>544</v>
      </c>
      <c r="B243" s="387" t="s">
        <v>545</v>
      </c>
      <c r="C243" s="383">
        <v>3870</v>
      </c>
      <c r="D243" s="383">
        <v>0</v>
      </c>
      <c r="E243" s="383">
        <v>82</v>
      </c>
      <c r="F243" s="383">
        <v>603</v>
      </c>
      <c r="G243" s="383">
        <v>524</v>
      </c>
      <c r="H243" s="383">
        <v>5079</v>
      </c>
      <c r="I243" s="382">
        <v>4555</v>
      </c>
      <c r="J243" s="382">
        <v>0</v>
      </c>
      <c r="K243" s="384">
        <v>93.26</v>
      </c>
      <c r="L243" s="384">
        <v>89.71</v>
      </c>
      <c r="M243" s="384">
        <v>1.9</v>
      </c>
      <c r="N243" s="384">
        <v>95.07</v>
      </c>
      <c r="O243" s="385">
        <v>3286</v>
      </c>
      <c r="P243" s="382">
        <v>81.319999999999993</v>
      </c>
      <c r="Q243" s="382">
        <v>73.67</v>
      </c>
      <c r="R243" s="382">
        <v>33.71</v>
      </c>
      <c r="S243" s="382">
        <v>113.94</v>
      </c>
      <c r="T243" s="382">
        <v>557</v>
      </c>
      <c r="U243" s="382">
        <v>124.15</v>
      </c>
      <c r="V243" s="382">
        <v>259</v>
      </c>
      <c r="W243" s="382">
        <v>218.18</v>
      </c>
      <c r="X243" s="382">
        <v>37</v>
      </c>
      <c r="Y243" s="382">
        <v>0</v>
      </c>
      <c r="Z243" s="382">
        <v>6</v>
      </c>
      <c r="AA243" s="382">
        <v>9</v>
      </c>
      <c r="AB243" s="382">
        <v>60</v>
      </c>
      <c r="AC243" s="382">
        <v>9</v>
      </c>
      <c r="AD243" s="386">
        <v>3615</v>
      </c>
      <c r="AE243" s="386">
        <v>18</v>
      </c>
      <c r="AF243" s="386">
        <v>12</v>
      </c>
      <c r="AG243" s="386">
        <v>30</v>
      </c>
    </row>
    <row r="244" spans="1:33" x14ac:dyDescent="0.25">
      <c r="A244" s="381" t="s">
        <v>546</v>
      </c>
      <c r="B244" s="387" t="s">
        <v>547</v>
      </c>
      <c r="C244" s="383">
        <v>1009</v>
      </c>
      <c r="D244" s="383">
        <v>0</v>
      </c>
      <c r="E244" s="383">
        <v>103</v>
      </c>
      <c r="F244" s="383">
        <v>0</v>
      </c>
      <c r="G244" s="383">
        <v>290</v>
      </c>
      <c r="H244" s="383">
        <v>1402</v>
      </c>
      <c r="I244" s="382">
        <v>1112</v>
      </c>
      <c r="J244" s="382">
        <v>6</v>
      </c>
      <c r="K244" s="384">
        <v>84.8</v>
      </c>
      <c r="L244" s="384">
        <v>84.36</v>
      </c>
      <c r="M244" s="384">
        <v>4.5599999999999996</v>
      </c>
      <c r="N244" s="384">
        <v>88.44</v>
      </c>
      <c r="O244" s="385">
        <v>753</v>
      </c>
      <c r="P244" s="382">
        <v>111.39</v>
      </c>
      <c r="Q244" s="382">
        <v>71.66</v>
      </c>
      <c r="R244" s="382">
        <v>103.91</v>
      </c>
      <c r="S244" s="382">
        <v>215.3</v>
      </c>
      <c r="T244" s="382">
        <v>93</v>
      </c>
      <c r="U244" s="382">
        <v>104.65</v>
      </c>
      <c r="V244" s="382">
        <v>153</v>
      </c>
      <c r="W244" s="382">
        <v>0</v>
      </c>
      <c r="X244" s="382">
        <v>0</v>
      </c>
      <c r="Y244" s="382">
        <v>0</v>
      </c>
      <c r="Z244" s="382">
        <v>0</v>
      </c>
      <c r="AA244" s="382">
        <v>0</v>
      </c>
      <c r="AB244" s="382">
        <v>48</v>
      </c>
      <c r="AC244" s="382">
        <v>7</v>
      </c>
      <c r="AD244" s="386">
        <v>944</v>
      </c>
      <c r="AE244" s="386">
        <v>2</v>
      </c>
      <c r="AF244" s="386">
        <v>0</v>
      </c>
      <c r="AG244" s="386">
        <v>2</v>
      </c>
    </row>
    <row r="245" spans="1:33" x14ac:dyDescent="0.25">
      <c r="A245" s="381" t="s">
        <v>548</v>
      </c>
      <c r="B245" s="387" t="s">
        <v>549</v>
      </c>
      <c r="C245" s="383">
        <v>1661</v>
      </c>
      <c r="D245" s="383">
        <v>0</v>
      </c>
      <c r="E245" s="383">
        <v>141</v>
      </c>
      <c r="F245" s="383">
        <v>350</v>
      </c>
      <c r="G245" s="383">
        <v>474</v>
      </c>
      <c r="H245" s="383">
        <v>2626</v>
      </c>
      <c r="I245" s="382">
        <v>2152</v>
      </c>
      <c r="J245" s="382">
        <v>0</v>
      </c>
      <c r="K245" s="384">
        <v>87.57</v>
      </c>
      <c r="L245" s="384">
        <v>86.17</v>
      </c>
      <c r="M245" s="384">
        <v>5.51</v>
      </c>
      <c r="N245" s="384">
        <v>92.21</v>
      </c>
      <c r="O245" s="385">
        <v>1218</v>
      </c>
      <c r="P245" s="382">
        <v>92.12</v>
      </c>
      <c r="Q245" s="382">
        <v>72.349999999999994</v>
      </c>
      <c r="R245" s="382">
        <v>38.71</v>
      </c>
      <c r="S245" s="382">
        <v>130.71</v>
      </c>
      <c r="T245" s="382">
        <v>327</v>
      </c>
      <c r="U245" s="382">
        <v>101.32</v>
      </c>
      <c r="V245" s="382">
        <v>168</v>
      </c>
      <c r="W245" s="382">
        <v>120.54</v>
      </c>
      <c r="X245" s="382">
        <v>21</v>
      </c>
      <c r="Y245" s="382">
        <v>22</v>
      </c>
      <c r="Z245" s="382">
        <v>0</v>
      </c>
      <c r="AA245" s="382">
        <v>0</v>
      </c>
      <c r="AB245" s="382">
        <v>9</v>
      </c>
      <c r="AC245" s="382">
        <v>13</v>
      </c>
      <c r="AD245" s="386">
        <v>1606</v>
      </c>
      <c r="AE245" s="386">
        <v>5</v>
      </c>
      <c r="AF245" s="386">
        <v>1</v>
      </c>
      <c r="AG245" s="386">
        <v>6</v>
      </c>
    </row>
    <row r="246" spans="1:33" x14ac:dyDescent="0.25">
      <c r="A246" s="381" t="s">
        <v>550</v>
      </c>
      <c r="B246" s="387" t="s">
        <v>551</v>
      </c>
      <c r="C246" s="383">
        <v>4051</v>
      </c>
      <c r="D246" s="383">
        <v>52</v>
      </c>
      <c r="E246" s="383">
        <v>214</v>
      </c>
      <c r="F246" s="383">
        <v>545</v>
      </c>
      <c r="G246" s="383">
        <v>162</v>
      </c>
      <c r="H246" s="383">
        <v>5024</v>
      </c>
      <c r="I246" s="382">
        <v>4862</v>
      </c>
      <c r="J246" s="382">
        <v>0</v>
      </c>
      <c r="K246" s="384">
        <v>91.51</v>
      </c>
      <c r="L246" s="384">
        <v>91.29</v>
      </c>
      <c r="M246" s="384">
        <v>4.4400000000000004</v>
      </c>
      <c r="N246" s="384">
        <v>92.58</v>
      </c>
      <c r="O246" s="385">
        <v>3583</v>
      </c>
      <c r="P246" s="382">
        <v>84.96</v>
      </c>
      <c r="Q246" s="382">
        <v>81.709999999999994</v>
      </c>
      <c r="R246" s="382">
        <v>40.35</v>
      </c>
      <c r="S246" s="382">
        <v>124.82</v>
      </c>
      <c r="T246" s="382">
        <v>664</v>
      </c>
      <c r="U246" s="382">
        <v>112.94</v>
      </c>
      <c r="V246" s="382">
        <v>442</v>
      </c>
      <c r="W246" s="382">
        <v>203.43</v>
      </c>
      <c r="X246" s="382">
        <v>8</v>
      </c>
      <c r="Y246" s="382">
        <v>73</v>
      </c>
      <c r="Z246" s="382">
        <v>15</v>
      </c>
      <c r="AA246" s="382">
        <v>0</v>
      </c>
      <c r="AB246" s="382">
        <v>0</v>
      </c>
      <c r="AC246" s="382">
        <v>2</v>
      </c>
      <c r="AD246" s="386">
        <v>3965</v>
      </c>
      <c r="AE246" s="386">
        <v>19</v>
      </c>
      <c r="AF246" s="386">
        <v>14</v>
      </c>
      <c r="AG246" s="386">
        <v>33</v>
      </c>
    </row>
    <row r="247" spans="1:33" x14ac:dyDescent="0.25">
      <c r="A247" s="381" t="s">
        <v>552</v>
      </c>
      <c r="B247" s="387" t="s">
        <v>553</v>
      </c>
      <c r="C247" s="383">
        <v>6258</v>
      </c>
      <c r="D247" s="383">
        <v>0</v>
      </c>
      <c r="E247" s="383">
        <v>243</v>
      </c>
      <c r="F247" s="383">
        <v>924</v>
      </c>
      <c r="G247" s="383">
        <v>598</v>
      </c>
      <c r="H247" s="383">
        <v>8023</v>
      </c>
      <c r="I247" s="382">
        <v>7425</v>
      </c>
      <c r="J247" s="382">
        <v>8</v>
      </c>
      <c r="K247" s="384">
        <v>88.11</v>
      </c>
      <c r="L247" s="384">
        <v>87.84</v>
      </c>
      <c r="M247" s="384">
        <v>4.82</v>
      </c>
      <c r="N247" s="384">
        <v>89.44</v>
      </c>
      <c r="O247" s="385">
        <v>4438</v>
      </c>
      <c r="P247" s="382">
        <v>88.01</v>
      </c>
      <c r="Q247" s="382">
        <v>79.959999999999994</v>
      </c>
      <c r="R247" s="382">
        <v>30.89</v>
      </c>
      <c r="S247" s="382">
        <v>118.44</v>
      </c>
      <c r="T247" s="382">
        <v>1134</v>
      </c>
      <c r="U247" s="382">
        <v>112.23</v>
      </c>
      <c r="V247" s="382">
        <v>1675</v>
      </c>
      <c r="W247" s="382">
        <v>0</v>
      </c>
      <c r="X247" s="382">
        <v>0</v>
      </c>
      <c r="Y247" s="382">
        <v>0</v>
      </c>
      <c r="Z247" s="382">
        <v>4</v>
      </c>
      <c r="AA247" s="382">
        <v>0</v>
      </c>
      <c r="AB247" s="382">
        <v>53</v>
      </c>
      <c r="AC247" s="382">
        <v>8</v>
      </c>
      <c r="AD247" s="386">
        <v>6230</v>
      </c>
      <c r="AE247" s="386">
        <v>42</v>
      </c>
      <c r="AF247" s="386">
        <v>32</v>
      </c>
      <c r="AG247" s="386">
        <v>74</v>
      </c>
    </row>
    <row r="248" spans="1:33" x14ac:dyDescent="0.25">
      <c r="A248" s="381" t="s">
        <v>554</v>
      </c>
      <c r="B248" s="387" t="s">
        <v>555</v>
      </c>
      <c r="C248" s="383">
        <v>6272</v>
      </c>
      <c r="D248" s="383">
        <v>0</v>
      </c>
      <c r="E248" s="383">
        <v>233</v>
      </c>
      <c r="F248" s="383">
        <v>752</v>
      </c>
      <c r="G248" s="383">
        <v>868</v>
      </c>
      <c r="H248" s="383">
        <v>8125</v>
      </c>
      <c r="I248" s="382">
        <v>7257</v>
      </c>
      <c r="J248" s="382">
        <v>1</v>
      </c>
      <c r="K248" s="384">
        <v>110.41</v>
      </c>
      <c r="L248" s="384">
        <v>109.57</v>
      </c>
      <c r="M248" s="384">
        <v>6.79</v>
      </c>
      <c r="N248" s="384">
        <v>112.82</v>
      </c>
      <c r="O248" s="385">
        <v>5288</v>
      </c>
      <c r="P248" s="382">
        <v>94.04</v>
      </c>
      <c r="Q248" s="382">
        <v>89.53</v>
      </c>
      <c r="R248" s="382">
        <v>23.06</v>
      </c>
      <c r="S248" s="382">
        <v>114.18</v>
      </c>
      <c r="T248" s="382">
        <v>821</v>
      </c>
      <c r="U248" s="382">
        <v>173.33</v>
      </c>
      <c r="V248" s="382">
        <v>772</v>
      </c>
      <c r="W248" s="382">
        <v>162.63999999999999</v>
      </c>
      <c r="X248" s="382">
        <v>39</v>
      </c>
      <c r="Y248" s="382">
        <v>0</v>
      </c>
      <c r="Z248" s="382">
        <v>2</v>
      </c>
      <c r="AA248" s="382">
        <v>2</v>
      </c>
      <c r="AB248" s="382">
        <v>103</v>
      </c>
      <c r="AC248" s="382">
        <v>16</v>
      </c>
      <c r="AD248" s="386">
        <v>6074</v>
      </c>
      <c r="AE248" s="386">
        <v>33</v>
      </c>
      <c r="AF248" s="386">
        <v>21</v>
      </c>
      <c r="AG248" s="386">
        <v>54</v>
      </c>
    </row>
    <row r="249" spans="1:33" x14ac:dyDescent="0.25">
      <c r="A249" s="381" t="s">
        <v>556</v>
      </c>
      <c r="B249" s="387" t="s">
        <v>557</v>
      </c>
      <c r="C249" s="383">
        <v>3906</v>
      </c>
      <c r="D249" s="383">
        <v>3</v>
      </c>
      <c r="E249" s="383">
        <v>272</v>
      </c>
      <c r="F249" s="383">
        <v>1075</v>
      </c>
      <c r="G249" s="383">
        <v>215</v>
      </c>
      <c r="H249" s="383">
        <v>5471</v>
      </c>
      <c r="I249" s="382">
        <v>5256</v>
      </c>
      <c r="J249" s="382">
        <v>4</v>
      </c>
      <c r="K249" s="384">
        <v>86.83</v>
      </c>
      <c r="L249" s="384">
        <v>86.17</v>
      </c>
      <c r="M249" s="384">
        <v>2.67</v>
      </c>
      <c r="N249" s="384">
        <v>89.45</v>
      </c>
      <c r="O249" s="385">
        <v>3540</v>
      </c>
      <c r="P249" s="382">
        <v>88.72</v>
      </c>
      <c r="Q249" s="382">
        <v>79.8</v>
      </c>
      <c r="R249" s="382">
        <v>26.31</v>
      </c>
      <c r="S249" s="382">
        <v>115.01</v>
      </c>
      <c r="T249" s="382">
        <v>1266</v>
      </c>
      <c r="U249" s="382">
        <v>100.11</v>
      </c>
      <c r="V249" s="382">
        <v>350</v>
      </c>
      <c r="W249" s="382">
        <v>0</v>
      </c>
      <c r="X249" s="382">
        <v>0</v>
      </c>
      <c r="Y249" s="382">
        <v>0</v>
      </c>
      <c r="Z249" s="382">
        <v>7</v>
      </c>
      <c r="AA249" s="382">
        <v>0</v>
      </c>
      <c r="AB249" s="382">
        <v>12</v>
      </c>
      <c r="AC249" s="382">
        <v>3</v>
      </c>
      <c r="AD249" s="386">
        <v>3904</v>
      </c>
      <c r="AE249" s="386">
        <v>35</v>
      </c>
      <c r="AF249" s="386">
        <v>2</v>
      </c>
      <c r="AG249" s="386">
        <v>37</v>
      </c>
    </row>
    <row r="250" spans="1:33" x14ac:dyDescent="0.25">
      <c r="A250" s="381" t="s">
        <v>558</v>
      </c>
      <c r="B250" s="387" t="s">
        <v>559</v>
      </c>
      <c r="C250" s="383">
        <v>9054</v>
      </c>
      <c r="D250" s="383">
        <v>0</v>
      </c>
      <c r="E250" s="383">
        <v>311</v>
      </c>
      <c r="F250" s="383">
        <v>1696</v>
      </c>
      <c r="G250" s="383">
        <v>662</v>
      </c>
      <c r="H250" s="383">
        <v>11723</v>
      </c>
      <c r="I250" s="382">
        <v>11061</v>
      </c>
      <c r="J250" s="382">
        <v>0</v>
      </c>
      <c r="K250" s="384">
        <v>91.7</v>
      </c>
      <c r="L250" s="384">
        <v>91.01</v>
      </c>
      <c r="M250" s="384">
        <v>4.21</v>
      </c>
      <c r="N250" s="384">
        <v>93.04</v>
      </c>
      <c r="O250" s="385">
        <v>8234</v>
      </c>
      <c r="P250" s="382">
        <v>85.98</v>
      </c>
      <c r="Q250" s="382">
        <v>84.15</v>
      </c>
      <c r="R250" s="382">
        <v>26.46</v>
      </c>
      <c r="S250" s="382">
        <v>112.33</v>
      </c>
      <c r="T250" s="382">
        <v>1973</v>
      </c>
      <c r="U250" s="382">
        <v>113.85</v>
      </c>
      <c r="V250" s="382">
        <v>579</v>
      </c>
      <c r="W250" s="382">
        <v>115.27</v>
      </c>
      <c r="X250" s="382">
        <v>28</v>
      </c>
      <c r="Y250" s="382">
        <v>0</v>
      </c>
      <c r="Z250" s="382">
        <v>37</v>
      </c>
      <c r="AA250" s="382">
        <v>1</v>
      </c>
      <c r="AB250" s="382">
        <v>15</v>
      </c>
      <c r="AC250" s="382">
        <v>13</v>
      </c>
      <c r="AD250" s="386">
        <v>9040</v>
      </c>
      <c r="AE250" s="386">
        <v>46</v>
      </c>
      <c r="AF250" s="386">
        <v>42</v>
      </c>
      <c r="AG250" s="386">
        <v>88</v>
      </c>
    </row>
    <row r="251" spans="1:33" x14ac:dyDescent="0.25">
      <c r="A251" s="381" t="s">
        <v>560</v>
      </c>
      <c r="B251" s="387" t="s">
        <v>561</v>
      </c>
      <c r="C251" s="383">
        <v>5707</v>
      </c>
      <c r="D251" s="383">
        <v>0</v>
      </c>
      <c r="E251" s="383">
        <v>277</v>
      </c>
      <c r="F251" s="383">
        <v>673</v>
      </c>
      <c r="G251" s="383">
        <v>378</v>
      </c>
      <c r="H251" s="383">
        <v>7035</v>
      </c>
      <c r="I251" s="382">
        <v>6657</v>
      </c>
      <c r="J251" s="382">
        <v>0</v>
      </c>
      <c r="K251" s="384">
        <v>87.82</v>
      </c>
      <c r="L251" s="384">
        <v>87.22</v>
      </c>
      <c r="M251" s="384">
        <v>4.5199999999999996</v>
      </c>
      <c r="N251" s="384">
        <v>89.05</v>
      </c>
      <c r="O251" s="385">
        <v>5572</v>
      </c>
      <c r="P251" s="382">
        <v>81.489999999999995</v>
      </c>
      <c r="Q251" s="382">
        <v>80.75</v>
      </c>
      <c r="R251" s="382">
        <v>37.56</v>
      </c>
      <c r="S251" s="382">
        <v>117.76</v>
      </c>
      <c r="T251" s="382">
        <v>811</v>
      </c>
      <c r="U251" s="382">
        <v>104.78</v>
      </c>
      <c r="V251" s="382">
        <v>98</v>
      </c>
      <c r="W251" s="382">
        <v>176.66</v>
      </c>
      <c r="X251" s="382">
        <v>139</v>
      </c>
      <c r="Y251" s="382">
        <v>0</v>
      </c>
      <c r="Z251" s="382">
        <v>3</v>
      </c>
      <c r="AA251" s="382">
        <v>2</v>
      </c>
      <c r="AB251" s="382">
        <v>32</v>
      </c>
      <c r="AC251" s="382">
        <v>5</v>
      </c>
      <c r="AD251" s="386">
        <v>5707</v>
      </c>
      <c r="AE251" s="386">
        <v>17</v>
      </c>
      <c r="AF251" s="386">
        <v>6</v>
      </c>
      <c r="AG251" s="386">
        <v>23</v>
      </c>
    </row>
    <row r="252" spans="1:33" x14ac:dyDescent="0.25">
      <c r="A252" s="381" t="s">
        <v>562</v>
      </c>
      <c r="B252" s="387" t="s">
        <v>563</v>
      </c>
      <c r="C252" s="383">
        <v>3823</v>
      </c>
      <c r="D252" s="383">
        <v>3</v>
      </c>
      <c r="E252" s="383">
        <v>351</v>
      </c>
      <c r="F252" s="383">
        <v>964</v>
      </c>
      <c r="G252" s="383">
        <v>208</v>
      </c>
      <c r="H252" s="383">
        <v>5349</v>
      </c>
      <c r="I252" s="382">
        <v>5141</v>
      </c>
      <c r="J252" s="382">
        <v>0</v>
      </c>
      <c r="K252" s="384">
        <v>79.72</v>
      </c>
      <c r="L252" s="384">
        <v>77.16</v>
      </c>
      <c r="M252" s="384">
        <v>3.26</v>
      </c>
      <c r="N252" s="384">
        <v>81.96</v>
      </c>
      <c r="O252" s="385">
        <v>3138</v>
      </c>
      <c r="P252" s="382">
        <v>83.28</v>
      </c>
      <c r="Q252" s="382">
        <v>76.62</v>
      </c>
      <c r="R252" s="382">
        <v>58.2</v>
      </c>
      <c r="S252" s="382">
        <v>140.72</v>
      </c>
      <c r="T252" s="382">
        <v>917</v>
      </c>
      <c r="U252" s="382">
        <v>98.39</v>
      </c>
      <c r="V252" s="382">
        <v>626</v>
      </c>
      <c r="W252" s="382">
        <v>101.39</v>
      </c>
      <c r="X252" s="382">
        <v>288</v>
      </c>
      <c r="Y252" s="382">
        <v>0</v>
      </c>
      <c r="Z252" s="382">
        <v>1</v>
      </c>
      <c r="AA252" s="382">
        <v>4</v>
      </c>
      <c r="AB252" s="382">
        <v>1</v>
      </c>
      <c r="AC252" s="382">
        <v>5</v>
      </c>
      <c r="AD252" s="386">
        <v>3663</v>
      </c>
      <c r="AE252" s="386">
        <v>72</v>
      </c>
      <c r="AF252" s="386">
        <v>12</v>
      </c>
      <c r="AG252" s="386">
        <v>84</v>
      </c>
    </row>
    <row r="253" spans="1:33" x14ac:dyDescent="0.25">
      <c r="A253" s="381" t="s">
        <v>564</v>
      </c>
      <c r="B253" s="387" t="s">
        <v>565</v>
      </c>
      <c r="C253" s="383">
        <v>5854</v>
      </c>
      <c r="D253" s="383">
        <v>68</v>
      </c>
      <c r="E253" s="383">
        <v>888</v>
      </c>
      <c r="F253" s="383">
        <v>1084</v>
      </c>
      <c r="G253" s="383">
        <v>984</v>
      </c>
      <c r="H253" s="383">
        <v>8878</v>
      </c>
      <c r="I253" s="382">
        <v>7894</v>
      </c>
      <c r="J253" s="382">
        <v>8</v>
      </c>
      <c r="K253" s="384">
        <v>104.59</v>
      </c>
      <c r="L253" s="384">
        <v>102.34</v>
      </c>
      <c r="M253" s="384">
        <v>7.68</v>
      </c>
      <c r="N253" s="384">
        <v>111.15</v>
      </c>
      <c r="O253" s="385">
        <v>4659</v>
      </c>
      <c r="P253" s="382">
        <v>92.96</v>
      </c>
      <c r="Q253" s="382">
        <v>88.91</v>
      </c>
      <c r="R253" s="382">
        <v>39.75</v>
      </c>
      <c r="S253" s="382">
        <v>130.82</v>
      </c>
      <c r="T253" s="382">
        <v>1659</v>
      </c>
      <c r="U253" s="382">
        <v>140.21</v>
      </c>
      <c r="V253" s="382">
        <v>784</v>
      </c>
      <c r="W253" s="382">
        <v>144.79</v>
      </c>
      <c r="X253" s="382">
        <v>21</v>
      </c>
      <c r="Y253" s="382">
        <v>70</v>
      </c>
      <c r="Z253" s="382">
        <v>4</v>
      </c>
      <c r="AA253" s="382">
        <v>2</v>
      </c>
      <c r="AB253" s="382">
        <v>24</v>
      </c>
      <c r="AC253" s="382">
        <v>41</v>
      </c>
      <c r="AD253" s="386">
        <v>5722</v>
      </c>
      <c r="AE253" s="386">
        <v>30</v>
      </c>
      <c r="AF253" s="386">
        <v>14</v>
      </c>
      <c r="AG253" s="386">
        <v>44</v>
      </c>
    </row>
    <row r="254" spans="1:33" x14ac:dyDescent="0.25">
      <c r="A254" s="381" t="s">
        <v>566</v>
      </c>
      <c r="B254" s="387" t="s">
        <v>567</v>
      </c>
      <c r="C254" s="383">
        <v>2825</v>
      </c>
      <c r="D254" s="383">
        <v>0</v>
      </c>
      <c r="E254" s="383">
        <v>532</v>
      </c>
      <c r="F254" s="383">
        <v>316</v>
      </c>
      <c r="G254" s="383">
        <v>378</v>
      </c>
      <c r="H254" s="383">
        <v>4051</v>
      </c>
      <c r="I254" s="382">
        <v>3673</v>
      </c>
      <c r="J254" s="382">
        <v>35</v>
      </c>
      <c r="K254" s="384">
        <v>97.13</v>
      </c>
      <c r="L254" s="384">
        <v>95.92</v>
      </c>
      <c r="M254" s="384">
        <v>11.98</v>
      </c>
      <c r="N254" s="384">
        <v>106.83</v>
      </c>
      <c r="O254" s="385">
        <v>2446</v>
      </c>
      <c r="P254" s="382">
        <v>90.43</v>
      </c>
      <c r="Q254" s="382">
        <v>85.66</v>
      </c>
      <c r="R254" s="382">
        <v>59.57</v>
      </c>
      <c r="S254" s="382">
        <v>145.22</v>
      </c>
      <c r="T254" s="382">
        <v>511</v>
      </c>
      <c r="U254" s="382">
        <v>147.78</v>
      </c>
      <c r="V254" s="382">
        <v>334</v>
      </c>
      <c r="W254" s="382">
        <v>0</v>
      </c>
      <c r="X254" s="382">
        <v>0</v>
      </c>
      <c r="Y254" s="382">
        <v>0</v>
      </c>
      <c r="Z254" s="382">
        <v>0</v>
      </c>
      <c r="AA254" s="382">
        <v>2</v>
      </c>
      <c r="AB254" s="382">
        <v>70</v>
      </c>
      <c r="AC254" s="382">
        <v>4</v>
      </c>
      <c r="AD254" s="386">
        <v>2797</v>
      </c>
      <c r="AE254" s="386">
        <v>12</v>
      </c>
      <c r="AF254" s="386">
        <v>3</v>
      </c>
      <c r="AG254" s="386">
        <v>15</v>
      </c>
    </row>
    <row r="255" spans="1:33" x14ac:dyDescent="0.25">
      <c r="A255" s="381" t="s">
        <v>568</v>
      </c>
      <c r="B255" s="387" t="s">
        <v>569</v>
      </c>
      <c r="C255" s="383">
        <v>14853</v>
      </c>
      <c r="D255" s="383">
        <v>266</v>
      </c>
      <c r="E255" s="383">
        <v>1481</v>
      </c>
      <c r="F255" s="383">
        <v>682</v>
      </c>
      <c r="G255" s="383">
        <v>2941</v>
      </c>
      <c r="H255" s="383">
        <v>20223</v>
      </c>
      <c r="I255" s="382">
        <v>17282</v>
      </c>
      <c r="J255" s="382">
        <v>128</v>
      </c>
      <c r="K255" s="384">
        <v>121.63</v>
      </c>
      <c r="L255" s="384">
        <v>123.38</v>
      </c>
      <c r="M255" s="384">
        <v>12.73</v>
      </c>
      <c r="N255" s="384">
        <v>131.24</v>
      </c>
      <c r="O255" s="385">
        <v>12214</v>
      </c>
      <c r="P255" s="382">
        <v>110.71</v>
      </c>
      <c r="Q255" s="382">
        <v>105.46</v>
      </c>
      <c r="R255" s="382">
        <v>60.49</v>
      </c>
      <c r="S255" s="382">
        <v>162.13999999999999</v>
      </c>
      <c r="T255" s="382">
        <v>1963</v>
      </c>
      <c r="U255" s="382">
        <v>199.29</v>
      </c>
      <c r="V255" s="382">
        <v>1037</v>
      </c>
      <c r="W255" s="382">
        <v>189.3</v>
      </c>
      <c r="X255" s="382">
        <v>25</v>
      </c>
      <c r="Y255" s="382">
        <v>10</v>
      </c>
      <c r="Z255" s="382">
        <v>10</v>
      </c>
      <c r="AA255" s="382">
        <v>28</v>
      </c>
      <c r="AB255" s="382">
        <v>189</v>
      </c>
      <c r="AC255" s="382">
        <v>81</v>
      </c>
      <c r="AD255" s="386">
        <v>13968</v>
      </c>
      <c r="AE255" s="386">
        <v>50</v>
      </c>
      <c r="AF255" s="386">
        <v>128</v>
      </c>
      <c r="AG255" s="386">
        <v>178</v>
      </c>
    </row>
    <row r="256" spans="1:33" x14ac:dyDescent="0.25">
      <c r="A256" s="381" t="s">
        <v>570</v>
      </c>
      <c r="B256" s="387" t="s">
        <v>571</v>
      </c>
      <c r="C256" s="383">
        <v>4911</v>
      </c>
      <c r="D256" s="383">
        <v>0</v>
      </c>
      <c r="E256" s="383">
        <v>138</v>
      </c>
      <c r="F256" s="383">
        <v>338</v>
      </c>
      <c r="G256" s="383">
        <v>417</v>
      </c>
      <c r="H256" s="383">
        <v>5804</v>
      </c>
      <c r="I256" s="382">
        <v>5387</v>
      </c>
      <c r="J256" s="382">
        <v>30</v>
      </c>
      <c r="K256" s="384">
        <v>115.83</v>
      </c>
      <c r="L256" s="384">
        <v>110.25</v>
      </c>
      <c r="M256" s="384">
        <v>5.39</v>
      </c>
      <c r="N256" s="384">
        <v>120.62</v>
      </c>
      <c r="O256" s="385">
        <v>4776</v>
      </c>
      <c r="P256" s="382">
        <v>110.03</v>
      </c>
      <c r="Q256" s="382">
        <v>101.59</v>
      </c>
      <c r="R256" s="382">
        <v>69.09</v>
      </c>
      <c r="S256" s="382">
        <v>178.72</v>
      </c>
      <c r="T256" s="382">
        <v>345</v>
      </c>
      <c r="U256" s="382">
        <v>213.04</v>
      </c>
      <c r="V256" s="382">
        <v>162</v>
      </c>
      <c r="W256" s="382">
        <v>109.82</v>
      </c>
      <c r="X256" s="382">
        <v>3</v>
      </c>
      <c r="Y256" s="382">
        <v>0</v>
      </c>
      <c r="Z256" s="382">
        <v>0</v>
      </c>
      <c r="AA256" s="382">
        <v>1</v>
      </c>
      <c r="AB256" s="382">
        <v>0</v>
      </c>
      <c r="AC256" s="382">
        <v>6</v>
      </c>
      <c r="AD256" s="386">
        <v>4905</v>
      </c>
      <c r="AE256" s="386">
        <v>10</v>
      </c>
      <c r="AF256" s="386">
        <v>11</v>
      </c>
      <c r="AG256" s="386">
        <v>21</v>
      </c>
    </row>
    <row r="257" spans="1:33" x14ac:dyDescent="0.25">
      <c r="A257" s="381" t="s">
        <v>572</v>
      </c>
      <c r="B257" s="387" t="s">
        <v>573</v>
      </c>
      <c r="C257" s="383">
        <v>1991</v>
      </c>
      <c r="D257" s="383">
        <v>81</v>
      </c>
      <c r="E257" s="383">
        <v>284</v>
      </c>
      <c r="F257" s="383">
        <v>178</v>
      </c>
      <c r="G257" s="383">
        <v>218</v>
      </c>
      <c r="H257" s="383">
        <v>2752</v>
      </c>
      <c r="I257" s="382">
        <v>2534</v>
      </c>
      <c r="J257" s="382">
        <v>2</v>
      </c>
      <c r="K257" s="384">
        <v>121.02</v>
      </c>
      <c r="L257" s="384">
        <v>117.36</v>
      </c>
      <c r="M257" s="384">
        <v>7.02</v>
      </c>
      <c r="N257" s="384">
        <v>127.21</v>
      </c>
      <c r="O257" s="385">
        <v>1587</v>
      </c>
      <c r="P257" s="382">
        <v>112.32</v>
      </c>
      <c r="Q257" s="382">
        <v>102.22</v>
      </c>
      <c r="R257" s="382">
        <v>36.409999999999997</v>
      </c>
      <c r="S257" s="382">
        <v>146.96</v>
      </c>
      <c r="T257" s="382">
        <v>389</v>
      </c>
      <c r="U257" s="382">
        <v>184.4</v>
      </c>
      <c r="V257" s="382">
        <v>260</v>
      </c>
      <c r="W257" s="382">
        <v>177.59</v>
      </c>
      <c r="X257" s="382">
        <v>22</v>
      </c>
      <c r="Y257" s="382">
        <v>0</v>
      </c>
      <c r="Z257" s="382">
        <v>0</v>
      </c>
      <c r="AA257" s="382">
        <v>2</v>
      </c>
      <c r="AB257" s="382">
        <v>8</v>
      </c>
      <c r="AC257" s="382">
        <v>10</v>
      </c>
      <c r="AD257" s="386">
        <v>1986</v>
      </c>
      <c r="AE257" s="386">
        <v>16</v>
      </c>
      <c r="AF257" s="386">
        <v>4</v>
      </c>
      <c r="AG257" s="386">
        <v>20</v>
      </c>
    </row>
    <row r="258" spans="1:33" x14ac:dyDescent="0.25">
      <c r="A258" s="381" t="s">
        <v>574</v>
      </c>
      <c r="B258" s="387" t="s">
        <v>575</v>
      </c>
      <c r="C258" s="383">
        <v>14393</v>
      </c>
      <c r="D258" s="383">
        <v>0</v>
      </c>
      <c r="E258" s="383">
        <v>637</v>
      </c>
      <c r="F258" s="383">
        <v>2077</v>
      </c>
      <c r="G258" s="383">
        <v>499</v>
      </c>
      <c r="H258" s="383">
        <v>17606</v>
      </c>
      <c r="I258" s="382">
        <v>17107</v>
      </c>
      <c r="J258" s="382">
        <v>0</v>
      </c>
      <c r="K258" s="384">
        <v>88.05</v>
      </c>
      <c r="L258" s="384">
        <v>87.78</v>
      </c>
      <c r="M258" s="384">
        <v>1.66</v>
      </c>
      <c r="N258" s="384">
        <v>89.55</v>
      </c>
      <c r="O258" s="385">
        <v>13234</v>
      </c>
      <c r="P258" s="382">
        <v>90.99</v>
      </c>
      <c r="Q258" s="382">
        <v>82.26</v>
      </c>
      <c r="R258" s="382">
        <v>41.49</v>
      </c>
      <c r="S258" s="382">
        <v>132.27000000000001</v>
      </c>
      <c r="T258" s="382">
        <v>2536</v>
      </c>
      <c r="U258" s="382">
        <v>99.03</v>
      </c>
      <c r="V258" s="382">
        <v>1087</v>
      </c>
      <c r="W258" s="382">
        <v>106.35</v>
      </c>
      <c r="X258" s="382">
        <v>1</v>
      </c>
      <c r="Y258" s="382">
        <v>0</v>
      </c>
      <c r="Z258" s="382">
        <v>76</v>
      </c>
      <c r="AA258" s="382">
        <v>24</v>
      </c>
      <c r="AB258" s="382">
        <v>27</v>
      </c>
      <c r="AC258" s="382">
        <v>11</v>
      </c>
      <c r="AD258" s="386">
        <v>14348</v>
      </c>
      <c r="AE258" s="386">
        <v>125</v>
      </c>
      <c r="AF258" s="386">
        <v>92</v>
      </c>
      <c r="AG258" s="386">
        <v>217</v>
      </c>
    </row>
    <row r="259" spans="1:33" x14ac:dyDescent="0.25">
      <c r="A259" s="381" t="s">
        <v>576</v>
      </c>
      <c r="B259" s="387" t="s">
        <v>577</v>
      </c>
      <c r="C259" s="383">
        <v>6269</v>
      </c>
      <c r="D259" s="383">
        <v>1</v>
      </c>
      <c r="E259" s="383">
        <v>239</v>
      </c>
      <c r="F259" s="383">
        <v>1673</v>
      </c>
      <c r="G259" s="383">
        <v>396</v>
      </c>
      <c r="H259" s="383">
        <v>8578</v>
      </c>
      <c r="I259" s="382">
        <v>8182</v>
      </c>
      <c r="J259" s="382">
        <v>0</v>
      </c>
      <c r="K259" s="384">
        <v>82.94</v>
      </c>
      <c r="L259" s="384">
        <v>82.52</v>
      </c>
      <c r="M259" s="384">
        <v>4.3899999999999997</v>
      </c>
      <c r="N259" s="384">
        <v>85.51</v>
      </c>
      <c r="O259" s="385">
        <v>5694</v>
      </c>
      <c r="P259" s="382">
        <v>79.72</v>
      </c>
      <c r="Q259" s="382">
        <v>80.95</v>
      </c>
      <c r="R259" s="382">
        <v>19.350000000000001</v>
      </c>
      <c r="S259" s="382">
        <v>98.46</v>
      </c>
      <c r="T259" s="382">
        <v>1775</v>
      </c>
      <c r="U259" s="382">
        <v>100.61</v>
      </c>
      <c r="V259" s="382">
        <v>564</v>
      </c>
      <c r="W259" s="382">
        <v>181.69</v>
      </c>
      <c r="X259" s="382">
        <v>134</v>
      </c>
      <c r="Y259" s="382">
        <v>0</v>
      </c>
      <c r="Z259" s="382">
        <v>16</v>
      </c>
      <c r="AA259" s="382">
        <v>9</v>
      </c>
      <c r="AB259" s="382">
        <v>27</v>
      </c>
      <c r="AC259" s="382">
        <v>10</v>
      </c>
      <c r="AD259" s="386">
        <v>6263</v>
      </c>
      <c r="AE259" s="386">
        <v>17</v>
      </c>
      <c r="AF259" s="386">
        <v>18</v>
      </c>
      <c r="AG259" s="386">
        <v>35</v>
      </c>
    </row>
    <row r="260" spans="1:33" x14ac:dyDescent="0.25">
      <c r="A260" s="381" t="s">
        <v>578</v>
      </c>
      <c r="B260" s="387" t="s">
        <v>579</v>
      </c>
      <c r="C260" s="383">
        <v>2772</v>
      </c>
      <c r="D260" s="383">
        <v>2</v>
      </c>
      <c r="E260" s="383">
        <v>155</v>
      </c>
      <c r="F260" s="383">
        <v>926</v>
      </c>
      <c r="G260" s="383">
        <v>69</v>
      </c>
      <c r="H260" s="383">
        <v>3924</v>
      </c>
      <c r="I260" s="382">
        <v>3855</v>
      </c>
      <c r="J260" s="382">
        <v>61</v>
      </c>
      <c r="K260" s="384">
        <v>85.35</v>
      </c>
      <c r="L260" s="384">
        <v>82.34</v>
      </c>
      <c r="M260" s="384">
        <v>6.79</v>
      </c>
      <c r="N260" s="384">
        <v>87.16</v>
      </c>
      <c r="O260" s="385">
        <v>2460</v>
      </c>
      <c r="P260" s="382">
        <v>84.68</v>
      </c>
      <c r="Q260" s="382">
        <v>76.11</v>
      </c>
      <c r="R260" s="382">
        <v>23.03</v>
      </c>
      <c r="S260" s="382">
        <v>106.8</v>
      </c>
      <c r="T260" s="382">
        <v>986</v>
      </c>
      <c r="U260" s="382">
        <v>96.95</v>
      </c>
      <c r="V260" s="382">
        <v>231</v>
      </c>
      <c r="W260" s="382">
        <v>138.30000000000001</v>
      </c>
      <c r="X260" s="382">
        <v>74</v>
      </c>
      <c r="Y260" s="382">
        <v>0</v>
      </c>
      <c r="Z260" s="382">
        <v>13</v>
      </c>
      <c r="AA260" s="382">
        <v>2</v>
      </c>
      <c r="AB260" s="382">
        <v>0</v>
      </c>
      <c r="AC260" s="382">
        <v>0</v>
      </c>
      <c r="AD260" s="386">
        <v>2589</v>
      </c>
      <c r="AE260" s="386">
        <v>26</v>
      </c>
      <c r="AF260" s="386">
        <v>8</v>
      </c>
      <c r="AG260" s="386">
        <v>34</v>
      </c>
    </row>
    <row r="261" spans="1:33" x14ac:dyDescent="0.25">
      <c r="A261" s="381" t="s">
        <v>580</v>
      </c>
      <c r="B261" s="387" t="s">
        <v>581</v>
      </c>
      <c r="C261" s="383">
        <v>1712</v>
      </c>
      <c r="D261" s="383">
        <v>3</v>
      </c>
      <c r="E261" s="383">
        <v>164</v>
      </c>
      <c r="F261" s="383">
        <v>312</v>
      </c>
      <c r="G261" s="383">
        <v>412</v>
      </c>
      <c r="H261" s="383">
        <v>2603</v>
      </c>
      <c r="I261" s="382">
        <v>2191</v>
      </c>
      <c r="J261" s="382">
        <v>3</v>
      </c>
      <c r="K261" s="384">
        <v>112.62</v>
      </c>
      <c r="L261" s="384">
        <v>110.5</v>
      </c>
      <c r="M261" s="384">
        <v>6.46</v>
      </c>
      <c r="N261" s="384">
        <v>118.64</v>
      </c>
      <c r="O261" s="385">
        <v>1415</v>
      </c>
      <c r="P261" s="382">
        <v>103.36</v>
      </c>
      <c r="Q261" s="382">
        <v>89.38</v>
      </c>
      <c r="R261" s="382">
        <v>34.950000000000003</v>
      </c>
      <c r="S261" s="382">
        <v>137.69999999999999</v>
      </c>
      <c r="T261" s="382">
        <v>401</v>
      </c>
      <c r="U261" s="382">
        <v>137.72999999999999</v>
      </c>
      <c r="V261" s="382">
        <v>151</v>
      </c>
      <c r="W261" s="382">
        <v>0</v>
      </c>
      <c r="X261" s="382">
        <v>0</v>
      </c>
      <c r="Y261" s="382">
        <v>0</v>
      </c>
      <c r="Z261" s="382">
        <v>1</v>
      </c>
      <c r="AA261" s="382">
        <v>0</v>
      </c>
      <c r="AB261" s="382">
        <v>1</v>
      </c>
      <c r="AC261" s="382">
        <v>10</v>
      </c>
      <c r="AD261" s="386">
        <v>1585</v>
      </c>
      <c r="AE261" s="386">
        <v>10</v>
      </c>
      <c r="AF261" s="386">
        <v>1</v>
      </c>
      <c r="AG261" s="386">
        <v>11</v>
      </c>
    </row>
    <row r="262" spans="1:33" x14ac:dyDescent="0.25">
      <c r="A262" s="381" t="s">
        <v>582</v>
      </c>
      <c r="B262" s="387" t="s">
        <v>583</v>
      </c>
      <c r="C262" s="383">
        <v>4536</v>
      </c>
      <c r="D262" s="383">
        <v>4</v>
      </c>
      <c r="E262" s="383">
        <v>427</v>
      </c>
      <c r="F262" s="383">
        <v>1350</v>
      </c>
      <c r="G262" s="383">
        <v>960</v>
      </c>
      <c r="H262" s="383">
        <v>7277</v>
      </c>
      <c r="I262" s="382">
        <v>6317</v>
      </c>
      <c r="J262" s="382">
        <v>65</v>
      </c>
      <c r="K262" s="384">
        <v>82.97</v>
      </c>
      <c r="L262" s="384">
        <v>81.739999999999995</v>
      </c>
      <c r="M262" s="384">
        <v>7.82</v>
      </c>
      <c r="N262" s="384">
        <v>87.32</v>
      </c>
      <c r="O262" s="385">
        <v>3804</v>
      </c>
      <c r="P262" s="382">
        <v>83.52</v>
      </c>
      <c r="Q262" s="382">
        <v>76.900000000000006</v>
      </c>
      <c r="R262" s="382">
        <v>27.86</v>
      </c>
      <c r="S262" s="382">
        <v>110.42</v>
      </c>
      <c r="T262" s="382">
        <v>1657</v>
      </c>
      <c r="U262" s="382">
        <v>109.63</v>
      </c>
      <c r="V262" s="382">
        <v>559</v>
      </c>
      <c r="W262" s="382">
        <v>143.97</v>
      </c>
      <c r="X262" s="382">
        <v>57</v>
      </c>
      <c r="Y262" s="382">
        <v>0</v>
      </c>
      <c r="Z262" s="382">
        <v>10</v>
      </c>
      <c r="AA262" s="382">
        <v>4</v>
      </c>
      <c r="AB262" s="382">
        <v>16</v>
      </c>
      <c r="AC262" s="382">
        <v>8</v>
      </c>
      <c r="AD262" s="386">
        <v>4185</v>
      </c>
      <c r="AE262" s="386">
        <v>17</v>
      </c>
      <c r="AF262" s="386">
        <v>21</v>
      </c>
      <c r="AG262" s="386">
        <v>38</v>
      </c>
    </row>
    <row r="263" spans="1:33" x14ac:dyDescent="0.25">
      <c r="A263" s="381" t="s">
        <v>584</v>
      </c>
      <c r="B263" s="387" t="s">
        <v>585</v>
      </c>
      <c r="C263" s="383">
        <v>12816</v>
      </c>
      <c r="D263" s="383">
        <v>4</v>
      </c>
      <c r="E263" s="383">
        <v>467</v>
      </c>
      <c r="F263" s="383">
        <v>658</v>
      </c>
      <c r="G263" s="383">
        <v>242</v>
      </c>
      <c r="H263" s="383">
        <v>14187</v>
      </c>
      <c r="I263" s="382">
        <v>13945</v>
      </c>
      <c r="J263" s="382">
        <v>2</v>
      </c>
      <c r="K263" s="384">
        <v>80.59</v>
      </c>
      <c r="L263" s="384">
        <v>80.73</v>
      </c>
      <c r="M263" s="384">
        <v>11.4</v>
      </c>
      <c r="N263" s="384">
        <v>83.74</v>
      </c>
      <c r="O263" s="385">
        <v>10998</v>
      </c>
      <c r="P263" s="382">
        <v>85.19</v>
      </c>
      <c r="Q263" s="382">
        <v>78.8</v>
      </c>
      <c r="R263" s="382">
        <v>47.31</v>
      </c>
      <c r="S263" s="382">
        <v>132.22999999999999</v>
      </c>
      <c r="T263" s="382">
        <v>1045</v>
      </c>
      <c r="U263" s="382">
        <v>97.63</v>
      </c>
      <c r="V263" s="382">
        <v>1714</v>
      </c>
      <c r="W263" s="382">
        <v>166.33</v>
      </c>
      <c r="X263" s="382">
        <v>58</v>
      </c>
      <c r="Y263" s="382">
        <v>20</v>
      </c>
      <c r="Z263" s="382">
        <v>58</v>
      </c>
      <c r="AA263" s="382">
        <v>0</v>
      </c>
      <c r="AB263" s="382">
        <v>4</v>
      </c>
      <c r="AC263" s="382">
        <v>6</v>
      </c>
      <c r="AD263" s="386">
        <v>12742</v>
      </c>
      <c r="AE263" s="386">
        <v>84</v>
      </c>
      <c r="AF263" s="386">
        <v>194</v>
      </c>
      <c r="AG263" s="386">
        <v>278</v>
      </c>
    </row>
    <row r="264" spans="1:33" x14ac:dyDescent="0.25">
      <c r="A264" s="381" t="s">
        <v>586</v>
      </c>
      <c r="B264" s="387" t="s">
        <v>587</v>
      </c>
      <c r="C264" s="383">
        <v>5971</v>
      </c>
      <c r="D264" s="383">
        <v>14</v>
      </c>
      <c r="E264" s="383">
        <v>755</v>
      </c>
      <c r="F264" s="383">
        <v>1501</v>
      </c>
      <c r="G264" s="383">
        <v>244</v>
      </c>
      <c r="H264" s="383">
        <v>8485</v>
      </c>
      <c r="I264" s="382">
        <v>8241</v>
      </c>
      <c r="J264" s="382">
        <v>11</v>
      </c>
      <c r="K264" s="384">
        <v>76.010000000000005</v>
      </c>
      <c r="L264" s="384">
        <v>75.12</v>
      </c>
      <c r="M264" s="384">
        <v>4.57</v>
      </c>
      <c r="N264" s="384">
        <v>79.03</v>
      </c>
      <c r="O264" s="385">
        <v>4879</v>
      </c>
      <c r="P264" s="382">
        <v>95.39</v>
      </c>
      <c r="Q264" s="382">
        <v>87.64</v>
      </c>
      <c r="R264" s="382">
        <v>54.25</v>
      </c>
      <c r="S264" s="382">
        <v>148.21</v>
      </c>
      <c r="T264" s="382">
        <v>1790</v>
      </c>
      <c r="U264" s="382">
        <v>91.78</v>
      </c>
      <c r="V264" s="382">
        <v>534</v>
      </c>
      <c r="W264" s="382">
        <v>213.12</v>
      </c>
      <c r="X264" s="382">
        <v>126</v>
      </c>
      <c r="Y264" s="382">
        <v>0</v>
      </c>
      <c r="Z264" s="382">
        <v>4</v>
      </c>
      <c r="AA264" s="382">
        <v>21</v>
      </c>
      <c r="AB264" s="382">
        <v>0</v>
      </c>
      <c r="AC264" s="382">
        <v>11</v>
      </c>
      <c r="AD264" s="386">
        <v>5385</v>
      </c>
      <c r="AE264" s="386">
        <v>40</v>
      </c>
      <c r="AF264" s="386">
        <v>36</v>
      </c>
      <c r="AG264" s="386">
        <v>76</v>
      </c>
    </row>
    <row r="265" spans="1:33" x14ac:dyDescent="0.25">
      <c r="A265" s="381" t="s">
        <v>588</v>
      </c>
      <c r="B265" s="387" t="s">
        <v>589</v>
      </c>
      <c r="C265" s="383">
        <v>6882</v>
      </c>
      <c r="D265" s="383">
        <v>2</v>
      </c>
      <c r="E265" s="383">
        <v>93</v>
      </c>
      <c r="F265" s="383">
        <v>721</v>
      </c>
      <c r="G265" s="383">
        <v>757</v>
      </c>
      <c r="H265" s="383">
        <v>8455</v>
      </c>
      <c r="I265" s="382">
        <v>7698</v>
      </c>
      <c r="J265" s="382">
        <v>30</v>
      </c>
      <c r="K265" s="384">
        <v>104.44</v>
      </c>
      <c r="L265" s="384">
        <v>104.77</v>
      </c>
      <c r="M265" s="384">
        <v>5.72</v>
      </c>
      <c r="N265" s="384">
        <v>107.02</v>
      </c>
      <c r="O265" s="385">
        <v>6264</v>
      </c>
      <c r="P265" s="382">
        <v>88.47</v>
      </c>
      <c r="Q265" s="382">
        <v>96.24</v>
      </c>
      <c r="R265" s="382">
        <v>30.15</v>
      </c>
      <c r="S265" s="382">
        <v>118.35</v>
      </c>
      <c r="T265" s="382">
        <v>673</v>
      </c>
      <c r="U265" s="382">
        <v>134.79</v>
      </c>
      <c r="V265" s="382">
        <v>274</v>
      </c>
      <c r="W265" s="382">
        <v>170.96</v>
      </c>
      <c r="X265" s="382">
        <v>50</v>
      </c>
      <c r="Y265" s="382">
        <v>12</v>
      </c>
      <c r="Z265" s="382">
        <v>9</v>
      </c>
      <c r="AA265" s="382">
        <v>60</v>
      </c>
      <c r="AB265" s="382">
        <v>76</v>
      </c>
      <c r="AC265" s="382">
        <v>13</v>
      </c>
      <c r="AD265" s="386">
        <v>6486</v>
      </c>
      <c r="AE265" s="386">
        <v>27</v>
      </c>
      <c r="AF265" s="386">
        <v>98</v>
      </c>
      <c r="AG265" s="386">
        <v>125</v>
      </c>
    </row>
    <row r="266" spans="1:33" x14ac:dyDescent="0.25">
      <c r="A266" s="381" t="s">
        <v>590</v>
      </c>
      <c r="B266" s="387" t="s">
        <v>591</v>
      </c>
      <c r="C266" s="383">
        <v>1469</v>
      </c>
      <c r="D266" s="383">
        <v>0</v>
      </c>
      <c r="E266" s="383">
        <v>158</v>
      </c>
      <c r="F266" s="383">
        <v>138</v>
      </c>
      <c r="G266" s="383">
        <v>352</v>
      </c>
      <c r="H266" s="383">
        <v>2117</v>
      </c>
      <c r="I266" s="382">
        <v>1765</v>
      </c>
      <c r="J266" s="382">
        <v>0</v>
      </c>
      <c r="K266" s="384">
        <v>97.87</v>
      </c>
      <c r="L266" s="384">
        <v>95.44</v>
      </c>
      <c r="M266" s="384">
        <v>4.99</v>
      </c>
      <c r="N266" s="384">
        <v>101.92</v>
      </c>
      <c r="O266" s="385">
        <v>1021</v>
      </c>
      <c r="P266" s="382">
        <v>110.37</v>
      </c>
      <c r="Q266" s="382">
        <v>79.98</v>
      </c>
      <c r="R266" s="382">
        <v>40.08</v>
      </c>
      <c r="S266" s="382">
        <v>148.59</v>
      </c>
      <c r="T266" s="382">
        <v>258</v>
      </c>
      <c r="U266" s="382">
        <v>118.76</v>
      </c>
      <c r="V266" s="382">
        <v>362</v>
      </c>
      <c r="W266" s="382">
        <v>0</v>
      </c>
      <c r="X266" s="382">
        <v>0</v>
      </c>
      <c r="Y266" s="382">
        <v>23</v>
      </c>
      <c r="Z266" s="382">
        <v>0</v>
      </c>
      <c r="AA266" s="382">
        <v>0</v>
      </c>
      <c r="AB266" s="382">
        <v>5</v>
      </c>
      <c r="AC266" s="382">
        <v>5</v>
      </c>
      <c r="AD266" s="386">
        <v>1397</v>
      </c>
      <c r="AE266" s="386">
        <v>4</v>
      </c>
      <c r="AF266" s="386">
        <v>7</v>
      </c>
      <c r="AG266" s="386">
        <v>11</v>
      </c>
    </row>
    <row r="267" spans="1:33" x14ac:dyDescent="0.25">
      <c r="A267" s="381" t="s">
        <v>592</v>
      </c>
      <c r="B267" s="387" t="s">
        <v>593</v>
      </c>
      <c r="C267" s="383">
        <v>31640</v>
      </c>
      <c r="D267" s="383">
        <v>14</v>
      </c>
      <c r="E267" s="383">
        <v>591</v>
      </c>
      <c r="F267" s="383">
        <v>2061</v>
      </c>
      <c r="G267" s="383">
        <v>281</v>
      </c>
      <c r="H267" s="383">
        <v>34587</v>
      </c>
      <c r="I267" s="382">
        <v>34306</v>
      </c>
      <c r="J267" s="382">
        <v>12</v>
      </c>
      <c r="K267" s="384">
        <v>78.84</v>
      </c>
      <c r="L267" s="384">
        <v>78.48</v>
      </c>
      <c r="M267" s="384">
        <v>6.94</v>
      </c>
      <c r="N267" s="384">
        <v>80.17</v>
      </c>
      <c r="O267" s="385">
        <v>29341</v>
      </c>
      <c r="P267" s="382">
        <v>83.55</v>
      </c>
      <c r="Q267" s="382">
        <v>75.680000000000007</v>
      </c>
      <c r="R267" s="382">
        <v>37.630000000000003</v>
      </c>
      <c r="S267" s="382">
        <v>120.14</v>
      </c>
      <c r="T267" s="382">
        <v>1985</v>
      </c>
      <c r="U267" s="382">
        <v>97.8</v>
      </c>
      <c r="V267" s="382">
        <v>1945</v>
      </c>
      <c r="W267" s="382">
        <v>186.79</v>
      </c>
      <c r="X267" s="382">
        <v>528</v>
      </c>
      <c r="Y267" s="382">
        <v>0</v>
      </c>
      <c r="Z267" s="382">
        <v>189</v>
      </c>
      <c r="AA267" s="382">
        <v>0</v>
      </c>
      <c r="AB267" s="382">
        <v>16</v>
      </c>
      <c r="AC267" s="382">
        <v>9</v>
      </c>
      <c r="AD267" s="386">
        <v>31338</v>
      </c>
      <c r="AE267" s="386">
        <v>309</v>
      </c>
      <c r="AF267" s="386">
        <v>55</v>
      </c>
      <c r="AG267" s="386">
        <v>364</v>
      </c>
    </row>
    <row r="268" spans="1:33" x14ac:dyDescent="0.25">
      <c r="A268" s="381" t="s">
        <v>594</v>
      </c>
      <c r="B268" s="387" t="s">
        <v>595</v>
      </c>
      <c r="C268" s="383">
        <v>3049</v>
      </c>
      <c r="D268" s="383">
        <v>1</v>
      </c>
      <c r="E268" s="383">
        <v>134</v>
      </c>
      <c r="F268" s="383">
        <v>307</v>
      </c>
      <c r="G268" s="383">
        <v>277</v>
      </c>
      <c r="H268" s="383">
        <v>3768</v>
      </c>
      <c r="I268" s="382">
        <v>3491</v>
      </c>
      <c r="J268" s="382">
        <v>54</v>
      </c>
      <c r="K268" s="384">
        <v>111.25</v>
      </c>
      <c r="L268" s="384">
        <v>108.01</v>
      </c>
      <c r="M268" s="384">
        <v>5.89</v>
      </c>
      <c r="N268" s="384">
        <v>114.44</v>
      </c>
      <c r="O268" s="385">
        <v>2978</v>
      </c>
      <c r="P268" s="382">
        <v>110.06</v>
      </c>
      <c r="Q268" s="382">
        <v>87.79</v>
      </c>
      <c r="R268" s="382">
        <v>30.34</v>
      </c>
      <c r="S268" s="382">
        <v>139.74</v>
      </c>
      <c r="T268" s="382">
        <v>410</v>
      </c>
      <c r="U268" s="382">
        <v>219.22</v>
      </c>
      <c r="V268" s="382">
        <v>68</v>
      </c>
      <c r="W268" s="382">
        <v>0</v>
      </c>
      <c r="X268" s="382">
        <v>0</v>
      </c>
      <c r="Y268" s="382">
        <v>6</v>
      </c>
      <c r="Z268" s="382">
        <v>0</v>
      </c>
      <c r="AA268" s="382">
        <v>1</v>
      </c>
      <c r="AB268" s="382">
        <v>24</v>
      </c>
      <c r="AC268" s="382">
        <v>2</v>
      </c>
      <c r="AD268" s="386">
        <v>3049</v>
      </c>
      <c r="AE268" s="386">
        <v>15</v>
      </c>
      <c r="AF268" s="386">
        <v>7</v>
      </c>
      <c r="AG268" s="386">
        <v>22</v>
      </c>
    </row>
    <row r="269" spans="1:33" x14ac:dyDescent="0.25">
      <c r="A269" s="381" t="s">
        <v>596</v>
      </c>
      <c r="B269" s="387" t="s">
        <v>597</v>
      </c>
      <c r="C269" s="383">
        <v>4612</v>
      </c>
      <c r="D269" s="383">
        <v>8</v>
      </c>
      <c r="E269" s="383">
        <v>385</v>
      </c>
      <c r="F269" s="383">
        <v>952</v>
      </c>
      <c r="G269" s="383">
        <v>767</v>
      </c>
      <c r="H269" s="383">
        <v>6724</v>
      </c>
      <c r="I269" s="382">
        <v>5957</v>
      </c>
      <c r="J269" s="382">
        <v>8</v>
      </c>
      <c r="K269" s="384">
        <v>117.09</v>
      </c>
      <c r="L269" s="384">
        <v>116.35</v>
      </c>
      <c r="M269" s="384">
        <v>8.3800000000000008</v>
      </c>
      <c r="N269" s="384">
        <v>124.84</v>
      </c>
      <c r="O269" s="385">
        <v>4077</v>
      </c>
      <c r="P269" s="382">
        <v>122.13</v>
      </c>
      <c r="Q269" s="382">
        <v>104.22</v>
      </c>
      <c r="R269" s="382">
        <v>41.54</v>
      </c>
      <c r="S269" s="382">
        <v>157.46</v>
      </c>
      <c r="T269" s="382">
        <v>822</v>
      </c>
      <c r="U269" s="382">
        <v>179.23</v>
      </c>
      <c r="V269" s="382">
        <v>339</v>
      </c>
      <c r="W269" s="382">
        <v>210.86</v>
      </c>
      <c r="X269" s="382">
        <v>93</v>
      </c>
      <c r="Y269" s="382">
        <v>0</v>
      </c>
      <c r="Z269" s="382">
        <v>0</v>
      </c>
      <c r="AA269" s="382">
        <v>2</v>
      </c>
      <c r="AB269" s="382">
        <v>53</v>
      </c>
      <c r="AC269" s="382">
        <v>17</v>
      </c>
      <c r="AD269" s="386">
        <v>4450</v>
      </c>
      <c r="AE269" s="386">
        <v>6</v>
      </c>
      <c r="AF269" s="386">
        <v>10</v>
      </c>
      <c r="AG269" s="386">
        <v>16</v>
      </c>
    </row>
    <row r="270" spans="1:33" x14ac:dyDescent="0.25">
      <c r="A270" s="381" t="s">
        <v>598</v>
      </c>
      <c r="B270" s="387" t="s">
        <v>599</v>
      </c>
      <c r="C270" s="383">
        <v>7683</v>
      </c>
      <c r="D270" s="383">
        <v>0</v>
      </c>
      <c r="E270" s="383">
        <v>237</v>
      </c>
      <c r="F270" s="383">
        <v>437</v>
      </c>
      <c r="G270" s="383">
        <v>671</v>
      </c>
      <c r="H270" s="383">
        <v>9028</v>
      </c>
      <c r="I270" s="382">
        <v>8357</v>
      </c>
      <c r="J270" s="382">
        <v>4</v>
      </c>
      <c r="K270" s="384">
        <v>97.47</v>
      </c>
      <c r="L270" s="384">
        <v>96.72</v>
      </c>
      <c r="M270" s="384">
        <v>5.86</v>
      </c>
      <c r="N270" s="384">
        <v>100.14</v>
      </c>
      <c r="O270" s="385">
        <v>6523</v>
      </c>
      <c r="P270" s="382">
        <v>92.59</v>
      </c>
      <c r="Q270" s="382">
        <v>83.09</v>
      </c>
      <c r="R270" s="382">
        <v>46.28</v>
      </c>
      <c r="S270" s="382">
        <v>138.79</v>
      </c>
      <c r="T270" s="382">
        <v>605</v>
      </c>
      <c r="U270" s="382">
        <v>127.15</v>
      </c>
      <c r="V270" s="382">
        <v>1043</v>
      </c>
      <c r="W270" s="382">
        <v>0</v>
      </c>
      <c r="X270" s="382">
        <v>0</v>
      </c>
      <c r="Y270" s="382">
        <v>0</v>
      </c>
      <c r="Z270" s="382">
        <v>1</v>
      </c>
      <c r="AA270" s="382">
        <v>2</v>
      </c>
      <c r="AB270" s="382">
        <v>45</v>
      </c>
      <c r="AC270" s="382">
        <v>17</v>
      </c>
      <c r="AD270" s="386">
        <v>7594</v>
      </c>
      <c r="AE270" s="386">
        <v>22</v>
      </c>
      <c r="AF270" s="386">
        <v>35</v>
      </c>
      <c r="AG270" s="386">
        <v>57</v>
      </c>
    </row>
    <row r="271" spans="1:33" x14ac:dyDescent="0.25">
      <c r="A271" s="381" t="s">
        <v>600</v>
      </c>
      <c r="B271" s="387" t="s">
        <v>601</v>
      </c>
      <c r="C271" s="383">
        <v>4010</v>
      </c>
      <c r="D271" s="383">
        <v>12</v>
      </c>
      <c r="E271" s="383">
        <v>507</v>
      </c>
      <c r="F271" s="383">
        <v>804</v>
      </c>
      <c r="G271" s="383">
        <v>1051</v>
      </c>
      <c r="H271" s="383">
        <v>6384</v>
      </c>
      <c r="I271" s="382">
        <v>5333</v>
      </c>
      <c r="J271" s="382">
        <v>0</v>
      </c>
      <c r="K271" s="384">
        <v>95.92</v>
      </c>
      <c r="L271" s="384">
        <v>94.58</v>
      </c>
      <c r="M271" s="384">
        <v>7.45</v>
      </c>
      <c r="N271" s="384">
        <v>101.83</v>
      </c>
      <c r="O271" s="385">
        <v>3153</v>
      </c>
      <c r="P271" s="382">
        <v>83.83</v>
      </c>
      <c r="Q271" s="382">
        <v>81.12</v>
      </c>
      <c r="R271" s="382">
        <v>48.68</v>
      </c>
      <c r="S271" s="382">
        <v>129.91999999999999</v>
      </c>
      <c r="T271" s="382">
        <v>1183</v>
      </c>
      <c r="U271" s="382">
        <v>128.52000000000001</v>
      </c>
      <c r="V271" s="382">
        <v>614</v>
      </c>
      <c r="W271" s="382">
        <v>162.49</v>
      </c>
      <c r="X271" s="382">
        <v>79</v>
      </c>
      <c r="Y271" s="382">
        <v>57</v>
      </c>
      <c r="Z271" s="382">
        <v>1</v>
      </c>
      <c r="AA271" s="382">
        <v>1</v>
      </c>
      <c r="AB271" s="382">
        <v>15</v>
      </c>
      <c r="AC271" s="382">
        <v>31</v>
      </c>
      <c r="AD271" s="386">
        <v>3893</v>
      </c>
      <c r="AE271" s="386">
        <v>22</v>
      </c>
      <c r="AF271" s="386">
        <v>8</v>
      </c>
      <c r="AG271" s="386">
        <v>30</v>
      </c>
    </row>
    <row r="272" spans="1:33" x14ac:dyDescent="0.25">
      <c r="A272" s="381" t="s">
        <v>602</v>
      </c>
      <c r="B272" s="387" t="s">
        <v>603</v>
      </c>
      <c r="C272" s="383">
        <v>20145</v>
      </c>
      <c r="D272" s="383">
        <v>2</v>
      </c>
      <c r="E272" s="383">
        <v>556</v>
      </c>
      <c r="F272" s="383">
        <v>1518</v>
      </c>
      <c r="G272" s="383">
        <v>71</v>
      </c>
      <c r="H272" s="383">
        <v>22292</v>
      </c>
      <c r="I272" s="382">
        <v>22221</v>
      </c>
      <c r="J272" s="382">
        <v>30</v>
      </c>
      <c r="K272" s="384">
        <v>81.400000000000006</v>
      </c>
      <c r="L272" s="384">
        <v>78.569999999999993</v>
      </c>
      <c r="M272" s="384">
        <v>3.58</v>
      </c>
      <c r="N272" s="384">
        <v>84.66</v>
      </c>
      <c r="O272" s="385">
        <v>16748</v>
      </c>
      <c r="P272" s="382">
        <v>80.400000000000006</v>
      </c>
      <c r="Q272" s="382">
        <v>72.5</v>
      </c>
      <c r="R272" s="382">
        <v>33.78</v>
      </c>
      <c r="S272" s="382">
        <v>113.33</v>
      </c>
      <c r="T272" s="382">
        <v>1940</v>
      </c>
      <c r="U272" s="382">
        <v>103.72</v>
      </c>
      <c r="V272" s="382">
        <v>2368</v>
      </c>
      <c r="W272" s="382">
        <v>105.46</v>
      </c>
      <c r="X272" s="382">
        <v>19</v>
      </c>
      <c r="Y272" s="382">
        <v>0</v>
      </c>
      <c r="Z272" s="382">
        <v>46</v>
      </c>
      <c r="AA272" s="382">
        <v>0</v>
      </c>
      <c r="AB272" s="382">
        <v>1</v>
      </c>
      <c r="AC272" s="382">
        <v>4</v>
      </c>
      <c r="AD272" s="386">
        <v>19157</v>
      </c>
      <c r="AE272" s="386">
        <v>147</v>
      </c>
      <c r="AF272" s="386">
        <v>29</v>
      </c>
      <c r="AG272" s="386">
        <v>176</v>
      </c>
    </row>
    <row r="273" spans="1:33" x14ac:dyDescent="0.25">
      <c r="A273" s="381" t="s">
        <v>604</v>
      </c>
      <c r="B273" s="387" t="s">
        <v>605</v>
      </c>
      <c r="C273" s="383">
        <v>1501</v>
      </c>
      <c r="D273" s="383">
        <v>0</v>
      </c>
      <c r="E273" s="383">
        <v>123</v>
      </c>
      <c r="F273" s="383">
        <v>109</v>
      </c>
      <c r="G273" s="383">
        <v>166</v>
      </c>
      <c r="H273" s="383">
        <v>1899</v>
      </c>
      <c r="I273" s="382">
        <v>1733</v>
      </c>
      <c r="J273" s="382">
        <v>0</v>
      </c>
      <c r="K273" s="384">
        <v>87.96</v>
      </c>
      <c r="L273" s="384">
        <v>85.25</v>
      </c>
      <c r="M273" s="384">
        <v>5.01</v>
      </c>
      <c r="N273" s="384">
        <v>92.03</v>
      </c>
      <c r="O273" s="385">
        <v>1247</v>
      </c>
      <c r="P273" s="382">
        <v>82.44</v>
      </c>
      <c r="Q273" s="382">
        <v>80.3</v>
      </c>
      <c r="R273" s="382">
        <v>30.61</v>
      </c>
      <c r="S273" s="382">
        <v>113.05</v>
      </c>
      <c r="T273" s="382">
        <v>194</v>
      </c>
      <c r="U273" s="382">
        <v>107.31</v>
      </c>
      <c r="V273" s="382">
        <v>240</v>
      </c>
      <c r="W273" s="382">
        <v>0</v>
      </c>
      <c r="X273" s="382">
        <v>0</v>
      </c>
      <c r="Y273" s="382">
        <v>9</v>
      </c>
      <c r="Z273" s="382">
        <v>0</v>
      </c>
      <c r="AA273" s="382">
        <v>3</v>
      </c>
      <c r="AB273" s="382">
        <v>30</v>
      </c>
      <c r="AC273" s="382">
        <v>5</v>
      </c>
      <c r="AD273" s="386">
        <v>1486</v>
      </c>
      <c r="AE273" s="386">
        <v>18</v>
      </c>
      <c r="AF273" s="386">
        <v>0</v>
      </c>
      <c r="AG273" s="386">
        <v>18</v>
      </c>
    </row>
    <row r="274" spans="1:33" x14ac:dyDescent="0.25">
      <c r="A274" s="381" t="s">
        <v>606</v>
      </c>
      <c r="B274" s="387" t="s">
        <v>607</v>
      </c>
      <c r="C274" s="383">
        <v>1099</v>
      </c>
      <c r="D274" s="383">
        <v>0</v>
      </c>
      <c r="E274" s="383">
        <v>115</v>
      </c>
      <c r="F274" s="383">
        <v>99</v>
      </c>
      <c r="G274" s="383">
        <v>262</v>
      </c>
      <c r="H274" s="383">
        <v>1575</v>
      </c>
      <c r="I274" s="382">
        <v>1313</v>
      </c>
      <c r="J274" s="382">
        <v>0</v>
      </c>
      <c r="K274" s="384">
        <v>123.91</v>
      </c>
      <c r="L274" s="384">
        <v>120.76</v>
      </c>
      <c r="M274" s="384">
        <v>8.2100000000000009</v>
      </c>
      <c r="N274" s="384">
        <v>131.63999999999999</v>
      </c>
      <c r="O274" s="385">
        <v>707</v>
      </c>
      <c r="P274" s="382">
        <v>134.6</v>
      </c>
      <c r="Q274" s="382">
        <v>99.09</v>
      </c>
      <c r="R274" s="382">
        <v>58.97</v>
      </c>
      <c r="S274" s="382">
        <v>193.57</v>
      </c>
      <c r="T274" s="382">
        <v>86</v>
      </c>
      <c r="U274" s="382">
        <v>178.93</v>
      </c>
      <c r="V274" s="382">
        <v>335</v>
      </c>
      <c r="W274" s="382">
        <v>111.05</v>
      </c>
      <c r="X274" s="382">
        <v>7</v>
      </c>
      <c r="Y274" s="382">
        <v>0</v>
      </c>
      <c r="Z274" s="382">
        <v>0</v>
      </c>
      <c r="AA274" s="382">
        <v>0</v>
      </c>
      <c r="AB274" s="382">
        <v>19</v>
      </c>
      <c r="AC274" s="382">
        <v>1</v>
      </c>
      <c r="AD274" s="386">
        <v>1076</v>
      </c>
      <c r="AE274" s="386">
        <v>4</v>
      </c>
      <c r="AF274" s="386">
        <v>1</v>
      </c>
      <c r="AG274" s="386">
        <v>5</v>
      </c>
    </row>
    <row r="275" spans="1:33" x14ac:dyDescent="0.25">
      <c r="A275" s="381" t="s">
        <v>608</v>
      </c>
      <c r="B275" s="387" t="s">
        <v>609</v>
      </c>
      <c r="C275" s="383">
        <v>4176</v>
      </c>
      <c r="D275" s="383">
        <v>0</v>
      </c>
      <c r="E275" s="383">
        <v>188</v>
      </c>
      <c r="F275" s="383">
        <v>1374</v>
      </c>
      <c r="G275" s="383">
        <v>594</v>
      </c>
      <c r="H275" s="383">
        <v>6332</v>
      </c>
      <c r="I275" s="382">
        <v>5738</v>
      </c>
      <c r="J275" s="382">
        <v>0</v>
      </c>
      <c r="K275" s="384">
        <v>85.86</v>
      </c>
      <c r="L275" s="384">
        <v>85.14</v>
      </c>
      <c r="M275" s="384">
        <v>3.55</v>
      </c>
      <c r="N275" s="384">
        <v>89.26</v>
      </c>
      <c r="O275" s="385">
        <v>3396</v>
      </c>
      <c r="P275" s="382">
        <v>81.93</v>
      </c>
      <c r="Q275" s="382">
        <v>79.14</v>
      </c>
      <c r="R275" s="382">
        <v>14.24</v>
      </c>
      <c r="S275" s="382">
        <v>95.98</v>
      </c>
      <c r="T275" s="382">
        <v>1261</v>
      </c>
      <c r="U275" s="382">
        <v>126.59</v>
      </c>
      <c r="V275" s="382">
        <v>702</v>
      </c>
      <c r="W275" s="382">
        <v>97.35</v>
      </c>
      <c r="X275" s="382">
        <v>11</v>
      </c>
      <c r="Y275" s="382">
        <v>0</v>
      </c>
      <c r="Z275" s="382">
        <v>12</v>
      </c>
      <c r="AA275" s="382">
        <v>4</v>
      </c>
      <c r="AB275" s="382">
        <v>19</v>
      </c>
      <c r="AC275" s="382">
        <v>13</v>
      </c>
      <c r="AD275" s="386">
        <v>4149</v>
      </c>
      <c r="AE275" s="386">
        <v>16</v>
      </c>
      <c r="AF275" s="386">
        <v>16</v>
      </c>
      <c r="AG275" s="386">
        <v>32</v>
      </c>
    </row>
    <row r="276" spans="1:33" x14ac:dyDescent="0.25">
      <c r="A276" s="381" t="s">
        <v>610</v>
      </c>
      <c r="B276" s="387" t="s">
        <v>611</v>
      </c>
      <c r="C276" s="383">
        <v>11230</v>
      </c>
      <c r="D276" s="383">
        <v>0</v>
      </c>
      <c r="E276" s="383">
        <v>383</v>
      </c>
      <c r="F276" s="383">
        <v>1884</v>
      </c>
      <c r="G276" s="383">
        <v>462</v>
      </c>
      <c r="H276" s="383">
        <v>13959</v>
      </c>
      <c r="I276" s="382">
        <v>13497</v>
      </c>
      <c r="J276" s="382">
        <v>24</v>
      </c>
      <c r="K276" s="384">
        <v>88.74</v>
      </c>
      <c r="L276" s="384">
        <v>88.32</v>
      </c>
      <c r="M276" s="384">
        <v>6.09</v>
      </c>
      <c r="N276" s="384">
        <v>91.14</v>
      </c>
      <c r="O276" s="385">
        <v>9891</v>
      </c>
      <c r="P276" s="382">
        <v>87.08</v>
      </c>
      <c r="Q276" s="382">
        <v>84.82</v>
      </c>
      <c r="R276" s="382">
        <v>39.299999999999997</v>
      </c>
      <c r="S276" s="382">
        <v>125.84</v>
      </c>
      <c r="T276" s="382">
        <v>1932</v>
      </c>
      <c r="U276" s="382">
        <v>111.98</v>
      </c>
      <c r="V276" s="382">
        <v>1045</v>
      </c>
      <c r="W276" s="382">
        <v>208.09</v>
      </c>
      <c r="X276" s="382">
        <v>242</v>
      </c>
      <c r="Y276" s="382">
        <v>0</v>
      </c>
      <c r="Z276" s="382">
        <v>47</v>
      </c>
      <c r="AA276" s="382">
        <v>106</v>
      </c>
      <c r="AB276" s="382">
        <v>5</v>
      </c>
      <c r="AC276" s="382">
        <v>6</v>
      </c>
      <c r="AD276" s="386">
        <v>11190</v>
      </c>
      <c r="AE276" s="386">
        <v>28</v>
      </c>
      <c r="AF276" s="386">
        <v>202</v>
      </c>
      <c r="AG276" s="386">
        <v>230</v>
      </c>
    </row>
    <row r="277" spans="1:33" x14ac:dyDescent="0.25">
      <c r="A277" s="381" t="s">
        <v>612</v>
      </c>
      <c r="B277" s="387" t="s">
        <v>613</v>
      </c>
      <c r="C277" s="383">
        <v>2064</v>
      </c>
      <c r="D277" s="383">
        <v>0</v>
      </c>
      <c r="E277" s="383">
        <v>231</v>
      </c>
      <c r="F277" s="383">
        <v>551</v>
      </c>
      <c r="G277" s="383">
        <v>94</v>
      </c>
      <c r="H277" s="383">
        <v>2940</v>
      </c>
      <c r="I277" s="382">
        <v>2846</v>
      </c>
      <c r="J277" s="382">
        <v>1</v>
      </c>
      <c r="K277" s="384">
        <v>99.82</v>
      </c>
      <c r="L277" s="384">
        <v>98.36</v>
      </c>
      <c r="M277" s="384">
        <v>15.98</v>
      </c>
      <c r="N277" s="384">
        <v>113.11</v>
      </c>
      <c r="O277" s="385">
        <v>1833</v>
      </c>
      <c r="P277" s="382">
        <v>89.38</v>
      </c>
      <c r="Q277" s="382">
        <v>81.510000000000005</v>
      </c>
      <c r="R277" s="382">
        <v>34.119999999999997</v>
      </c>
      <c r="S277" s="382">
        <v>123.19</v>
      </c>
      <c r="T277" s="382">
        <v>765</v>
      </c>
      <c r="U277" s="382">
        <v>120.8</v>
      </c>
      <c r="V277" s="382">
        <v>183</v>
      </c>
      <c r="W277" s="382">
        <v>0</v>
      </c>
      <c r="X277" s="382">
        <v>0</v>
      </c>
      <c r="Y277" s="382">
        <v>27</v>
      </c>
      <c r="Z277" s="382">
        <v>1</v>
      </c>
      <c r="AA277" s="382">
        <v>2</v>
      </c>
      <c r="AB277" s="382">
        <v>1</v>
      </c>
      <c r="AC277" s="382">
        <v>3</v>
      </c>
      <c r="AD277" s="386">
        <v>2064</v>
      </c>
      <c r="AE277" s="386">
        <v>23</v>
      </c>
      <c r="AF277" s="386">
        <v>3</v>
      </c>
      <c r="AG277" s="386">
        <v>26</v>
      </c>
    </row>
    <row r="278" spans="1:33" x14ac:dyDescent="0.25">
      <c r="A278" s="381" t="s">
        <v>614</v>
      </c>
      <c r="B278" s="387" t="s">
        <v>615</v>
      </c>
      <c r="C278" s="383">
        <v>7234</v>
      </c>
      <c r="D278" s="383">
        <v>0</v>
      </c>
      <c r="E278" s="383">
        <v>331</v>
      </c>
      <c r="F278" s="383">
        <v>363</v>
      </c>
      <c r="G278" s="383">
        <v>811</v>
      </c>
      <c r="H278" s="383">
        <v>8739</v>
      </c>
      <c r="I278" s="382">
        <v>7928</v>
      </c>
      <c r="J278" s="382">
        <v>0</v>
      </c>
      <c r="K278" s="384">
        <v>106.78</v>
      </c>
      <c r="L278" s="384">
        <v>105.54</v>
      </c>
      <c r="M278" s="384">
        <v>3.31</v>
      </c>
      <c r="N278" s="384">
        <v>109.69</v>
      </c>
      <c r="O278" s="385">
        <v>6238</v>
      </c>
      <c r="P278" s="382">
        <v>93.13</v>
      </c>
      <c r="Q278" s="382">
        <v>90.82</v>
      </c>
      <c r="R278" s="382">
        <v>31.02</v>
      </c>
      <c r="S278" s="382">
        <v>123.49</v>
      </c>
      <c r="T278" s="382">
        <v>561</v>
      </c>
      <c r="U278" s="382">
        <v>141.41</v>
      </c>
      <c r="V278" s="382">
        <v>746</v>
      </c>
      <c r="W278" s="382">
        <v>110.46</v>
      </c>
      <c r="X278" s="382">
        <v>1</v>
      </c>
      <c r="Y278" s="382">
        <v>43</v>
      </c>
      <c r="Z278" s="382">
        <v>13</v>
      </c>
      <c r="AA278" s="382">
        <v>16</v>
      </c>
      <c r="AB278" s="382">
        <v>108</v>
      </c>
      <c r="AC278" s="382">
        <v>13</v>
      </c>
      <c r="AD278" s="386">
        <v>7059</v>
      </c>
      <c r="AE278" s="386">
        <v>21</v>
      </c>
      <c r="AF278" s="386">
        <v>44</v>
      </c>
      <c r="AG278" s="386">
        <v>65</v>
      </c>
    </row>
    <row r="279" spans="1:33" x14ac:dyDescent="0.25">
      <c r="A279" s="381" t="s">
        <v>616</v>
      </c>
      <c r="B279" s="387" t="s">
        <v>617</v>
      </c>
      <c r="C279" s="383">
        <v>4502</v>
      </c>
      <c r="D279" s="383">
        <v>0</v>
      </c>
      <c r="E279" s="383">
        <v>81</v>
      </c>
      <c r="F279" s="383">
        <v>557</v>
      </c>
      <c r="G279" s="383">
        <v>773</v>
      </c>
      <c r="H279" s="383">
        <v>5913</v>
      </c>
      <c r="I279" s="382">
        <v>5140</v>
      </c>
      <c r="J279" s="382">
        <v>0</v>
      </c>
      <c r="K279" s="384">
        <v>94.84</v>
      </c>
      <c r="L279" s="384">
        <v>93.71</v>
      </c>
      <c r="M279" s="384">
        <v>4.5</v>
      </c>
      <c r="N279" s="384">
        <v>97.25</v>
      </c>
      <c r="O279" s="385">
        <v>3852</v>
      </c>
      <c r="P279" s="382">
        <v>88.69</v>
      </c>
      <c r="Q279" s="382">
        <v>83.88</v>
      </c>
      <c r="R279" s="382">
        <v>37.39</v>
      </c>
      <c r="S279" s="382">
        <v>126.08</v>
      </c>
      <c r="T279" s="382">
        <v>629</v>
      </c>
      <c r="U279" s="382">
        <v>130.82</v>
      </c>
      <c r="V279" s="382">
        <v>640</v>
      </c>
      <c r="W279" s="382">
        <v>157.4</v>
      </c>
      <c r="X279" s="382">
        <v>4</v>
      </c>
      <c r="Y279" s="382">
        <v>0</v>
      </c>
      <c r="Z279" s="382">
        <v>1</v>
      </c>
      <c r="AA279" s="382">
        <v>1</v>
      </c>
      <c r="AB279" s="382">
        <v>110</v>
      </c>
      <c r="AC279" s="382">
        <v>11</v>
      </c>
      <c r="AD279" s="386">
        <v>4496</v>
      </c>
      <c r="AE279" s="386">
        <v>3</v>
      </c>
      <c r="AF279" s="386">
        <v>5</v>
      </c>
      <c r="AG279" s="386">
        <v>8</v>
      </c>
    </row>
    <row r="280" spans="1:33" x14ac:dyDescent="0.25">
      <c r="A280" s="381" t="s">
        <v>618</v>
      </c>
      <c r="B280" s="387" t="s">
        <v>619</v>
      </c>
      <c r="C280" s="383">
        <v>3923</v>
      </c>
      <c r="D280" s="383">
        <v>0</v>
      </c>
      <c r="E280" s="383">
        <v>138</v>
      </c>
      <c r="F280" s="383">
        <v>657</v>
      </c>
      <c r="G280" s="383">
        <v>128</v>
      </c>
      <c r="H280" s="383">
        <v>4846</v>
      </c>
      <c r="I280" s="382">
        <v>4718</v>
      </c>
      <c r="J280" s="382">
        <v>3</v>
      </c>
      <c r="K280" s="384">
        <v>91.07</v>
      </c>
      <c r="L280" s="384">
        <v>90.42</v>
      </c>
      <c r="M280" s="384">
        <v>7.96</v>
      </c>
      <c r="N280" s="384">
        <v>96.86</v>
      </c>
      <c r="O280" s="385">
        <v>3615</v>
      </c>
      <c r="P280" s="382">
        <v>96.08</v>
      </c>
      <c r="Q280" s="382">
        <v>82.62</v>
      </c>
      <c r="R280" s="382">
        <v>44.29</v>
      </c>
      <c r="S280" s="382">
        <v>139.62</v>
      </c>
      <c r="T280" s="382">
        <v>772</v>
      </c>
      <c r="U280" s="382">
        <v>115.95</v>
      </c>
      <c r="V280" s="382">
        <v>281</v>
      </c>
      <c r="W280" s="382">
        <v>0</v>
      </c>
      <c r="X280" s="382">
        <v>0</v>
      </c>
      <c r="Y280" s="382">
        <v>0</v>
      </c>
      <c r="Z280" s="382">
        <v>1</v>
      </c>
      <c r="AA280" s="382">
        <v>44</v>
      </c>
      <c r="AB280" s="382">
        <v>1</v>
      </c>
      <c r="AC280" s="382">
        <v>2</v>
      </c>
      <c r="AD280" s="386">
        <v>3923</v>
      </c>
      <c r="AE280" s="386">
        <v>12</v>
      </c>
      <c r="AF280" s="386">
        <v>47</v>
      </c>
      <c r="AG280" s="386">
        <v>59</v>
      </c>
    </row>
    <row r="281" spans="1:33" x14ac:dyDescent="0.25">
      <c r="A281" s="381" t="s">
        <v>620</v>
      </c>
      <c r="B281" s="387" t="s">
        <v>621</v>
      </c>
      <c r="C281" s="383">
        <v>4642</v>
      </c>
      <c r="D281" s="383">
        <v>38</v>
      </c>
      <c r="E281" s="383">
        <v>53</v>
      </c>
      <c r="F281" s="383">
        <v>873</v>
      </c>
      <c r="G281" s="383">
        <v>213</v>
      </c>
      <c r="H281" s="383">
        <v>5819</v>
      </c>
      <c r="I281" s="382">
        <v>5606</v>
      </c>
      <c r="J281" s="382">
        <v>14</v>
      </c>
      <c r="K281" s="384">
        <v>112.24</v>
      </c>
      <c r="L281" s="384">
        <v>111.66</v>
      </c>
      <c r="M281" s="384">
        <v>6.63</v>
      </c>
      <c r="N281" s="384">
        <v>115.25</v>
      </c>
      <c r="O281" s="385">
        <v>4379</v>
      </c>
      <c r="P281" s="382">
        <v>98.76</v>
      </c>
      <c r="Q281" s="382">
        <v>97.57</v>
      </c>
      <c r="R281" s="382">
        <v>19.59</v>
      </c>
      <c r="S281" s="382">
        <v>115.89</v>
      </c>
      <c r="T281" s="382">
        <v>899</v>
      </c>
      <c r="U281" s="382">
        <v>161.76</v>
      </c>
      <c r="V281" s="382">
        <v>181</v>
      </c>
      <c r="W281" s="382">
        <v>0</v>
      </c>
      <c r="X281" s="382">
        <v>0</v>
      </c>
      <c r="Y281" s="382">
        <v>20</v>
      </c>
      <c r="Z281" s="382">
        <v>10</v>
      </c>
      <c r="AA281" s="382">
        <v>0</v>
      </c>
      <c r="AB281" s="382">
        <v>20</v>
      </c>
      <c r="AC281" s="382">
        <v>7</v>
      </c>
      <c r="AD281" s="386">
        <v>4630</v>
      </c>
      <c r="AE281" s="386">
        <v>12</v>
      </c>
      <c r="AF281" s="386">
        <v>57</v>
      </c>
      <c r="AG281" s="386">
        <v>69</v>
      </c>
    </row>
    <row r="282" spans="1:33" x14ac:dyDescent="0.25">
      <c r="A282" s="381" t="s">
        <v>622</v>
      </c>
      <c r="B282" s="387" t="s">
        <v>623</v>
      </c>
      <c r="C282" s="383">
        <v>1857</v>
      </c>
      <c r="D282" s="383">
        <v>0</v>
      </c>
      <c r="E282" s="383">
        <v>97</v>
      </c>
      <c r="F282" s="383">
        <v>91</v>
      </c>
      <c r="G282" s="383">
        <v>339</v>
      </c>
      <c r="H282" s="383">
        <v>2384</v>
      </c>
      <c r="I282" s="382">
        <v>2045</v>
      </c>
      <c r="J282" s="382">
        <v>5</v>
      </c>
      <c r="K282" s="384">
        <v>102.69</v>
      </c>
      <c r="L282" s="384">
        <v>104.37</v>
      </c>
      <c r="M282" s="384">
        <v>7.81</v>
      </c>
      <c r="N282" s="384">
        <v>107.88</v>
      </c>
      <c r="O282" s="385">
        <v>1193</v>
      </c>
      <c r="P282" s="382">
        <v>109.31</v>
      </c>
      <c r="Q282" s="382">
        <v>99.79</v>
      </c>
      <c r="R282" s="382">
        <v>63.75</v>
      </c>
      <c r="S282" s="382">
        <v>165.51</v>
      </c>
      <c r="T282" s="382">
        <v>152</v>
      </c>
      <c r="U282" s="382">
        <v>156.02000000000001</v>
      </c>
      <c r="V282" s="382">
        <v>509</v>
      </c>
      <c r="W282" s="382">
        <v>0</v>
      </c>
      <c r="X282" s="382">
        <v>0</v>
      </c>
      <c r="Y282" s="382">
        <v>8</v>
      </c>
      <c r="Z282" s="382">
        <v>2</v>
      </c>
      <c r="AA282" s="382">
        <v>0</v>
      </c>
      <c r="AB282" s="382">
        <v>37</v>
      </c>
      <c r="AC282" s="382">
        <v>11</v>
      </c>
      <c r="AD282" s="386">
        <v>1753</v>
      </c>
      <c r="AE282" s="386">
        <v>8</v>
      </c>
      <c r="AF282" s="386">
        <v>1</v>
      </c>
      <c r="AG282" s="386">
        <v>9</v>
      </c>
    </row>
    <row r="283" spans="1:33" x14ac:dyDescent="0.25">
      <c r="A283" s="381" t="s">
        <v>624</v>
      </c>
      <c r="B283" s="387" t="s">
        <v>625</v>
      </c>
      <c r="C283" s="383">
        <v>7661</v>
      </c>
      <c r="D283" s="383">
        <v>4</v>
      </c>
      <c r="E283" s="383">
        <v>140</v>
      </c>
      <c r="F283" s="383">
        <v>632</v>
      </c>
      <c r="G283" s="383">
        <v>1026</v>
      </c>
      <c r="H283" s="383">
        <v>9463</v>
      </c>
      <c r="I283" s="382">
        <v>8437</v>
      </c>
      <c r="J283" s="382">
        <v>0</v>
      </c>
      <c r="K283" s="384">
        <v>113.08</v>
      </c>
      <c r="L283" s="384">
        <v>113.06</v>
      </c>
      <c r="M283" s="384">
        <v>7.58</v>
      </c>
      <c r="N283" s="384">
        <v>114.24</v>
      </c>
      <c r="O283" s="385">
        <v>6453</v>
      </c>
      <c r="P283" s="382">
        <v>96.09</v>
      </c>
      <c r="Q283" s="382">
        <v>96.92</v>
      </c>
      <c r="R283" s="382">
        <v>29.8</v>
      </c>
      <c r="S283" s="382">
        <v>121.95</v>
      </c>
      <c r="T283" s="382">
        <v>568</v>
      </c>
      <c r="U283" s="382">
        <v>143.77000000000001</v>
      </c>
      <c r="V283" s="382">
        <v>1113</v>
      </c>
      <c r="W283" s="382">
        <v>209.12</v>
      </c>
      <c r="X283" s="382">
        <v>109</v>
      </c>
      <c r="Y283" s="382">
        <v>0</v>
      </c>
      <c r="Z283" s="382">
        <v>1</v>
      </c>
      <c r="AA283" s="382">
        <v>8</v>
      </c>
      <c r="AB283" s="382">
        <v>76</v>
      </c>
      <c r="AC283" s="382">
        <v>13</v>
      </c>
      <c r="AD283" s="386">
        <v>7641</v>
      </c>
      <c r="AE283" s="386">
        <v>15</v>
      </c>
      <c r="AF283" s="386">
        <v>31</v>
      </c>
      <c r="AG283" s="386">
        <v>46</v>
      </c>
    </row>
    <row r="284" spans="1:33" x14ac:dyDescent="0.25">
      <c r="A284" s="381" t="s">
        <v>626</v>
      </c>
      <c r="B284" s="387" t="s">
        <v>627</v>
      </c>
      <c r="C284" s="383">
        <v>4279</v>
      </c>
      <c r="D284" s="383">
        <v>11</v>
      </c>
      <c r="E284" s="383">
        <v>295</v>
      </c>
      <c r="F284" s="383">
        <v>910</v>
      </c>
      <c r="G284" s="383">
        <v>546</v>
      </c>
      <c r="H284" s="383">
        <v>6041</v>
      </c>
      <c r="I284" s="382">
        <v>5495</v>
      </c>
      <c r="J284" s="382">
        <v>6</v>
      </c>
      <c r="K284" s="384">
        <v>88.88</v>
      </c>
      <c r="L284" s="384">
        <v>85.89</v>
      </c>
      <c r="M284" s="384">
        <v>5.6</v>
      </c>
      <c r="N284" s="384">
        <v>93.65</v>
      </c>
      <c r="O284" s="385">
        <v>3807</v>
      </c>
      <c r="P284" s="382">
        <v>87.07</v>
      </c>
      <c r="Q284" s="382">
        <v>79.58</v>
      </c>
      <c r="R284" s="382">
        <v>36.72</v>
      </c>
      <c r="S284" s="382">
        <v>122.36</v>
      </c>
      <c r="T284" s="382">
        <v>949</v>
      </c>
      <c r="U284" s="382">
        <v>116.47</v>
      </c>
      <c r="V284" s="382">
        <v>458</v>
      </c>
      <c r="W284" s="382">
        <v>175.61</v>
      </c>
      <c r="X284" s="382">
        <v>3</v>
      </c>
      <c r="Y284" s="382">
        <v>0</v>
      </c>
      <c r="Z284" s="382">
        <v>12</v>
      </c>
      <c r="AA284" s="382">
        <v>1</v>
      </c>
      <c r="AB284" s="382">
        <v>2</v>
      </c>
      <c r="AC284" s="382">
        <v>9</v>
      </c>
      <c r="AD284" s="386">
        <v>4279</v>
      </c>
      <c r="AE284" s="386">
        <v>19</v>
      </c>
      <c r="AF284" s="386">
        <v>15</v>
      </c>
      <c r="AG284" s="386">
        <v>34</v>
      </c>
    </row>
    <row r="285" spans="1:33" x14ac:dyDescent="0.25">
      <c r="A285" s="381" t="s">
        <v>628</v>
      </c>
      <c r="B285" s="387" t="s">
        <v>629</v>
      </c>
      <c r="C285" s="383">
        <v>2374</v>
      </c>
      <c r="D285" s="383">
        <v>3</v>
      </c>
      <c r="E285" s="383">
        <v>46</v>
      </c>
      <c r="F285" s="383">
        <v>386</v>
      </c>
      <c r="G285" s="383">
        <v>191</v>
      </c>
      <c r="H285" s="383">
        <v>3000</v>
      </c>
      <c r="I285" s="382">
        <v>2809</v>
      </c>
      <c r="J285" s="382">
        <v>0</v>
      </c>
      <c r="K285" s="384">
        <v>82.68</v>
      </c>
      <c r="L285" s="384">
        <v>80.09</v>
      </c>
      <c r="M285" s="384">
        <v>3.21</v>
      </c>
      <c r="N285" s="384">
        <v>84.46</v>
      </c>
      <c r="O285" s="385">
        <v>2264</v>
      </c>
      <c r="P285" s="382">
        <v>72.489999999999995</v>
      </c>
      <c r="Q285" s="382">
        <v>67.03</v>
      </c>
      <c r="R285" s="382">
        <v>31.37</v>
      </c>
      <c r="S285" s="382">
        <v>98.46</v>
      </c>
      <c r="T285" s="382">
        <v>348</v>
      </c>
      <c r="U285" s="382">
        <v>105.4</v>
      </c>
      <c r="V285" s="382">
        <v>113</v>
      </c>
      <c r="W285" s="382">
        <v>181.12</v>
      </c>
      <c r="X285" s="382">
        <v>41</v>
      </c>
      <c r="Y285" s="382">
        <v>16</v>
      </c>
      <c r="Z285" s="382">
        <v>4</v>
      </c>
      <c r="AA285" s="382">
        <v>8</v>
      </c>
      <c r="AB285" s="382">
        <v>0</v>
      </c>
      <c r="AC285" s="382">
        <v>3</v>
      </c>
      <c r="AD285" s="386">
        <v>2362</v>
      </c>
      <c r="AE285" s="386">
        <v>6</v>
      </c>
      <c r="AF285" s="386">
        <v>6</v>
      </c>
      <c r="AG285" s="386">
        <v>12</v>
      </c>
    </row>
    <row r="286" spans="1:33" x14ac:dyDescent="0.25">
      <c r="A286" s="381" t="s">
        <v>630</v>
      </c>
      <c r="B286" s="387" t="s">
        <v>631</v>
      </c>
      <c r="C286" s="383">
        <v>29636</v>
      </c>
      <c r="D286" s="383">
        <v>110</v>
      </c>
      <c r="E286" s="383">
        <v>1484</v>
      </c>
      <c r="F286" s="383">
        <v>793</v>
      </c>
      <c r="G286" s="383">
        <v>2987</v>
      </c>
      <c r="H286" s="383">
        <v>35010</v>
      </c>
      <c r="I286" s="382">
        <v>32023</v>
      </c>
      <c r="J286" s="382">
        <v>103</v>
      </c>
      <c r="K286" s="384">
        <v>124.14</v>
      </c>
      <c r="L286" s="384">
        <v>127.84</v>
      </c>
      <c r="M286" s="384">
        <v>15.62</v>
      </c>
      <c r="N286" s="384">
        <v>138.53</v>
      </c>
      <c r="O286" s="385">
        <v>25491</v>
      </c>
      <c r="P286" s="382">
        <v>110.67</v>
      </c>
      <c r="Q286" s="382">
        <v>111.5</v>
      </c>
      <c r="R286" s="382">
        <v>61.6</v>
      </c>
      <c r="S286" s="382">
        <v>162.09</v>
      </c>
      <c r="T286" s="382">
        <v>1833</v>
      </c>
      <c r="U286" s="382">
        <v>199.72</v>
      </c>
      <c r="V286" s="382">
        <v>2341</v>
      </c>
      <c r="W286" s="382">
        <v>213.69</v>
      </c>
      <c r="X286" s="382">
        <v>154</v>
      </c>
      <c r="Y286" s="382">
        <v>0</v>
      </c>
      <c r="Z286" s="382">
        <v>35</v>
      </c>
      <c r="AA286" s="382">
        <v>113</v>
      </c>
      <c r="AB286" s="382">
        <v>54</v>
      </c>
      <c r="AC286" s="382">
        <v>122</v>
      </c>
      <c r="AD286" s="386">
        <v>28263</v>
      </c>
      <c r="AE286" s="386">
        <v>293</v>
      </c>
      <c r="AF286" s="386">
        <v>251</v>
      </c>
      <c r="AG286" s="386">
        <v>544</v>
      </c>
    </row>
    <row r="287" spans="1:33" x14ac:dyDescent="0.25">
      <c r="A287" s="381" t="s">
        <v>632</v>
      </c>
      <c r="B287" s="387" t="s">
        <v>633</v>
      </c>
      <c r="C287" s="383">
        <v>11721</v>
      </c>
      <c r="D287" s="383">
        <v>0</v>
      </c>
      <c r="E287" s="383">
        <v>491</v>
      </c>
      <c r="F287" s="383">
        <v>3342</v>
      </c>
      <c r="G287" s="383">
        <v>496</v>
      </c>
      <c r="H287" s="383">
        <v>16050</v>
      </c>
      <c r="I287" s="382">
        <v>15554</v>
      </c>
      <c r="J287" s="382">
        <v>32</v>
      </c>
      <c r="K287" s="384">
        <v>87.19</v>
      </c>
      <c r="L287" s="384">
        <v>87.92</v>
      </c>
      <c r="M287" s="384">
        <v>4.93</v>
      </c>
      <c r="N287" s="384">
        <v>90.92</v>
      </c>
      <c r="O287" s="385">
        <v>9803</v>
      </c>
      <c r="P287" s="382">
        <v>89.26</v>
      </c>
      <c r="Q287" s="382">
        <v>85.87</v>
      </c>
      <c r="R287" s="382">
        <v>22.03</v>
      </c>
      <c r="S287" s="382">
        <v>111.22</v>
      </c>
      <c r="T287" s="382">
        <v>3633</v>
      </c>
      <c r="U287" s="382">
        <v>119.69</v>
      </c>
      <c r="V287" s="382">
        <v>1846</v>
      </c>
      <c r="W287" s="382">
        <v>149.78</v>
      </c>
      <c r="X287" s="382">
        <v>137</v>
      </c>
      <c r="Y287" s="382">
        <v>0</v>
      </c>
      <c r="Z287" s="382">
        <v>59</v>
      </c>
      <c r="AA287" s="382">
        <v>3</v>
      </c>
      <c r="AB287" s="382">
        <v>3</v>
      </c>
      <c r="AC287" s="382">
        <v>28</v>
      </c>
      <c r="AD287" s="386">
        <v>11699</v>
      </c>
      <c r="AE287" s="386">
        <v>37</v>
      </c>
      <c r="AF287" s="386">
        <v>89</v>
      </c>
      <c r="AG287" s="386">
        <v>126</v>
      </c>
    </row>
    <row r="288" spans="1:33" x14ac:dyDescent="0.25">
      <c r="A288" s="381" t="s">
        <v>634</v>
      </c>
      <c r="B288" s="387" t="s">
        <v>635</v>
      </c>
      <c r="C288" s="383">
        <v>6256</v>
      </c>
      <c r="D288" s="383">
        <v>0</v>
      </c>
      <c r="E288" s="383">
        <v>159</v>
      </c>
      <c r="F288" s="383">
        <v>791</v>
      </c>
      <c r="G288" s="383">
        <v>479</v>
      </c>
      <c r="H288" s="383">
        <v>7685</v>
      </c>
      <c r="I288" s="382">
        <v>7206</v>
      </c>
      <c r="J288" s="382">
        <v>6</v>
      </c>
      <c r="K288" s="384">
        <v>109.77</v>
      </c>
      <c r="L288" s="384">
        <v>105.08</v>
      </c>
      <c r="M288" s="384">
        <v>3.77</v>
      </c>
      <c r="N288" s="384">
        <v>112.96</v>
      </c>
      <c r="O288" s="385">
        <v>5504</v>
      </c>
      <c r="P288" s="382">
        <v>100.43</v>
      </c>
      <c r="Q288" s="382">
        <v>91.33</v>
      </c>
      <c r="R288" s="382">
        <v>30.01</v>
      </c>
      <c r="S288" s="382">
        <v>129.22999999999999</v>
      </c>
      <c r="T288" s="382">
        <v>696</v>
      </c>
      <c r="U288" s="382">
        <v>153.22999999999999</v>
      </c>
      <c r="V288" s="382">
        <v>577</v>
      </c>
      <c r="W288" s="382">
        <v>130.97</v>
      </c>
      <c r="X288" s="382">
        <v>121</v>
      </c>
      <c r="Y288" s="382">
        <v>0</v>
      </c>
      <c r="Z288" s="382">
        <v>3</v>
      </c>
      <c r="AA288" s="382">
        <v>14</v>
      </c>
      <c r="AB288" s="382">
        <v>34</v>
      </c>
      <c r="AC288" s="382">
        <v>9</v>
      </c>
      <c r="AD288" s="386">
        <v>6101</v>
      </c>
      <c r="AE288" s="386">
        <v>11</v>
      </c>
      <c r="AF288" s="386">
        <v>44</v>
      </c>
      <c r="AG288" s="386">
        <v>55</v>
      </c>
    </row>
    <row r="289" spans="1:33" x14ac:dyDescent="0.25">
      <c r="A289" s="381" t="s">
        <v>636</v>
      </c>
      <c r="B289" s="387" t="s">
        <v>637</v>
      </c>
      <c r="C289" s="383">
        <v>1721</v>
      </c>
      <c r="D289" s="383">
        <v>0</v>
      </c>
      <c r="E289" s="383">
        <v>69</v>
      </c>
      <c r="F289" s="383">
        <v>193</v>
      </c>
      <c r="G289" s="383">
        <v>527</v>
      </c>
      <c r="H289" s="383">
        <v>2510</v>
      </c>
      <c r="I289" s="382">
        <v>1983</v>
      </c>
      <c r="J289" s="382">
        <v>2</v>
      </c>
      <c r="K289" s="384">
        <v>107.85</v>
      </c>
      <c r="L289" s="384">
        <v>106.97</v>
      </c>
      <c r="M289" s="384">
        <v>6.64</v>
      </c>
      <c r="N289" s="384">
        <v>112.32</v>
      </c>
      <c r="O289" s="385">
        <v>1002</v>
      </c>
      <c r="P289" s="382">
        <v>100.97</v>
      </c>
      <c r="Q289" s="382">
        <v>88.38</v>
      </c>
      <c r="R289" s="382">
        <v>58.9</v>
      </c>
      <c r="S289" s="382">
        <v>159.63999999999999</v>
      </c>
      <c r="T289" s="382">
        <v>254</v>
      </c>
      <c r="U289" s="382">
        <v>154.78</v>
      </c>
      <c r="V289" s="382">
        <v>699</v>
      </c>
      <c r="W289" s="382">
        <v>147.15</v>
      </c>
      <c r="X289" s="382">
        <v>6</v>
      </c>
      <c r="Y289" s="382">
        <v>3</v>
      </c>
      <c r="Z289" s="382">
        <v>0</v>
      </c>
      <c r="AA289" s="382">
        <v>0</v>
      </c>
      <c r="AB289" s="382">
        <v>65</v>
      </c>
      <c r="AC289" s="382">
        <v>2</v>
      </c>
      <c r="AD289" s="386">
        <v>1714</v>
      </c>
      <c r="AE289" s="386">
        <v>19</v>
      </c>
      <c r="AF289" s="386">
        <v>4</v>
      </c>
      <c r="AG289" s="386">
        <v>23</v>
      </c>
    </row>
    <row r="290" spans="1:33" x14ac:dyDescent="0.25">
      <c r="A290" s="381" t="s">
        <v>638</v>
      </c>
      <c r="B290" s="387" t="s">
        <v>639</v>
      </c>
      <c r="C290" s="383">
        <v>6975</v>
      </c>
      <c r="D290" s="383">
        <v>15</v>
      </c>
      <c r="E290" s="383">
        <v>235</v>
      </c>
      <c r="F290" s="383">
        <v>433</v>
      </c>
      <c r="G290" s="383">
        <v>782</v>
      </c>
      <c r="H290" s="383">
        <v>8440</v>
      </c>
      <c r="I290" s="382">
        <v>7658</v>
      </c>
      <c r="J290" s="382">
        <v>7</v>
      </c>
      <c r="K290" s="384">
        <v>106.78</v>
      </c>
      <c r="L290" s="384">
        <v>107.61</v>
      </c>
      <c r="M290" s="384">
        <v>5.18</v>
      </c>
      <c r="N290" s="384">
        <v>108</v>
      </c>
      <c r="O290" s="385">
        <v>5484</v>
      </c>
      <c r="P290" s="382">
        <v>101.67</v>
      </c>
      <c r="Q290" s="382">
        <v>98.48</v>
      </c>
      <c r="R290" s="382">
        <v>28.66</v>
      </c>
      <c r="S290" s="382">
        <v>129.38999999999999</v>
      </c>
      <c r="T290" s="382">
        <v>612</v>
      </c>
      <c r="U290" s="382">
        <v>164.35</v>
      </c>
      <c r="V290" s="382">
        <v>1437</v>
      </c>
      <c r="W290" s="382">
        <v>184.01</v>
      </c>
      <c r="X290" s="382">
        <v>27</v>
      </c>
      <c r="Y290" s="382">
        <v>0</v>
      </c>
      <c r="Z290" s="382">
        <v>2</v>
      </c>
      <c r="AA290" s="382">
        <v>12</v>
      </c>
      <c r="AB290" s="382">
        <v>39</v>
      </c>
      <c r="AC290" s="382">
        <v>12</v>
      </c>
      <c r="AD290" s="386">
        <v>6917</v>
      </c>
      <c r="AE290" s="386">
        <v>34</v>
      </c>
      <c r="AF290" s="386">
        <v>11</v>
      </c>
      <c r="AG290" s="386">
        <v>45</v>
      </c>
    </row>
    <row r="291" spans="1:33" x14ac:dyDescent="0.25">
      <c r="A291" s="381" t="s">
        <v>640</v>
      </c>
      <c r="B291" s="387" t="s">
        <v>641</v>
      </c>
      <c r="C291" s="383">
        <v>32562</v>
      </c>
      <c r="D291" s="383">
        <v>0</v>
      </c>
      <c r="E291" s="383">
        <v>2158</v>
      </c>
      <c r="F291" s="383">
        <v>620</v>
      </c>
      <c r="G291" s="383">
        <v>775</v>
      </c>
      <c r="H291" s="383">
        <v>36115</v>
      </c>
      <c r="I291" s="382">
        <v>35340</v>
      </c>
      <c r="J291" s="382">
        <v>2</v>
      </c>
      <c r="K291" s="384">
        <v>82.16</v>
      </c>
      <c r="L291" s="384">
        <v>82.51</v>
      </c>
      <c r="M291" s="384">
        <v>5.72</v>
      </c>
      <c r="N291" s="384">
        <v>82.9</v>
      </c>
      <c r="O291" s="385">
        <v>29939</v>
      </c>
      <c r="P291" s="382">
        <v>80.459999999999994</v>
      </c>
      <c r="Q291" s="382">
        <v>77.17</v>
      </c>
      <c r="R291" s="382">
        <v>37.17</v>
      </c>
      <c r="S291" s="382">
        <v>117.47</v>
      </c>
      <c r="T291" s="382">
        <v>2601</v>
      </c>
      <c r="U291" s="382">
        <v>97.07</v>
      </c>
      <c r="V291" s="382">
        <v>2210</v>
      </c>
      <c r="W291" s="382">
        <v>148.81</v>
      </c>
      <c r="X291" s="382">
        <v>8</v>
      </c>
      <c r="Y291" s="382">
        <v>0</v>
      </c>
      <c r="Z291" s="382">
        <v>170</v>
      </c>
      <c r="AA291" s="382">
        <v>11</v>
      </c>
      <c r="AB291" s="382">
        <v>110</v>
      </c>
      <c r="AC291" s="382">
        <v>15</v>
      </c>
      <c r="AD291" s="386">
        <v>32523</v>
      </c>
      <c r="AE291" s="386">
        <v>121</v>
      </c>
      <c r="AF291" s="386">
        <v>151</v>
      </c>
      <c r="AG291" s="386">
        <v>272</v>
      </c>
    </row>
    <row r="292" spans="1:33" x14ac:dyDescent="0.25">
      <c r="A292" s="381" t="s">
        <v>642</v>
      </c>
      <c r="B292" s="387" t="s">
        <v>643</v>
      </c>
      <c r="C292" s="383">
        <v>26800</v>
      </c>
      <c r="D292" s="383">
        <v>14</v>
      </c>
      <c r="E292" s="383">
        <v>450</v>
      </c>
      <c r="F292" s="383">
        <v>793</v>
      </c>
      <c r="G292" s="383">
        <v>510</v>
      </c>
      <c r="H292" s="383">
        <v>28567</v>
      </c>
      <c r="I292" s="382">
        <v>28057</v>
      </c>
      <c r="J292" s="382">
        <v>18</v>
      </c>
      <c r="K292" s="384">
        <v>84.79</v>
      </c>
      <c r="L292" s="384">
        <v>84.89</v>
      </c>
      <c r="M292" s="384">
        <v>9.1999999999999993</v>
      </c>
      <c r="N292" s="384">
        <v>89.44</v>
      </c>
      <c r="O292" s="385">
        <v>24445</v>
      </c>
      <c r="P292" s="382">
        <v>106.44</v>
      </c>
      <c r="Q292" s="382">
        <v>96.24</v>
      </c>
      <c r="R292" s="382">
        <v>43.27</v>
      </c>
      <c r="S292" s="382">
        <v>147.88</v>
      </c>
      <c r="T292" s="382">
        <v>1037</v>
      </c>
      <c r="U292" s="382">
        <v>109.03</v>
      </c>
      <c r="V292" s="382">
        <v>2124</v>
      </c>
      <c r="W292" s="382">
        <v>144.09</v>
      </c>
      <c r="X292" s="382">
        <v>192</v>
      </c>
      <c r="Y292" s="382">
        <v>0</v>
      </c>
      <c r="Z292" s="382">
        <v>124</v>
      </c>
      <c r="AA292" s="382">
        <v>16</v>
      </c>
      <c r="AB292" s="382">
        <v>36</v>
      </c>
      <c r="AC292" s="382">
        <v>16</v>
      </c>
      <c r="AD292" s="386">
        <v>26743</v>
      </c>
      <c r="AE292" s="386">
        <v>128</v>
      </c>
      <c r="AF292" s="386">
        <v>64</v>
      </c>
      <c r="AG292" s="386">
        <v>192</v>
      </c>
    </row>
    <row r="293" spans="1:33" x14ac:dyDescent="0.25">
      <c r="A293" s="381" t="s">
        <v>644</v>
      </c>
      <c r="B293" s="387" t="s">
        <v>645</v>
      </c>
      <c r="C293" s="383">
        <v>10585</v>
      </c>
      <c r="D293" s="383">
        <v>2</v>
      </c>
      <c r="E293" s="383">
        <v>945</v>
      </c>
      <c r="F293" s="383">
        <v>841</v>
      </c>
      <c r="G293" s="383">
        <v>1383</v>
      </c>
      <c r="H293" s="383">
        <v>13756</v>
      </c>
      <c r="I293" s="382">
        <v>12373</v>
      </c>
      <c r="J293" s="382">
        <v>15</v>
      </c>
      <c r="K293" s="384">
        <v>116.49</v>
      </c>
      <c r="L293" s="384">
        <v>114.76</v>
      </c>
      <c r="M293" s="384">
        <v>10.17</v>
      </c>
      <c r="N293" s="384">
        <v>121.81</v>
      </c>
      <c r="O293" s="385">
        <v>8672</v>
      </c>
      <c r="P293" s="382">
        <v>102.64</v>
      </c>
      <c r="Q293" s="382">
        <v>95.16</v>
      </c>
      <c r="R293" s="382">
        <v>40.270000000000003</v>
      </c>
      <c r="S293" s="382">
        <v>124.6</v>
      </c>
      <c r="T293" s="382">
        <v>1212</v>
      </c>
      <c r="U293" s="382">
        <v>175.95</v>
      </c>
      <c r="V293" s="382">
        <v>1364</v>
      </c>
      <c r="W293" s="382">
        <v>187.93</v>
      </c>
      <c r="X293" s="382">
        <v>63</v>
      </c>
      <c r="Y293" s="382">
        <v>0</v>
      </c>
      <c r="Z293" s="382">
        <v>5</v>
      </c>
      <c r="AA293" s="382">
        <v>2</v>
      </c>
      <c r="AB293" s="382">
        <v>21</v>
      </c>
      <c r="AC293" s="382">
        <v>30</v>
      </c>
      <c r="AD293" s="386">
        <v>10099</v>
      </c>
      <c r="AE293" s="386">
        <v>80</v>
      </c>
      <c r="AF293" s="386">
        <v>35</v>
      </c>
      <c r="AG293" s="386">
        <v>115</v>
      </c>
    </row>
    <row r="294" spans="1:33" x14ac:dyDescent="0.25">
      <c r="A294" s="381" t="s">
        <v>646</v>
      </c>
      <c r="B294" s="387" t="s">
        <v>647</v>
      </c>
      <c r="C294" s="383">
        <v>8699</v>
      </c>
      <c r="D294" s="383">
        <v>67</v>
      </c>
      <c r="E294" s="383">
        <v>1131</v>
      </c>
      <c r="F294" s="383">
        <v>989</v>
      </c>
      <c r="G294" s="383">
        <v>2340</v>
      </c>
      <c r="H294" s="383">
        <v>13226</v>
      </c>
      <c r="I294" s="382">
        <v>10886</v>
      </c>
      <c r="J294" s="382">
        <v>349</v>
      </c>
      <c r="K294" s="384">
        <v>127.94</v>
      </c>
      <c r="L294" s="384">
        <v>135.38</v>
      </c>
      <c r="M294" s="384">
        <v>9.2899999999999991</v>
      </c>
      <c r="N294" s="384">
        <v>133.13</v>
      </c>
      <c r="O294" s="385">
        <v>7539</v>
      </c>
      <c r="P294" s="382">
        <v>133.78</v>
      </c>
      <c r="Q294" s="382">
        <v>128.28</v>
      </c>
      <c r="R294" s="382">
        <v>50.42</v>
      </c>
      <c r="S294" s="382">
        <v>175.19</v>
      </c>
      <c r="T294" s="382">
        <v>2009</v>
      </c>
      <c r="U294" s="382">
        <v>205.06</v>
      </c>
      <c r="V294" s="382">
        <v>720</v>
      </c>
      <c r="W294" s="382">
        <v>222.34</v>
      </c>
      <c r="X294" s="382">
        <v>27</v>
      </c>
      <c r="Y294" s="382">
        <v>45</v>
      </c>
      <c r="Z294" s="382">
        <v>0</v>
      </c>
      <c r="AA294" s="382">
        <v>13</v>
      </c>
      <c r="AB294" s="382">
        <v>113</v>
      </c>
      <c r="AC294" s="382">
        <v>58</v>
      </c>
      <c r="AD294" s="386">
        <v>8374</v>
      </c>
      <c r="AE294" s="386">
        <v>34</v>
      </c>
      <c r="AF294" s="386">
        <v>47</v>
      </c>
      <c r="AG294" s="386">
        <v>81</v>
      </c>
    </row>
    <row r="295" spans="1:33" x14ac:dyDescent="0.25">
      <c r="A295" s="381" t="s">
        <v>648</v>
      </c>
      <c r="B295" s="387" t="s">
        <v>649</v>
      </c>
      <c r="C295" s="383">
        <v>11638</v>
      </c>
      <c r="D295" s="383">
        <v>0</v>
      </c>
      <c r="E295" s="383">
        <v>498</v>
      </c>
      <c r="F295" s="383">
        <v>2360</v>
      </c>
      <c r="G295" s="383">
        <v>604</v>
      </c>
      <c r="H295" s="383">
        <v>15100</v>
      </c>
      <c r="I295" s="382">
        <v>14496</v>
      </c>
      <c r="J295" s="382">
        <v>163</v>
      </c>
      <c r="K295" s="384">
        <v>83.46</v>
      </c>
      <c r="L295" s="384">
        <v>84.63</v>
      </c>
      <c r="M295" s="384">
        <v>5.08</v>
      </c>
      <c r="N295" s="384">
        <v>85.03</v>
      </c>
      <c r="O295" s="385">
        <v>10912</v>
      </c>
      <c r="P295" s="382">
        <v>83.75</v>
      </c>
      <c r="Q295" s="382">
        <v>81.760000000000005</v>
      </c>
      <c r="R295" s="382">
        <v>30.4</v>
      </c>
      <c r="S295" s="382">
        <v>109.54</v>
      </c>
      <c r="T295" s="382">
        <v>2781</v>
      </c>
      <c r="U295" s="382">
        <v>104.46</v>
      </c>
      <c r="V295" s="382">
        <v>674</v>
      </c>
      <c r="W295" s="382">
        <v>98.91</v>
      </c>
      <c r="X295" s="382">
        <v>2</v>
      </c>
      <c r="Y295" s="382">
        <v>6</v>
      </c>
      <c r="Z295" s="382">
        <v>53</v>
      </c>
      <c r="AA295" s="382">
        <v>0</v>
      </c>
      <c r="AB295" s="382">
        <v>19</v>
      </c>
      <c r="AC295" s="382">
        <v>14</v>
      </c>
      <c r="AD295" s="386">
        <v>11638</v>
      </c>
      <c r="AE295" s="386">
        <v>48</v>
      </c>
      <c r="AF295" s="386">
        <v>27</v>
      </c>
      <c r="AG295" s="386">
        <v>75</v>
      </c>
    </row>
    <row r="296" spans="1:33" x14ac:dyDescent="0.25">
      <c r="A296" s="381" t="s">
        <v>650</v>
      </c>
      <c r="B296" s="387" t="s">
        <v>651</v>
      </c>
      <c r="C296" s="383">
        <v>2816</v>
      </c>
      <c r="D296" s="383">
        <v>0</v>
      </c>
      <c r="E296" s="383">
        <v>140</v>
      </c>
      <c r="F296" s="383">
        <v>627</v>
      </c>
      <c r="G296" s="383">
        <v>832</v>
      </c>
      <c r="H296" s="383">
        <v>4415</v>
      </c>
      <c r="I296" s="382">
        <v>3583</v>
      </c>
      <c r="J296" s="382">
        <v>3</v>
      </c>
      <c r="K296" s="384">
        <v>103.85</v>
      </c>
      <c r="L296" s="384">
        <v>102.94</v>
      </c>
      <c r="M296" s="384">
        <v>7.55</v>
      </c>
      <c r="N296" s="384">
        <v>110.3</v>
      </c>
      <c r="O296" s="385">
        <v>2218</v>
      </c>
      <c r="P296" s="382">
        <v>102.68</v>
      </c>
      <c r="Q296" s="382">
        <v>91</v>
      </c>
      <c r="R296" s="382">
        <v>47.04</v>
      </c>
      <c r="S296" s="382">
        <v>149.47</v>
      </c>
      <c r="T296" s="382">
        <v>564</v>
      </c>
      <c r="U296" s="382">
        <v>138.43</v>
      </c>
      <c r="V296" s="382">
        <v>529</v>
      </c>
      <c r="W296" s="382">
        <v>186.89</v>
      </c>
      <c r="X296" s="382">
        <v>126</v>
      </c>
      <c r="Y296" s="382">
        <v>0</v>
      </c>
      <c r="Z296" s="382">
        <v>1</v>
      </c>
      <c r="AA296" s="382">
        <v>37</v>
      </c>
      <c r="AB296" s="382">
        <v>99</v>
      </c>
      <c r="AC296" s="382">
        <v>11</v>
      </c>
      <c r="AD296" s="386">
        <v>2752</v>
      </c>
      <c r="AE296" s="386">
        <v>26</v>
      </c>
      <c r="AF296" s="386">
        <v>49</v>
      </c>
      <c r="AG296" s="386">
        <v>75</v>
      </c>
    </row>
    <row r="297" spans="1:33" x14ac:dyDescent="0.25">
      <c r="A297" s="381" t="s">
        <v>652</v>
      </c>
      <c r="B297" s="387" t="s">
        <v>653</v>
      </c>
      <c r="C297" s="383">
        <v>5456</v>
      </c>
      <c r="D297" s="383">
        <v>155</v>
      </c>
      <c r="E297" s="383">
        <v>386</v>
      </c>
      <c r="F297" s="383">
        <v>589</v>
      </c>
      <c r="G297" s="383">
        <v>367</v>
      </c>
      <c r="H297" s="383">
        <v>6953</v>
      </c>
      <c r="I297" s="382">
        <v>6586</v>
      </c>
      <c r="J297" s="382">
        <v>110</v>
      </c>
      <c r="K297" s="384">
        <v>113.3</v>
      </c>
      <c r="L297" s="384">
        <v>117.32</v>
      </c>
      <c r="M297" s="384">
        <v>9.59</v>
      </c>
      <c r="N297" s="384">
        <v>117.6</v>
      </c>
      <c r="O297" s="385">
        <v>4992</v>
      </c>
      <c r="P297" s="382">
        <v>91.22</v>
      </c>
      <c r="Q297" s="382">
        <v>90.61</v>
      </c>
      <c r="R297" s="382">
        <v>37.619999999999997</v>
      </c>
      <c r="S297" s="382">
        <v>128.52000000000001</v>
      </c>
      <c r="T297" s="382">
        <v>711</v>
      </c>
      <c r="U297" s="382">
        <v>174.03</v>
      </c>
      <c r="V297" s="382">
        <v>386</v>
      </c>
      <c r="W297" s="382">
        <v>160.68</v>
      </c>
      <c r="X297" s="382">
        <v>2</v>
      </c>
      <c r="Y297" s="382">
        <v>32</v>
      </c>
      <c r="Z297" s="382">
        <v>9</v>
      </c>
      <c r="AA297" s="382">
        <v>1</v>
      </c>
      <c r="AB297" s="382">
        <v>6</v>
      </c>
      <c r="AC297" s="382">
        <v>9</v>
      </c>
      <c r="AD297" s="386">
        <v>5437</v>
      </c>
      <c r="AE297" s="386">
        <v>19</v>
      </c>
      <c r="AF297" s="386">
        <v>27</v>
      </c>
      <c r="AG297" s="386">
        <v>46</v>
      </c>
    </row>
    <row r="298" spans="1:33" x14ac:dyDescent="0.25">
      <c r="A298" s="381" t="s">
        <v>654</v>
      </c>
      <c r="B298" s="387" t="s">
        <v>655</v>
      </c>
      <c r="C298" s="383">
        <v>1195</v>
      </c>
      <c r="D298" s="383">
        <v>0</v>
      </c>
      <c r="E298" s="383">
        <v>137</v>
      </c>
      <c r="F298" s="383">
        <v>164</v>
      </c>
      <c r="G298" s="383">
        <v>446</v>
      </c>
      <c r="H298" s="383">
        <v>1942</v>
      </c>
      <c r="I298" s="382">
        <v>1496</v>
      </c>
      <c r="J298" s="382">
        <v>3</v>
      </c>
      <c r="K298" s="384">
        <v>117.6</v>
      </c>
      <c r="L298" s="384">
        <v>114.33</v>
      </c>
      <c r="M298" s="384">
        <v>4.33</v>
      </c>
      <c r="N298" s="384">
        <v>121.58</v>
      </c>
      <c r="O298" s="385">
        <v>915</v>
      </c>
      <c r="P298" s="382">
        <v>112.89</v>
      </c>
      <c r="Q298" s="382">
        <v>96.84</v>
      </c>
      <c r="R298" s="382">
        <v>31.35</v>
      </c>
      <c r="S298" s="382">
        <v>143.33000000000001</v>
      </c>
      <c r="T298" s="382">
        <v>137</v>
      </c>
      <c r="U298" s="382">
        <v>189.13</v>
      </c>
      <c r="V298" s="382">
        <v>238</v>
      </c>
      <c r="W298" s="382">
        <v>109.9</v>
      </c>
      <c r="X298" s="382">
        <v>3</v>
      </c>
      <c r="Y298" s="382">
        <v>0</v>
      </c>
      <c r="Z298" s="382">
        <v>0</v>
      </c>
      <c r="AA298" s="382">
        <v>0</v>
      </c>
      <c r="AB298" s="382">
        <v>41</v>
      </c>
      <c r="AC298" s="382">
        <v>6</v>
      </c>
      <c r="AD298" s="386">
        <v>1144</v>
      </c>
      <c r="AE298" s="386">
        <v>17</v>
      </c>
      <c r="AF298" s="386">
        <v>4</v>
      </c>
      <c r="AG298" s="386">
        <v>21</v>
      </c>
    </row>
    <row r="299" spans="1:33" x14ac:dyDescent="0.25">
      <c r="A299" s="381" t="s">
        <v>656</v>
      </c>
      <c r="B299" s="387" t="s">
        <v>657</v>
      </c>
      <c r="C299" s="383">
        <v>2221</v>
      </c>
      <c r="D299" s="383">
        <v>0</v>
      </c>
      <c r="E299" s="383">
        <v>90</v>
      </c>
      <c r="F299" s="383">
        <v>307</v>
      </c>
      <c r="G299" s="383">
        <v>533</v>
      </c>
      <c r="H299" s="383">
        <v>3151</v>
      </c>
      <c r="I299" s="382">
        <v>2618</v>
      </c>
      <c r="J299" s="382">
        <v>1</v>
      </c>
      <c r="K299" s="384">
        <v>102.68</v>
      </c>
      <c r="L299" s="384">
        <v>100.9</v>
      </c>
      <c r="M299" s="384">
        <v>6.13</v>
      </c>
      <c r="N299" s="384">
        <v>107.36</v>
      </c>
      <c r="O299" s="385">
        <v>1379</v>
      </c>
      <c r="P299" s="382">
        <v>80.37</v>
      </c>
      <c r="Q299" s="382">
        <v>76.36</v>
      </c>
      <c r="R299" s="382">
        <v>31.56</v>
      </c>
      <c r="S299" s="382">
        <v>109.26</v>
      </c>
      <c r="T299" s="382">
        <v>236</v>
      </c>
      <c r="U299" s="382">
        <v>144.97999999999999</v>
      </c>
      <c r="V299" s="382">
        <v>825</v>
      </c>
      <c r="W299" s="382">
        <v>186.25</v>
      </c>
      <c r="X299" s="382">
        <v>55</v>
      </c>
      <c r="Y299" s="382">
        <v>26</v>
      </c>
      <c r="Z299" s="382">
        <v>0</v>
      </c>
      <c r="AA299" s="382">
        <v>0</v>
      </c>
      <c r="AB299" s="382">
        <v>42</v>
      </c>
      <c r="AC299" s="382">
        <v>7</v>
      </c>
      <c r="AD299" s="386">
        <v>2221</v>
      </c>
      <c r="AE299" s="386">
        <v>12</v>
      </c>
      <c r="AF299" s="386">
        <v>4</v>
      </c>
      <c r="AG299" s="386">
        <v>16</v>
      </c>
    </row>
    <row r="300" spans="1:33" x14ac:dyDescent="0.25">
      <c r="A300" s="381" t="s">
        <v>658</v>
      </c>
      <c r="B300" s="387" t="s">
        <v>659</v>
      </c>
      <c r="C300" s="383">
        <v>2754</v>
      </c>
      <c r="D300" s="383">
        <v>0</v>
      </c>
      <c r="E300" s="383">
        <v>315</v>
      </c>
      <c r="F300" s="383">
        <v>329</v>
      </c>
      <c r="G300" s="383">
        <v>549</v>
      </c>
      <c r="H300" s="383">
        <v>3947</v>
      </c>
      <c r="I300" s="382">
        <v>3398</v>
      </c>
      <c r="J300" s="382">
        <v>129</v>
      </c>
      <c r="K300" s="384">
        <v>110.5</v>
      </c>
      <c r="L300" s="384">
        <v>108.92</v>
      </c>
      <c r="M300" s="384">
        <v>7.98</v>
      </c>
      <c r="N300" s="384">
        <v>116.78</v>
      </c>
      <c r="O300" s="385">
        <v>2168</v>
      </c>
      <c r="P300" s="382">
        <v>100.09</v>
      </c>
      <c r="Q300" s="382">
        <v>91.43</v>
      </c>
      <c r="R300" s="382">
        <v>39.46</v>
      </c>
      <c r="S300" s="382">
        <v>138.88</v>
      </c>
      <c r="T300" s="382">
        <v>235</v>
      </c>
      <c r="U300" s="382">
        <v>150.83000000000001</v>
      </c>
      <c r="V300" s="382">
        <v>453</v>
      </c>
      <c r="W300" s="382">
        <v>0</v>
      </c>
      <c r="X300" s="382">
        <v>0</v>
      </c>
      <c r="Y300" s="382">
        <v>0</v>
      </c>
      <c r="Z300" s="382">
        <v>2</v>
      </c>
      <c r="AA300" s="382">
        <v>0</v>
      </c>
      <c r="AB300" s="382">
        <v>104</v>
      </c>
      <c r="AC300" s="382">
        <v>8</v>
      </c>
      <c r="AD300" s="386">
        <v>2611</v>
      </c>
      <c r="AE300" s="386">
        <v>12</v>
      </c>
      <c r="AF300" s="386">
        <v>8</v>
      </c>
      <c r="AG300" s="386">
        <v>20</v>
      </c>
    </row>
    <row r="301" spans="1:33" x14ac:dyDescent="0.25">
      <c r="A301" s="381" t="s">
        <v>660</v>
      </c>
      <c r="B301" s="387" t="s">
        <v>661</v>
      </c>
      <c r="C301" s="383">
        <v>7959</v>
      </c>
      <c r="D301" s="383">
        <v>0</v>
      </c>
      <c r="E301" s="383">
        <v>375</v>
      </c>
      <c r="F301" s="383">
        <v>788</v>
      </c>
      <c r="G301" s="383">
        <v>697</v>
      </c>
      <c r="H301" s="383">
        <v>9819</v>
      </c>
      <c r="I301" s="382">
        <v>9122</v>
      </c>
      <c r="J301" s="382">
        <v>0</v>
      </c>
      <c r="K301" s="384">
        <v>116.54</v>
      </c>
      <c r="L301" s="384">
        <v>117.88</v>
      </c>
      <c r="M301" s="384">
        <v>5.3</v>
      </c>
      <c r="N301" s="384">
        <v>119.35</v>
      </c>
      <c r="O301" s="385">
        <v>7564</v>
      </c>
      <c r="P301" s="382">
        <v>114.49</v>
      </c>
      <c r="Q301" s="382">
        <v>107.32</v>
      </c>
      <c r="R301" s="382">
        <v>29.37</v>
      </c>
      <c r="S301" s="382">
        <v>142.94999999999999</v>
      </c>
      <c r="T301" s="382">
        <v>998</v>
      </c>
      <c r="U301" s="382">
        <v>148.88999999999999</v>
      </c>
      <c r="V301" s="382">
        <v>382</v>
      </c>
      <c r="W301" s="382">
        <v>173.48</v>
      </c>
      <c r="X301" s="382">
        <v>81</v>
      </c>
      <c r="Y301" s="382">
        <v>0</v>
      </c>
      <c r="Z301" s="382">
        <v>1</v>
      </c>
      <c r="AA301" s="382">
        <v>12</v>
      </c>
      <c r="AB301" s="382">
        <v>13</v>
      </c>
      <c r="AC301" s="382">
        <v>12</v>
      </c>
      <c r="AD301" s="386">
        <v>7940</v>
      </c>
      <c r="AE301" s="386">
        <v>22</v>
      </c>
      <c r="AF301" s="386">
        <v>16</v>
      </c>
      <c r="AG301" s="386">
        <v>38</v>
      </c>
    </row>
    <row r="302" spans="1:33" x14ac:dyDescent="0.25">
      <c r="A302" s="381" t="s">
        <v>662</v>
      </c>
      <c r="B302" s="387" t="s">
        <v>663</v>
      </c>
      <c r="C302" s="383">
        <v>2122</v>
      </c>
      <c r="D302" s="383">
        <v>5</v>
      </c>
      <c r="E302" s="383">
        <v>38</v>
      </c>
      <c r="F302" s="383">
        <v>328</v>
      </c>
      <c r="G302" s="383">
        <v>117</v>
      </c>
      <c r="H302" s="383">
        <v>2610</v>
      </c>
      <c r="I302" s="382">
        <v>2493</v>
      </c>
      <c r="J302" s="382">
        <v>0</v>
      </c>
      <c r="K302" s="384">
        <v>90.8</v>
      </c>
      <c r="L302" s="384">
        <v>82.26</v>
      </c>
      <c r="M302" s="384">
        <v>4.09</v>
      </c>
      <c r="N302" s="384">
        <v>92.07</v>
      </c>
      <c r="O302" s="385">
        <v>1931</v>
      </c>
      <c r="P302" s="382">
        <v>84.12</v>
      </c>
      <c r="Q302" s="382">
        <v>73.989999999999995</v>
      </c>
      <c r="R302" s="382">
        <v>18.010000000000002</v>
      </c>
      <c r="S302" s="382">
        <v>101.62</v>
      </c>
      <c r="T302" s="382">
        <v>285</v>
      </c>
      <c r="U302" s="382">
        <v>115.9</v>
      </c>
      <c r="V302" s="382">
        <v>135</v>
      </c>
      <c r="W302" s="382">
        <v>82.86</v>
      </c>
      <c r="X302" s="382">
        <v>4</v>
      </c>
      <c r="Y302" s="382">
        <v>0</v>
      </c>
      <c r="Z302" s="382">
        <v>2</v>
      </c>
      <c r="AA302" s="382">
        <v>3</v>
      </c>
      <c r="AB302" s="382">
        <v>8</v>
      </c>
      <c r="AC302" s="382">
        <v>4</v>
      </c>
      <c r="AD302" s="386">
        <v>2048</v>
      </c>
      <c r="AE302" s="386">
        <v>8</v>
      </c>
      <c r="AF302" s="386">
        <v>6</v>
      </c>
      <c r="AG302" s="386">
        <v>14</v>
      </c>
    </row>
    <row r="303" spans="1:33" x14ac:dyDescent="0.25">
      <c r="A303" s="381" t="s">
        <v>664</v>
      </c>
      <c r="B303" s="387" t="s">
        <v>665</v>
      </c>
      <c r="C303" s="383">
        <v>779</v>
      </c>
      <c r="D303" s="383">
        <v>4</v>
      </c>
      <c r="E303" s="383">
        <v>200</v>
      </c>
      <c r="F303" s="383">
        <v>375</v>
      </c>
      <c r="G303" s="383">
        <v>337</v>
      </c>
      <c r="H303" s="383">
        <v>1695</v>
      </c>
      <c r="I303" s="382">
        <v>1358</v>
      </c>
      <c r="J303" s="382">
        <v>0</v>
      </c>
      <c r="K303" s="384">
        <v>91.35</v>
      </c>
      <c r="L303" s="384">
        <v>90.07</v>
      </c>
      <c r="M303" s="384">
        <v>5.5</v>
      </c>
      <c r="N303" s="384">
        <v>95.05</v>
      </c>
      <c r="O303" s="385">
        <v>554</v>
      </c>
      <c r="P303" s="382">
        <v>100.11</v>
      </c>
      <c r="Q303" s="382">
        <v>84.79</v>
      </c>
      <c r="R303" s="382">
        <v>41.93</v>
      </c>
      <c r="S303" s="382">
        <v>141.61000000000001</v>
      </c>
      <c r="T303" s="382">
        <v>490</v>
      </c>
      <c r="U303" s="382">
        <v>105.29</v>
      </c>
      <c r="V303" s="382">
        <v>202</v>
      </c>
      <c r="W303" s="382">
        <v>0</v>
      </c>
      <c r="X303" s="382">
        <v>0</v>
      </c>
      <c r="Y303" s="382">
        <v>0</v>
      </c>
      <c r="Z303" s="382">
        <v>0</v>
      </c>
      <c r="AA303" s="382">
        <v>0</v>
      </c>
      <c r="AB303" s="382">
        <v>2</v>
      </c>
      <c r="AC303" s="382">
        <v>1</v>
      </c>
      <c r="AD303" s="386">
        <v>768</v>
      </c>
      <c r="AE303" s="386">
        <v>6</v>
      </c>
      <c r="AF303" s="386">
        <v>0</v>
      </c>
      <c r="AG303" s="386">
        <v>6</v>
      </c>
    </row>
    <row r="304" spans="1:33" x14ac:dyDescent="0.25">
      <c r="A304" s="381" t="s">
        <v>666</v>
      </c>
      <c r="B304" s="387" t="s">
        <v>667</v>
      </c>
      <c r="C304" s="383">
        <v>4215</v>
      </c>
      <c r="D304" s="383">
        <v>0</v>
      </c>
      <c r="E304" s="383">
        <v>86</v>
      </c>
      <c r="F304" s="383">
        <v>442</v>
      </c>
      <c r="G304" s="383">
        <v>322</v>
      </c>
      <c r="H304" s="383">
        <v>5065</v>
      </c>
      <c r="I304" s="382">
        <v>4743</v>
      </c>
      <c r="J304" s="382">
        <v>0</v>
      </c>
      <c r="K304" s="384">
        <v>78.87</v>
      </c>
      <c r="L304" s="384">
        <v>78.84</v>
      </c>
      <c r="M304" s="384">
        <v>4.4800000000000004</v>
      </c>
      <c r="N304" s="384">
        <v>80.16</v>
      </c>
      <c r="O304" s="385">
        <v>3954</v>
      </c>
      <c r="P304" s="382">
        <v>76.150000000000006</v>
      </c>
      <c r="Q304" s="382">
        <v>74.05</v>
      </c>
      <c r="R304" s="382">
        <v>33.130000000000003</v>
      </c>
      <c r="S304" s="382">
        <v>108.74</v>
      </c>
      <c r="T304" s="382">
        <v>498</v>
      </c>
      <c r="U304" s="382">
        <v>94.75</v>
      </c>
      <c r="V304" s="382">
        <v>239</v>
      </c>
      <c r="W304" s="382">
        <v>105.37</v>
      </c>
      <c r="X304" s="382">
        <v>20</v>
      </c>
      <c r="Y304" s="382">
        <v>0</v>
      </c>
      <c r="Z304" s="382">
        <v>5</v>
      </c>
      <c r="AA304" s="382">
        <v>2</v>
      </c>
      <c r="AB304" s="382">
        <v>13</v>
      </c>
      <c r="AC304" s="382">
        <v>10</v>
      </c>
      <c r="AD304" s="386">
        <v>4204</v>
      </c>
      <c r="AE304" s="386">
        <v>31</v>
      </c>
      <c r="AF304" s="386">
        <v>16</v>
      </c>
      <c r="AG304" s="386">
        <v>47</v>
      </c>
    </row>
    <row r="305" spans="1:33" ht="14.5" x14ac:dyDescent="0.35">
      <c r="A305" s="388" t="s">
        <v>815</v>
      </c>
      <c r="B305" s="388" t="s">
        <v>813</v>
      </c>
      <c r="C305" s="382">
        <v>11251</v>
      </c>
      <c r="D305" s="382">
        <v>15</v>
      </c>
      <c r="E305" s="382">
        <v>471</v>
      </c>
      <c r="F305" s="382">
        <v>2450</v>
      </c>
      <c r="G305" s="382">
        <v>2292</v>
      </c>
      <c r="H305" s="382">
        <v>16479</v>
      </c>
      <c r="I305" s="382">
        <v>14187</v>
      </c>
      <c r="J305" s="382">
        <v>0</v>
      </c>
      <c r="K305" s="382">
        <v>96.38</v>
      </c>
      <c r="L305" s="382">
        <v>96.81</v>
      </c>
      <c r="M305" s="382">
        <v>6.04</v>
      </c>
      <c r="N305" s="382">
        <v>100.3</v>
      </c>
      <c r="O305" s="382">
        <v>9237</v>
      </c>
      <c r="P305" s="382">
        <v>94.3</v>
      </c>
      <c r="Q305" s="382">
        <v>94.04</v>
      </c>
      <c r="R305" s="382">
        <v>31.66</v>
      </c>
      <c r="S305" s="382">
        <v>116.7</v>
      </c>
      <c r="T305" s="382">
        <v>2799</v>
      </c>
      <c r="U305" s="382">
        <v>121.84</v>
      </c>
      <c r="V305" s="382">
        <v>1614</v>
      </c>
      <c r="W305" s="382">
        <v>130.01</v>
      </c>
      <c r="X305" s="382">
        <v>77</v>
      </c>
      <c r="Y305" s="382">
        <v>226</v>
      </c>
      <c r="Z305" s="382">
        <v>25</v>
      </c>
      <c r="AA305" s="382">
        <v>16</v>
      </c>
      <c r="AB305" s="382">
        <v>206</v>
      </c>
      <c r="AC305" s="382">
        <v>33</v>
      </c>
      <c r="AD305" s="382">
        <v>10958</v>
      </c>
      <c r="AE305" s="382">
        <v>80</v>
      </c>
      <c r="AF305" s="382">
        <v>37</v>
      </c>
      <c r="AG305" s="382">
        <v>117</v>
      </c>
    </row>
    <row r="306" spans="1:33" x14ac:dyDescent="0.25">
      <c r="A306" s="381" t="s">
        <v>668</v>
      </c>
      <c r="B306" s="387" t="s">
        <v>669</v>
      </c>
      <c r="C306" s="383">
        <v>5698</v>
      </c>
      <c r="D306" s="383">
        <v>2</v>
      </c>
      <c r="E306" s="383">
        <v>135</v>
      </c>
      <c r="F306" s="383">
        <v>159</v>
      </c>
      <c r="G306" s="383">
        <v>618</v>
      </c>
      <c r="H306" s="383">
        <v>6612</v>
      </c>
      <c r="I306" s="382">
        <v>5994</v>
      </c>
      <c r="J306" s="382">
        <v>32</v>
      </c>
      <c r="K306" s="384">
        <v>108.8</v>
      </c>
      <c r="L306" s="384">
        <v>111.53</v>
      </c>
      <c r="M306" s="384">
        <v>4.62</v>
      </c>
      <c r="N306" s="384">
        <v>110.64</v>
      </c>
      <c r="O306" s="385">
        <v>4954</v>
      </c>
      <c r="P306" s="382">
        <v>101.07</v>
      </c>
      <c r="Q306" s="382">
        <v>97.35</v>
      </c>
      <c r="R306" s="382">
        <v>54.89</v>
      </c>
      <c r="S306" s="382">
        <v>152.72</v>
      </c>
      <c r="T306" s="382">
        <v>289</v>
      </c>
      <c r="U306" s="382">
        <v>160.84</v>
      </c>
      <c r="V306" s="382">
        <v>642</v>
      </c>
      <c r="W306" s="382">
        <v>0</v>
      </c>
      <c r="X306" s="382">
        <v>0</v>
      </c>
      <c r="Y306" s="382">
        <v>0</v>
      </c>
      <c r="Z306" s="382">
        <v>3</v>
      </c>
      <c r="AA306" s="382">
        <v>7</v>
      </c>
      <c r="AB306" s="382">
        <v>33</v>
      </c>
      <c r="AC306" s="382">
        <v>6</v>
      </c>
      <c r="AD306" s="386">
        <v>5555</v>
      </c>
      <c r="AE306" s="386">
        <v>20</v>
      </c>
      <c r="AF306" s="386">
        <v>59</v>
      </c>
      <c r="AG306" s="386">
        <v>79</v>
      </c>
    </row>
    <row r="307" spans="1:33" x14ac:dyDescent="0.25">
      <c r="A307" s="381" t="s">
        <v>670</v>
      </c>
      <c r="B307" s="387" t="s">
        <v>671</v>
      </c>
      <c r="C307" s="382">
        <v>10682</v>
      </c>
      <c r="D307" s="382">
        <v>1</v>
      </c>
      <c r="E307" s="382">
        <v>467</v>
      </c>
      <c r="F307" s="382">
        <v>1133</v>
      </c>
      <c r="G307" s="382">
        <v>628</v>
      </c>
      <c r="H307" s="382">
        <v>12911</v>
      </c>
      <c r="I307" s="382">
        <v>12283</v>
      </c>
      <c r="J307" s="382">
        <v>20</v>
      </c>
      <c r="K307" s="382">
        <v>90.57</v>
      </c>
      <c r="L307" s="384">
        <v>90.6</v>
      </c>
      <c r="M307" s="384">
        <v>4.66</v>
      </c>
      <c r="N307" s="384">
        <v>91.8</v>
      </c>
      <c r="O307" s="385">
        <v>8865</v>
      </c>
      <c r="P307" s="382">
        <v>86.78</v>
      </c>
      <c r="Q307" s="382">
        <v>85.17</v>
      </c>
      <c r="R307" s="382">
        <v>38.35</v>
      </c>
      <c r="S307" s="382">
        <v>123.84</v>
      </c>
      <c r="T307" s="382">
        <v>1549</v>
      </c>
      <c r="U307" s="382">
        <v>128.22</v>
      </c>
      <c r="V307" s="382">
        <v>1669</v>
      </c>
      <c r="W307" s="382">
        <v>106.67</v>
      </c>
      <c r="X307" s="382">
        <v>22</v>
      </c>
      <c r="Y307" s="382">
        <v>33</v>
      </c>
      <c r="Z307" s="382">
        <v>33</v>
      </c>
      <c r="AA307" s="382">
        <v>28</v>
      </c>
      <c r="AB307" s="382">
        <v>47</v>
      </c>
      <c r="AC307" s="382">
        <v>13</v>
      </c>
      <c r="AD307" s="382">
        <v>10678</v>
      </c>
      <c r="AE307" s="382">
        <v>52</v>
      </c>
      <c r="AF307" s="382">
        <v>41</v>
      </c>
      <c r="AG307" s="382">
        <v>93</v>
      </c>
    </row>
    <row r="308" spans="1:33" x14ac:dyDescent="0.25">
      <c r="A308" s="381" t="s">
        <v>672</v>
      </c>
      <c r="B308" s="387" t="s">
        <v>673</v>
      </c>
      <c r="C308" s="383">
        <v>12151</v>
      </c>
      <c r="D308" s="383">
        <v>1093</v>
      </c>
      <c r="E308" s="383">
        <v>1094</v>
      </c>
      <c r="F308" s="383">
        <v>737</v>
      </c>
      <c r="G308" s="383">
        <v>525</v>
      </c>
      <c r="H308" s="383">
        <v>15600</v>
      </c>
      <c r="I308" s="382">
        <v>15075</v>
      </c>
      <c r="J308" s="382">
        <v>670</v>
      </c>
      <c r="K308" s="384">
        <v>140.01</v>
      </c>
      <c r="L308" s="384">
        <v>141.85</v>
      </c>
      <c r="M308" s="384">
        <v>12.83</v>
      </c>
      <c r="N308" s="384">
        <v>150.68</v>
      </c>
      <c r="O308" s="385">
        <v>10148</v>
      </c>
      <c r="P308" s="382">
        <v>110.43</v>
      </c>
      <c r="Q308" s="382">
        <v>109.13</v>
      </c>
      <c r="R308" s="382">
        <v>66.790000000000006</v>
      </c>
      <c r="S308" s="382">
        <v>163.9</v>
      </c>
      <c r="T308" s="382">
        <v>1709</v>
      </c>
      <c r="U308" s="382">
        <v>207.01</v>
      </c>
      <c r="V308" s="382">
        <v>702</v>
      </c>
      <c r="W308" s="382">
        <v>143.47999999999999</v>
      </c>
      <c r="X308" s="382">
        <v>2</v>
      </c>
      <c r="Y308" s="382">
        <v>0</v>
      </c>
      <c r="Z308" s="382">
        <v>0</v>
      </c>
      <c r="AA308" s="382">
        <v>2</v>
      </c>
      <c r="AB308" s="382">
        <v>6</v>
      </c>
      <c r="AC308" s="382">
        <v>9</v>
      </c>
      <c r="AD308" s="386">
        <v>10566</v>
      </c>
      <c r="AE308" s="386">
        <v>32</v>
      </c>
      <c r="AF308" s="386">
        <v>71</v>
      </c>
      <c r="AG308" s="386">
        <v>103</v>
      </c>
    </row>
    <row r="309" spans="1:33" x14ac:dyDescent="0.25">
      <c r="A309" s="381" t="s">
        <v>674</v>
      </c>
      <c r="B309" s="387" t="s">
        <v>675</v>
      </c>
      <c r="C309" s="383">
        <v>2184</v>
      </c>
      <c r="D309" s="383">
        <v>0</v>
      </c>
      <c r="E309" s="383">
        <v>819</v>
      </c>
      <c r="F309" s="383">
        <v>1019</v>
      </c>
      <c r="G309" s="383">
        <v>254</v>
      </c>
      <c r="H309" s="383">
        <v>4276</v>
      </c>
      <c r="I309" s="382">
        <v>4022</v>
      </c>
      <c r="J309" s="382">
        <v>0</v>
      </c>
      <c r="K309" s="384">
        <v>79.09</v>
      </c>
      <c r="L309" s="384">
        <v>75.89</v>
      </c>
      <c r="M309" s="384">
        <v>6.38</v>
      </c>
      <c r="N309" s="384">
        <v>82.54</v>
      </c>
      <c r="O309" s="385">
        <v>1590</v>
      </c>
      <c r="P309" s="382">
        <v>88.31</v>
      </c>
      <c r="Q309" s="382">
        <v>71.760000000000005</v>
      </c>
      <c r="R309" s="382">
        <v>68.14</v>
      </c>
      <c r="S309" s="382">
        <v>153.94999999999999</v>
      </c>
      <c r="T309" s="382">
        <v>1668</v>
      </c>
      <c r="U309" s="382">
        <v>96.66</v>
      </c>
      <c r="V309" s="382">
        <v>459</v>
      </c>
      <c r="W309" s="382">
        <v>157.94</v>
      </c>
      <c r="X309" s="382">
        <v>20</v>
      </c>
      <c r="Y309" s="382">
        <v>0</v>
      </c>
      <c r="Z309" s="382">
        <v>2</v>
      </c>
      <c r="AA309" s="382">
        <v>15</v>
      </c>
      <c r="AB309" s="382">
        <v>44</v>
      </c>
      <c r="AC309" s="382">
        <v>1</v>
      </c>
      <c r="AD309" s="386">
        <v>2081</v>
      </c>
      <c r="AE309" s="386">
        <v>24</v>
      </c>
      <c r="AF309" s="386">
        <v>7</v>
      </c>
      <c r="AG309" s="386">
        <v>31</v>
      </c>
    </row>
    <row r="310" spans="1:33" x14ac:dyDescent="0.25">
      <c r="A310" s="381" t="s">
        <v>676</v>
      </c>
      <c r="B310" s="387" t="s">
        <v>677</v>
      </c>
      <c r="C310" s="383">
        <v>21985</v>
      </c>
      <c r="D310" s="383">
        <v>25</v>
      </c>
      <c r="E310" s="383">
        <v>669</v>
      </c>
      <c r="F310" s="383">
        <v>3074</v>
      </c>
      <c r="G310" s="383">
        <v>1745</v>
      </c>
      <c r="H310" s="383">
        <v>27498</v>
      </c>
      <c r="I310" s="382">
        <v>25753</v>
      </c>
      <c r="J310" s="382">
        <v>103</v>
      </c>
      <c r="K310" s="384">
        <v>99.12</v>
      </c>
      <c r="L310" s="384">
        <v>99.27</v>
      </c>
      <c r="M310" s="384">
        <v>3.96</v>
      </c>
      <c r="N310" s="384">
        <v>101.17</v>
      </c>
      <c r="O310" s="385">
        <v>18583</v>
      </c>
      <c r="P310" s="382">
        <v>92.97</v>
      </c>
      <c r="Q310" s="382">
        <v>92.45</v>
      </c>
      <c r="R310" s="382">
        <v>23.78</v>
      </c>
      <c r="S310" s="382">
        <v>115.85</v>
      </c>
      <c r="T310" s="382">
        <v>3311</v>
      </c>
      <c r="U310" s="382">
        <v>128.5</v>
      </c>
      <c r="V310" s="382">
        <v>2747</v>
      </c>
      <c r="W310" s="382">
        <v>161.44</v>
      </c>
      <c r="X310" s="382">
        <v>73</v>
      </c>
      <c r="Y310" s="382">
        <v>330</v>
      </c>
      <c r="Z310" s="382">
        <v>31</v>
      </c>
      <c r="AA310" s="382">
        <v>77</v>
      </c>
      <c r="AB310" s="382">
        <v>92</v>
      </c>
      <c r="AC310" s="382">
        <v>34</v>
      </c>
      <c r="AD310" s="386">
        <v>21325</v>
      </c>
      <c r="AE310" s="386">
        <v>138</v>
      </c>
      <c r="AF310" s="386">
        <v>110</v>
      </c>
      <c r="AG310" s="386">
        <v>248</v>
      </c>
    </row>
    <row r="311" spans="1:33" x14ac:dyDescent="0.25">
      <c r="A311" s="381" t="s">
        <v>678</v>
      </c>
      <c r="B311" s="387" t="s">
        <v>679</v>
      </c>
      <c r="C311" s="383">
        <v>2347</v>
      </c>
      <c r="D311" s="383">
        <v>6</v>
      </c>
      <c r="E311" s="383">
        <v>198</v>
      </c>
      <c r="F311" s="383">
        <v>238</v>
      </c>
      <c r="G311" s="383">
        <v>418</v>
      </c>
      <c r="H311" s="383">
        <v>3207</v>
      </c>
      <c r="I311" s="382">
        <v>2789</v>
      </c>
      <c r="J311" s="382">
        <v>2</v>
      </c>
      <c r="K311" s="384">
        <v>112.58</v>
      </c>
      <c r="L311" s="384">
        <v>109.2</v>
      </c>
      <c r="M311" s="384">
        <v>7.42</v>
      </c>
      <c r="N311" s="384">
        <v>119.47</v>
      </c>
      <c r="O311" s="385">
        <v>1748</v>
      </c>
      <c r="P311" s="382">
        <v>98.76</v>
      </c>
      <c r="Q311" s="382">
        <v>88.47</v>
      </c>
      <c r="R311" s="382">
        <v>37.229999999999997</v>
      </c>
      <c r="S311" s="382">
        <v>133.69</v>
      </c>
      <c r="T311" s="382">
        <v>405</v>
      </c>
      <c r="U311" s="382">
        <v>167.01</v>
      </c>
      <c r="V311" s="382">
        <v>445</v>
      </c>
      <c r="W311" s="382">
        <v>0</v>
      </c>
      <c r="X311" s="382">
        <v>0</v>
      </c>
      <c r="Y311" s="382">
        <v>16</v>
      </c>
      <c r="Z311" s="382">
        <v>0</v>
      </c>
      <c r="AA311" s="382">
        <v>8</v>
      </c>
      <c r="AB311" s="382">
        <v>34</v>
      </c>
      <c r="AC311" s="382">
        <v>16</v>
      </c>
      <c r="AD311" s="386">
        <v>2195</v>
      </c>
      <c r="AE311" s="386">
        <v>8</v>
      </c>
      <c r="AF311" s="386">
        <v>5</v>
      </c>
      <c r="AG311" s="386">
        <v>13</v>
      </c>
    </row>
    <row r="312" spans="1:33" x14ac:dyDescent="0.25">
      <c r="A312" s="381" t="s">
        <v>680</v>
      </c>
      <c r="B312" s="387" t="s">
        <v>681</v>
      </c>
      <c r="C312" s="383">
        <v>6797</v>
      </c>
      <c r="D312" s="383">
        <v>16</v>
      </c>
      <c r="E312" s="383">
        <v>167</v>
      </c>
      <c r="F312" s="383">
        <v>895</v>
      </c>
      <c r="G312" s="383">
        <v>247</v>
      </c>
      <c r="H312" s="383">
        <v>8122</v>
      </c>
      <c r="I312" s="382">
        <v>7875</v>
      </c>
      <c r="J312" s="382">
        <v>39</v>
      </c>
      <c r="K312" s="384">
        <v>120.53</v>
      </c>
      <c r="L312" s="384">
        <v>122.09</v>
      </c>
      <c r="M312" s="384">
        <v>8.19</v>
      </c>
      <c r="N312" s="384">
        <v>124.16</v>
      </c>
      <c r="O312" s="385">
        <v>6392</v>
      </c>
      <c r="P312" s="382">
        <v>107.86</v>
      </c>
      <c r="Q312" s="382">
        <v>106.27</v>
      </c>
      <c r="R312" s="382">
        <v>28.4</v>
      </c>
      <c r="S312" s="382">
        <v>127.52</v>
      </c>
      <c r="T312" s="382">
        <v>1017</v>
      </c>
      <c r="U312" s="382">
        <v>173.3</v>
      </c>
      <c r="V312" s="382">
        <v>327</v>
      </c>
      <c r="W312" s="382">
        <v>143.82</v>
      </c>
      <c r="X312" s="382">
        <v>1</v>
      </c>
      <c r="Y312" s="382">
        <v>31</v>
      </c>
      <c r="Z312" s="382">
        <v>4</v>
      </c>
      <c r="AA312" s="382">
        <v>0</v>
      </c>
      <c r="AB312" s="382">
        <v>12</v>
      </c>
      <c r="AC312" s="382">
        <v>5</v>
      </c>
      <c r="AD312" s="386">
        <v>6788</v>
      </c>
      <c r="AE312" s="386">
        <v>28</v>
      </c>
      <c r="AF312" s="386">
        <v>14</v>
      </c>
      <c r="AG312" s="386">
        <v>42</v>
      </c>
    </row>
    <row r="313" spans="1:33" x14ac:dyDescent="0.25">
      <c r="A313" s="381" t="s">
        <v>682</v>
      </c>
      <c r="B313" s="387" t="s">
        <v>683</v>
      </c>
      <c r="C313" s="383">
        <v>17732</v>
      </c>
      <c r="D313" s="383">
        <v>35</v>
      </c>
      <c r="E313" s="383">
        <v>1207</v>
      </c>
      <c r="F313" s="383">
        <v>3693</v>
      </c>
      <c r="G313" s="383">
        <v>402</v>
      </c>
      <c r="H313" s="383">
        <v>23069</v>
      </c>
      <c r="I313" s="382">
        <v>22667</v>
      </c>
      <c r="J313" s="382">
        <v>6</v>
      </c>
      <c r="K313" s="384">
        <v>85.59</v>
      </c>
      <c r="L313" s="384">
        <v>82.48</v>
      </c>
      <c r="M313" s="384">
        <v>7.26</v>
      </c>
      <c r="N313" s="384">
        <v>88.14</v>
      </c>
      <c r="O313" s="385">
        <v>13894</v>
      </c>
      <c r="P313" s="382">
        <v>84.85</v>
      </c>
      <c r="Q313" s="382">
        <v>75.959999999999994</v>
      </c>
      <c r="R313" s="382">
        <v>26.58</v>
      </c>
      <c r="S313" s="382">
        <v>110.14</v>
      </c>
      <c r="T313" s="382">
        <v>3780</v>
      </c>
      <c r="U313" s="382">
        <v>107.72</v>
      </c>
      <c r="V313" s="382">
        <v>2024</v>
      </c>
      <c r="W313" s="382">
        <v>144.31</v>
      </c>
      <c r="X313" s="382">
        <v>122</v>
      </c>
      <c r="Y313" s="382">
        <v>3</v>
      </c>
      <c r="Z313" s="382">
        <v>81</v>
      </c>
      <c r="AA313" s="382">
        <v>13</v>
      </c>
      <c r="AB313" s="382">
        <v>12</v>
      </c>
      <c r="AC313" s="382">
        <v>7</v>
      </c>
      <c r="AD313" s="386">
        <v>15785</v>
      </c>
      <c r="AE313" s="386">
        <v>192</v>
      </c>
      <c r="AF313" s="386">
        <v>62</v>
      </c>
      <c r="AG313" s="386">
        <v>254</v>
      </c>
    </row>
    <row r="314" spans="1:33" x14ac:dyDescent="0.25">
      <c r="A314" s="381" t="s">
        <v>684</v>
      </c>
      <c r="B314" s="387" t="s">
        <v>685</v>
      </c>
      <c r="C314" s="383">
        <v>1139</v>
      </c>
      <c r="D314" s="383">
        <v>4</v>
      </c>
      <c r="E314" s="383">
        <v>175</v>
      </c>
      <c r="F314" s="383">
        <v>329</v>
      </c>
      <c r="G314" s="383">
        <v>290</v>
      </c>
      <c r="H314" s="383">
        <v>1937</v>
      </c>
      <c r="I314" s="382">
        <v>1647</v>
      </c>
      <c r="J314" s="382">
        <v>2</v>
      </c>
      <c r="K314" s="384">
        <v>127.71</v>
      </c>
      <c r="L314" s="384">
        <v>120.4</v>
      </c>
      <c r="M314" s="384">
        <v>8.99</v>
      </c>
      <c r="N314" s="384">
        <v>135.41999999999999</v>
      </c>
      <c r="O314" s="385">
        <v>944</v>
      </c>
      <c r="P314" s="382">
        <v>116.72</v>
      </c>
      <c r="Q314" s="382">
        <v>94.05</v>
      </c>
      <c r="R314" s="382">
        <v>36.299999999999997</v>
      </c>
      <c r="S314" s="382">
        <v>152.88999999999999</v>
      </c>
      <c r="T314" s="382">
        <v>273</v>
      </c>
      <c r="U314" s="382">
        <v>189.31</v>
      </c>
      <c r="V314" s="382">
        <v>67</v>
      </c>
      <c r="W314" s="382">
        <v>110.04</v>
      </c>
      <c r="X314" s="382">
        <v>4</v>
      </c>
      <c r="Y314" s="382">
        <v>206</v>
      </c>
      <c r="Z314" s="382">
        <v>4</v>
      </c>
      <c r="AA314" s="382">
        <v>10</v>
      </c>
      <c r="AB314" s="382">
        <v>1</v>
      </c>
      <c r="AC314" s="382">
        <v>3</v>
      </c>
      <c r="AD314" s="386">
        <v>1023</v>
      </c>
      <c r="AE314" s="386">
        <v>25</v>
      </c>
      <c r="AF314" s="386">
        <v>9</v>
      </c>
      <c r="AG314" s="386">
        <v>34</v>
      </c>
    </row>
    <row r="315" spans="1:33" x14ac:dyDescent="0.25">
      <c r="A315" s="381" t="s">
        <v>686</v>
      </c>
      <c r="B315" s="387" t="s">
        <v>687</v>
      </c>
      <c r="C315" s="383">
        <v>1816</v>
      </c>
      <c r="D315" s="383">
        <v>0</v>
      </c>
      <c r="E315" s="383">
        <v>189</v>
      </c>
      <c r="F315" s="383">
        <v>180</v>
      </c>
      <c r="G315" s="383">
        <v>992</v>
      </c>
      <c r="H315" s="383">
        <v>3177</v>
      </c>
      <c r="I315" s="382">
        <v>2185</v>
      </c>
      <c r="J315" s="382">
        <v>0</v>
      </c>
      <c r="K315" s="384">
        <v>130.72999999999999</v>
      </c>
      <c r="L315" s="384">
        <v>128.58000000000001</v>
      </c>
      <c r="M315" s="384">
        <v>7.59</v>
      </c>
      <c r="N315" s="384">
        <v>136.96</v>
      </c>
      <c r="O315" s="385">
        <v>1638</v>
      </c>
      <c r="P315" s="382">
        <v>110.95</v>
      </c>
      <c r="Q315" s="382">
        <v>109.17</v>
      </c>
      <c r="R315" s="382">
        <v>44.97</v>
      </c>
      <c r="S315" s="382">
        <v>152.05000000000001</v>
      </c>
      <c r="T315" s="382">
        <v>244</v>
      </c>
      <c r="U315" s="382">
        <v>158.38</v>
      </c>
      <c r="V315" s="382">
        <v>133</v>
      </c>
      <c r="W315" s="382">
        <v>0</v>
      </c>
      <c r="X315" s="382">
        <v>0</v>
      </c>
      <c r="Y315" s="382">
        <v>0</v>
      </c>
      <c r="Z315" s="382">
        <v>1</v>
      </c>
      <c r="AA315" s="382">
        <v>19</v>
      </c>
      <c r="AB315" s="382">
        <v>153</v>
      </c>
      <c r="AC315" s="382">
        <v>7</v>
      </c>
      <c r="AD315" s="386">
        <v>1796</v>
      </c>
      <c r="AE315" s="386">
        <v>10</v>
      </c>
      <c r="AF315" s="386">
        <v>2</v>
      </c>
      <c r="AG315" s="386">
        <v>12</v>
      </c>
    </row>
    <row r="316" spans="1:33" x14ac:dyDescent="0.25">
      <c r="A316" s="381" t="s">
        <v>688</v>
      </c>
      <c r="B316" s="387" t="s">
        <v>689</v>
      </c>
      <c r="C316" s="383">
        <v>4433</v>
      </c>
      <c r="D316" s="383">
        <v>2</v>
      </c>
      <c r="E316" s="383">
        <v>629</v>
      </c>
      <c r="F316" s="383">
        <v>1489</v>
      </c>
      <c r="G316" s="383">
        <v>283</v>
      </c>
      <c r="H316" s="383">
        <v>6836</v>
      </c>
      <c r="I316" s="382">
        <v>6553</v>
      </c>
      <c r="J316" s="382">
        <v>2</v>
      </c>
      <c r="K316" s="384">
        <v>87.81</v>
      </c>
      <c r="L316" s="384">
        <v>84.25</v>
      </c>
      <c r="M316" s="384">
        <v>6.08</v>
      </c>
      <c r="N316" s="384">
        <v>93.06</v>
      </c>
      <c r="O316" s="385">
        <v>3841</v>
      </c>
      <c r="P316" s="382">
        <v>97.1</v>
      </c>
      <c r="Q316" s="382">
        <v>87.53</v>
      </c>
      <c r="R316" s="382">
        <v>49.94</v>
      </c>
      <c r="S316" s="382">
        <v>144.32</v>
      </c>
      <c r="T316" s="382">
        <v>1880</v>
      </c>
      <c r="U316" s="382">
        <v>106.04</v>
      </c>
      <c r="V316" s="382">
        <v>432</v>
      </c>
      <c r="W316" s="382">
        <v>170.92</v>
      </c>
      <c r="X316" s="382">
        <v>36</v>
      </c>
      <c r="Y316" s="382">
        <v>118</v>
      </c>
      <c r="Z316" s="382">
        <v>2</v>
      </c>
      <c r="AA316" s="382">
        <v>8</v>
      </c>
      <c r="AB316" s="382">
        <v>3</v>
      </c>
      <c r="AC316" s="382">
        <v>13</v>
      </c>
      <c r="AD316" s="386">
        <v>4433</v>
      </c>
      <c r="AE316" s="386">
        <v>58</v>
      </c>
      <c r="AF316" s="386">
        <v>33</v>
      </c>
      <c r="AG316" s="386">
        <v>91</v>
      </c>
    </row>
    <row r="317" spans="1:33" x14ac:dyDescent="0.25">
      <c r="A317" s="381" t="s">
        <v>690</v>
      </c>
      <c r="B317" s="387" t="s">
        <v>691</v>
      </c>
      <c r="C317" s="383">
        <v>6235</v>
      </c>
      <c r="D317" s="383">
        <v>5</v>
      </c>
      <c r="E317" s="383">
        <v>473</v>
      </c>
      <c r="F317" s="383">
        <v>961</v>
      </c>
      <c r="G317" s="383">
        <v>480</v>
      </c>
      <c r="H317" s="383">
        <v>8154</v>
      </c>
      <c r="I317" s="382">
        <v>7674</v>
      </c>
      <c r="J317" s="382">
        <v>0</v>
      </c>
      <c r="K317" s="384">
        <v>86.15</v>
      </c>
      <c r="L317" s="384">
        <v>87.62</v>
      </c>
      <c r="M317" s="384">
        <v>5.69</v>
      </c>
      <c r="N317" s="384">
        <v>91.41</v>
      </c>
      <c r="O317" s="385">
        <v>5251</v>
      </c>
      <c r="P317" s="382">
        <v>86.66</v>
      </c>
      <c r="Q317" s="382">
        <v>78.58</v>
      </c>
      <c r="R317" s="382">
        <v>40.33</v>
      </c>
      <c r="S317" s="382">
        <v>126</v>
      </c>
      <c r="T317" s="382">
        <v>1140</v>
      </c>
      <c r="U317" s="382">
        <v>108.98</v>
      </c>
      <c r="V317" s="382">
        <v>857</v>
      </c>
      <c r="W317" s="382">
        <v>194.16</v>
      </c>
      <c r="X317" s="382">
        <v>162</v>
      </c>
      <c r="Y317" s="382">
        <v>0</v>
      </c>
      <c r="Z317" s="382">
        <v>11</v>
      </c>
      <c r="AA317" s="382">
        <v>3</v>
      </c>
      <c r="AB317" s="382">
        <v>12</v>
      </c>
      <c r="AC317" s="382">
        <v>11</v>
      </c>
      <c r="AD317" s="386">
        <v>6109</v>
      </c>
      <c r="AE317" s="386">
        <v>23</v>
      </c>
      <c r="AF317" s="386">
        <v>7</v>
      </c>
      <c r="AG317" s="386">
        <v>30</v>
      </c>
    </row>
    <row r="318" spans="1:33" x14ac:dyDescent="0.25">
      <c r="A318" s="381" t="s">
        <v>692</v>
      </c>
      <c r="B318" s="387" t="s">
        <v>693</v>
      </c>
      <c r="C318" s="383">
        <v>4047</v>
      </c>
      <c r="D318" s="383">
        <v>33</v>
      </c>
      <c r="E318" s="383">
        <v>235</v>
      </c>
      <c r="F318" s="383">
        <v>490</v>
      </c>
      <c r="G318" s="383">
        <v>155</v>
      </c>
      <c r="H318" s="383">
        <v>4960</v>
      </c>
      <c r="I318" s="382">
        <v>4805</v>
      </c>
      <c r="J318" s="382">
        <v>3</v>
      </c>
      <c r="K318" s="384">
        <v>100.33</v>
      </c>
      <c r="L318" s="384">
        <v>99.07</v>
      </c>
      <c r="M318" s="384">
        <v>6.76</v>
      </c>
      <c r="N318" s="384">
        <v>104.55</v>
      </c>
      <c r="O318" s="385">
        <v>3750</v>
      </c>
      <c r="P318" s="382">
        <v>89.86</v>
      </c>
      <c r="Q318" s="382">
        <v>84.56</v>
      </c>
      <c r="R318" s="382">
        <v>33.46</v>
      </c>
      <c r="S318" s="382">
        <v>122.07</v>
      </c>
      <c r="T318" s="382">
        <v>507</v>
      </c>
      <c r="U318" s="382">
        <v>141.24</v>
      </c>
      <c r="V318" s="382">
        <v>181</v>
      </c>
      <c r="W318" s="382">
        <v>142.27000000000001</v>
      </c>
      <c r="X318" s="382">
        <v>25</v>
      </c>
      <c r="Y318" s="382">
        <v>0</v>
      </c>
      <c r="Z318" s="382">
        <v>4</v>
      </c>
      <c r="AA318" s="382">
        <v>28</v>
      </c>
      <c r="AB318" s="382">
        <v>40</v>
      </c>
      <c r="AC318" s="382">
        <v>3</v>
      </c>
      <c r="AD318" s="386">
        <v>4018</v>
      </c>
      <c r="AE318" s="386">
        <v>19</v>
      </c>
      <c r="AF318" s="386">
        <v>3</v>
      </c>
      <c r="AG318" s="386">
        <v>22</v>
      </c>
    </row>
    <row r="319" spans="1:33" x14ac:dyDescent="0.25">
      <c r="A319" s="381" t="s">
        <v>694</v>
      </c>
      <c r="B319" s="387" t="s">
        <v>695</v>
      </c>
      <c r="C319" s="383">
        <v>7773</v>
      </c>
      <c r="D319" s="383">
        <v>7</v>
      </c>
      <c r="E319" s="383">
        <v>102</v>
      </c>
      <c r="F319" s="383">
        <v>899</v>
      </c>
      <c r="G319" s="383">
        <v>574</v>
      </c>
      <c r="H319" s="383">
        <v>9355</v>
      </c>
      <c r="I319" s="382">
        <v>8781</v>
      </c>
      <c r="J319" s="382">
        <v>0</v>
      </c>
      <c r="K319" s="384">
        <v>93.54</v>
      </c>
      <c r="L319" s="384">
        <v>91.77</v>
      </c>
      <c r="M319" s="384">
        <v>3.99</v>
      </c>
      <c r="N319" s="384">
        <v>95.65</v>
      </c>
      <c r="O319" s="385">
        <v>6654</v>
      </c>
      <c r="P319" s="382">
        <v>98.67</v>
      </c>
      <c r="Q319" s="382">
        <v>85.92</v>
      </c>
      <c r="R319" s="382">
        <v>37.35</v>
      </c>
      <c r="S319" s="382">
        <v>135.97</v>
      </c>
      <c r="T319" s="382">
        <v>925</v>
      </c>
      <c r="U319" s="382">
        <v>115.22</v>
      </c>
      <c r="V319" s="382">
        <v>1109</v>
      </c>
      <c r="W319" s="382">
        <v>224.41</v>
      </c>
      <c r="X319" s="382">
        <v>76</v>
      </c>
      <c r="Y319" s="382">
        <v>0</v>
      </c>
      <c r="Z319" s="382">
        <v>9</v>
      </c>
      <c r="AA319" s="382">
        <v>9</v>
      </c>
      <c r="AB319" s="382">
        <v>83</v>
      </c>
      <c r="AC319" s="382">
        <v>10</v>
      </c>
      <c r="AD319" s="386">
        <v>7773</v>
      </c>
      <c r="AE319" s="386">
        <v>27</v>
      </c>
      <c r="AF319" s="386">
        <v>10</v>
      </c>
      <c r="AG319" s="386">
        <v>37</v>
      </c>
    </row>
    <row r="320" spans="1:33" x14ac:dyDescent="0.25">
      <c r="A320" s="382" t="s">
        <v>696</v>
      </c>
      <c r="B320" s="383" t="s">
        <v>697</v>
      </c>
      <c r="C320" s="387">
        <v>3182</v>
      </c>
      <c r="D320" s="387">
        <v>0</v>
      </c>
      <c r="E320" s="387">
        <v>260</v>
      </c>
      <c r="F320" s="387">
        <v>375</v>
      </c>
      <c r="G320" s="387">
        <v>195</v>
      </c>
      <c r="H320" s="387">
        <v>4012</v>
      </c>
      <c r="I320" s="381">
        <v>3817</v>
      </c>
      <c r="J320" s="381">
        <v>63</v>
      </c>
      <c r="K320" s="390">
        <v>85.07</v>
      </c>
      <c r="L320" s="390">
        <v>85.25</v>
      </c>
      <c r="M320" s="390">
        <v>4.1500000000000004</v>
      </c>
      <c r="N320" s="390">
        <v>87.49</v>
      </c>
      <c r="O320" s="391">
        <v>2871</v>
      </c>
      <c r="P320" s="381">
        <v>97.89</v>
      </c>
      <c r="Q320" s="381">
        <v>83.02</v>
      </c>
      <c r="R320" s="381">
        <v>37.72</v>
      </c>
      <c r="S320" s="381">
        <v>135.41</v>
      </c>
      <c r="T320" s="381">
        <v>569</v>
      </c>
      <c r="U320" s="381">
        <v>103.85</v>
      </c>
      <c r="V320" s="381">
        <v>262</v>
      </c>
      <c r="W320" s="381">
        <v>0</v>
      </c>
      <c r="X320" s="381">
        <v>0</v>
      </c>
      <c r="Y320" s="381">
        <v>3</v>
      </c>
      <c r="Z320" s="381">
        <v>2</v>
      </c>
      <c r="AA320" s="381">
        <v>5</v>
      </c>
      <c r="AB320" s="381">
        <v>15</v>
      </c>
      <c r="AC320" s="381">
        <v>9</v>
      </c>
      <c r="AD320" s="392">
        <v>3147</v>
      </c>
      <c r="AE320" s="392">
        <v>14</v>
      </c>
      <c r="AF320" s="392">
        <v>32</v>
      </c>
      <c r="AG320" s="392">
        <v>46</v>
      </c>
    </row>
    <row r="321" spans="1:33" x14ac:dyDescent="0.25">
      <c r="A321" s="381" t="s">
        <v>698</v>
      </c>
      <c r="B321" s="387" t="s">
        <v>699</v>
      </c>
      <c r="C321" s="387">
        <v>4429</v>
      </c>
      <c r="D321" s="387">
        <v>0</v>
      </c>
      <c r="E321" s="387">
        <v>2197</v>
      </c>
      <c r="F321" s="387">
        <v>58</v>
      </c>
      <c r="G321" s="387">
        <v>429</v>
      </c>
      <c r="H321" s="387">
        <v>7113</v>
      </c>
      <c r="I321" s="381">
        <v>6684</v>
      </c>
      <c r="J321" s="381">
        <v>0</v>
      </c>
      <c r="K321" s="390">
        <v>87.52</v>
      </c>
      <c r="L321" s="390">
        <v>84.81</v>
      </c>
      <c r="M321" s="390">
        <v>4.43</v>
      </c>
      <c r="N321" s="390">
        <v>91.77</v>
      </c>
      <c r="O321" s="391">
        <v>4083</v>
      </c>
      <c r="P321" s="381">
        <v>84.24</v>
      </c>
      <c r="Q321" s="381">
        <v>78.19</v>
      </c>
      <c r="R321" s="381">
        <v>16.149999999999999</v>
      </c>
      <c r="S321" s="381">
        <v>100.37</v>
      </c>
      <c r="T321" s="381">
        <v>2136</v>
      </c>
      <c r="U321" s="381">
        <v>97.41</v>
      </c>
      <c r="V321" s="381">
        <v>310</v>
      </c>
      <c r="W321" s="381">
        <v>203.24</v>
      </c>
      <c r="X321" s="381">
        <v>115</v>
      </c>
      <c r="Y321" s="381">
        <v>0</v>
      </c>
      <c r="Z321" s="381">
        <v>9</v>
      </c>
      <c r="AA321" s="381">
        <v>1</v>
      </c>
      <c r="AB321" s="381">
        <v>68</v>
      </c>
      <c r="AC321" s="381">
        <v>21</v>
      </c>
      <c r="AD321" s="392">
        <v>4429</v>
      </c>
      <c r="AE321" s="392">
        <v>9</v>
      </c>
      <c r="AF321" s="392">
        <v>29</v>
      </c>
      <c r="AG321" s="392">
        <v>38</v>
      </c>
    </row>
    <row r="322" spans="1:33" x14ac:dyDescent="0.25">
      <c r="A322" s="381" t="s">
        <v>700</v>
      </c>
      <c r="B322" s="387" t="s">
        <v>701</v>
      </c>
      <c r="C322" s="387">
        <v>3910</v>
      </c>
      <c r="D322" s="387">
        <v>10</v>
      </c>
      <c r="E322" s="387">
        <v>356</v>
      </c>
      <c r="F322" s="387">
        <v>697</v>
      </c>
      <c r="G322" s="387">
        <v>419</v>
      </c>
      <c r="H322" s="387">
        <v>5392</v>
      </c>
      <c r="I322" s="381">
        <v>4973</v>
      </c>
      <c r="J322" s="381">
        <v>7</v>
      </c>
      <c r="K322" s="390">
        <v>92.33</v>
      </c>
      <c r="L322" s="390">
        <v>90.92</v>
      </c>
      <c r="M322" s="390">
        <v>7.13</v>
      </c>
      <c r="N322" s="390">
        <v>95.65</v>
      </c>
      <c r="O322" s="391">
        <v>3015</v>
      </c>
      <c r="P322" s="381">
        <v>84.68</v>
      </c>
      <c r="Q322" s="381">
        <v>74.599999999999994</v>
      </c>
      <c r="R322" s="381">
        <v>26.33</v>
      </c>
      <c r="S322" s="381">
        <v>110.13</v>
      </c>
      <c r="T322" s="381">
        <v>684</v>
      </c>
      <c r="U322" s="381">
        <v>107.35</v>
      </c>
      <c r="V322" s="381">
        <v>463</v>
      </c>
      <c r="W322" s="381">
        <v>0</v>
      </c>
      <c r="X322" s="381">
        <v>0</v>
      </c>
      <c r="Y322" s="381">
        <v>0</v>
      </c>
      <c r="Z322" s="381">
        <v>2</v>
      </c>
      <c r="AA322" s="381">
        <v>8</v>
      </c>
      <c r="AB322" s="381">
        <v>11</v>
      </c>
      <c r="AC322" s="381">
        <v>6</v>
      </c>
      <c r="AD322" s="392">
        <v>3583</v>
      </c>
      <c r="AE322" s="392">
        <v>14</v>
      </c>
      <c r="AF322" s="392">
        <v>7</v>
      </c>
      <c r="AG322" s="392">
        <v>21</v>
      </c>
    </row>
  </sheetData>
  <pageMargins left="0.7" right="0.7" top="0.75" bottom="0.75" header="0.3" footer="0.3"/>
  <pageSetup paperSize="9" orientation="portrait" r:id="rId1"/>
  <headerFooter>
    <oddFooter>&amp;C&amp;1#&amp;"Calibri"&amp;12&amp;K0078D7OFFICIAL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1A957-ECFC-4120-8FB8-6B9BD80AE845}">
  <sheetPr codeName="Sheet7">
    <tabColor rgb="FFFFFF00"/>
  </sheetPr>
  <dimension ref="A1:BD322"/>
  <sheetViews>
    <sheetView zoomScale="80" zoomScaleNormal="80" workbookViewId="0">
      <selection activeCell="F10" sqref="F10"/>
    </sheetView>
  </sheetViews>
  <sheetFormatPr defaultColWidth="9.1796875" defaultRowHeight="14.5" x14ac:dyDescent="0.35"/>
  <cols>
    <col min="1" max="8" width="9.1796875" style="164"/>
    <col min="9" max="10" width="10.453125" style="164" customWidth="1"/>
    <col min="11" max="11" width="10.453125" style="164" bestFit="1" customWidth="1"/>
    <col min="12" max="33" width="9.1796875" style="164"/>
    <col min="57" max="16384" width="9.1796875" style="164"/>
  </cols>
  <sheetData>
    <row r="1" spans="1:33" s="163" customFormat="1" ht="13" x14ac:dyDescent="0.3">
      <c r="A1" s="153"/>
      <c r="B1" s="153"/>
      <c r="C1" s="154" t="s">
        <v>42</v>
      </c>
      <c r="D1" s="154" t="s">
        <v>42</v>
      </c>
      <c r="E1" s="154" t="s">
        <v>42</v>
      </c>
      <c r="F1" s="154" t="s">
        <v>42</v>
      </c>
      <c r="G1" s="154" t="s">
        <v>42</v>
      </c>
      <c r="H1" s="154" t="s">
        <v>42</v>
      </c>
      <c r="I1" s="155" t="s">
        <v>43</v>
      </c>
      <c r="J1" s="155" t="s">
        <v>43</v>
      </c>
      <c r="K1" s="156" t="s">
        <v>44</v>
      </c>
      <c r="L1" s="156" t="s">
        <v>44</v>
      </c>
      <c r="M1" s="156" t="s">
        <v>44</v>
      </c>
      <c r="N1" s="157" t="s">
        <v>44</v>
      </c>
      <c r="O1" s="156" t="s">
        <v>44</v>
      </c>
      <c r="P1" s="158" t="s">
        <v>45</v>
      </c>
      <c r="Q1" s="158" t="s">
        <v>45</v>
      </c>
      <c r="R1" s="158" t="s">
        <v>45</v>
      </c>
      <c r="S1" s="158" t="s">
        <v>45</v>
      </c>
      <c r="T1" s="158" t="s">
        <v>45</v>
      </c>
      <c r="U1" s="159" t="s">
        <v>46</v>
      </c>
      <c r="V1" s="159" t="s">
        <v>46</v>
      </c>
      <c r="W1" s="160" t="s">
        <v>47</v>
      </c>
      <c r="X1" s="160" t="s">
        <v>47</v>
      </c>
      <c r="Y1" s="161" t="s">
        <v>48</v>
      </c>
      <c r="Z1" s="161" t="s">
        <v>48</v>
      </c>
      <c r="AA1" s="161" t="s">
        <v>48</v>
      </c>
      <c r="AB1" s="161" t="s">
        <v>48</v>
      </c>
      <c r="AC1" s="161" t="s">
        <v>48</v>
      </c>
      <c r="AD1" s="162" t="s">
        <v>49</v>
      </c>
      <c r="AE1" s="162" t="s">
        <v>49</v>
      </c>
      <c r="AF1" s="162" t="s">
        <v>49</v>
      </c>
      <c r="AG1" s="162" t="s">
        <v>49</v>
      </c>
    </row>
    <row r="2" spans="1:33" x14ac:dyDescent="0.35">
      <c r="B2" s="165">
        <v>1</v>
      </c>
      <c r="C2" s="165">
        <v>2</v>
      </c>
      <c r="D2" s="165">
        <v>3</v>
      </c>
      <c r="E2" s="165">
        <v>4</v>
      </c>
      <c r="F2" s="165">
        <v>5</v>
      </c>
      <c r="G2" s="165">
        <v>6</v>
      </c>
      <c r="H2" s="165">
        <v>7</v>
      </c>
      <c r="I2" s="165">
        <v>8</v>
      </c>
      <c r="J2" s="165">
        <v>9</v>
      </c>
      <c r="K2" s="165">
        <v>10</v>
      </c>
      <c r="L2" s="165">
        <v>11</v>
      </c>
      <c r="M2" s="165">
        <v>12</v>
      </c>
      <c r="N2" s="165">
        <v>13</v>
      </c>
      <c r="O2" s="165">
        <v>14</v>
      </c>
      <c r="P2" s="165">
        <v>15</v>
      </c>
      <c r="Q2" s="165">
        <v>16</v>
      </c>
      <c r="R2" s="165">
        <v>17</v>
      </c>
      <c r="S2" s="165">
        <v>18</v>
      </c>
      <c r="T2" s="165">
        <v>19</v>
      </c>
      <c r="U2" s="165">
        <v>20</v>
      </c>
      <c r="V2" s="165">
        <v>21</v>
      </c>
      <c r="W2" s="165">
        <v>22</v>
      </c>
      <c r="X2" s="165">
        <v>23</v>
      </c>
      <c r="Y2" s="165">
        <v>24</v>
      </c>
      <c r="Z2" s="165">
        <v>25</v>
      </c>
      <c r="AA2" s="165">
        <v>26</v>
      </c>
      <c r="AB2" s="165">
        <v>27</v>
      </c>
      <c r="AC2" s="165">
        <v>28</v>
      </c>
      <c r="AD2" s="165">
        <v>29</v>
      </c>
      <c r="AE2" s="165">
        <v>30</v>
      </c>
      <c r="AF2" s="165">
        <v>31</v>
      </c>
      <c r="AG2" s="165">
        <v>32</v>
      </c>
    </row>
    <row r="3" spans="1:33" ht="88.5" x14ac:dyDescent="0.35">
      <c r="A3" s="164" t="s">
        <v>50</v>
      </c>
      <c r="B3" s="164" t="s">
        <v>51</v>
      </c>
      <c r="C3" s="166" t="s">
        <v>52</v>
      </c>
      <c r="D3" s="166" t="s">
        <v>53</v>
      </c>
      <c r="E3" s="166" t="s">
        <v>54</v>
      </c>
      <c r="F3" s="166" t="s">
        <v>55</v>
      </c>
      <c r="G3" s="166" t="s">
        <v>56</v>
      </c>
      <c r="H3" s="166" t="s">
        <v>57</v>
      </c>
      <c r="I3" s="167" t="s">
        <v>58</v>
      </c>
      <c r="J3" s="167" t="s">
        <v>59</v>
      </c>
      <c r="K3" s="168" t="s">
        <v>60</v>
      </c>
      <c r="L3" s="168" t="s">
        <v>61</v>
      </c>
      <c r="M3" s="168" t="s">
        <v>62</v>
      </c>
      <c r="N3" s="169" t="s">
        <v>63</v>
      </c>
      <c r="O3" s="168" t="s">
        <v>64</v>
      </c>
      <c r="P3" s="170" t="s">
        <v>65</v>
      </c>
      <c r="Q3" s="170" t="s">
        <v>66</v>
      </c>
      <c r="R3" s="170" t="s">
        <v>62</v>
      </c>
      <c r="S3" s="170" t="s">
        <v>67</v>
      </c>
      <c r="T3" s="170" t="s">
        <v>68</v>
      </c>
      <c r="U3" s="171" t="s">
        <v>69</v>
      </c>
      <c r="V3" s="171" t="s">
        <v>70</v>
      </c>
      <c r="W3" s="172" t="s">
        <v>71</v>
      </c>
      <c r="X3" s="172" t="s">
        <v>72</v>
      </c>
      <c r="Y3" s="173" t="s">
        <v>73</v>
      </c>
      <c r="Z3" s="173" t="s">
        <v>74</v>
      </c>
      <c r="AA3" s="173" t="s">
        <v>75</v>
      </c>
      <c r="AB3" s="173" t="s">
        <v>76</v>
      </c>
      <c r="AC3" s="173" t="s">
        <v>77</v>
      </c>
      <c r="AD3" s="174" t="s">
        <v>78</v>
      </c>
      <c r="AE3" s="174" t="s">
        <v>79</v>
      </c>
      <c r="AF3" s="174" t="s">
        <v>80</v>
      </c>
      <c r="AG3" s="174" t="s">
        <v>81</v>
      </c>
    </row>
    <row r="4" spans="1:33" x14ac:dyDescent="0.35">
      <c r="A4" s="381" t="s">
        <v>15</v>
      </c>
      <c r="B4" s="381" t="s">
        <v>15</v>
      </c>
      <c r="C4" s="382">
        <v>2173113</v>
      </c>
      <c r="D4" s="382">
        <v>9633</v>
      </c>
      <c r="E4" s="382">
        <v>140458</v>
      </c>
      <c r="F4" s="382">
        <v>260004</v>
      </c>
      <c r="G4" s="382">
        <v>194670</v>
      </c>
      <c r="H4" s="383">
        <v>2777878</v>
      </c>
      <c r="I4" s="382">
        <v>2583208</v>
      </c>
      <c r="J4" s="382">
        <v>7788</v>
      </c>
      <c r="K4" s="384">
        <v>94.25</v>
      </c>
      <c r="L4" s="384">
        <v>93.8</v>
      </c>
      <c r="M4" s="384">
        <v>7.07</v>
      </c>
      <c r="N4" s="384">
        <v>98.49</v>
      </c>
      <c r="O4" s="385">
        <v>1835331</v>
      </c>
      <c r="P4" s="382">
        <v>90.81</v>
      </c>
      <c r="Q4" s="382">
        <v>86.22</v>
      </c>
      <c r="R4" s="382">
        <v>43.17</v>
      </c>
      <c r="S4" s="382">
        <v>131.75</v>
      </c>
      <c r="T4" s="382">
        <v>334761</v>
      </c>
      <c r="U4" s="382">
        <v>128.62</v>
      </c>
      <c r="V4" s="382">
        <v>254218</v>
      </c>
      <c r="W4" s="382">
        <v>172.58</v>
      </c>
      <c r="X4" s="382">
        <v>14553</v>
      </c>
      <c r="Y4" s="382">
        <v>5109</v>
      </c>
      <c r="Z4" s="382">
        <v>5951</v>
      </c>
      <c r="AA4" s="382">
        <v>2792</v>
      </c>
      <c r="AB4" s="382">
        <v>12396</v>
      </c>
      <c r="AC4" s="382">
        <v>4424</v>
      </c>
      <c r="AD4" s="386">
        <v>2115391</v>
      </c>
      <c r="AE4" s="382">
        <v>16888</v>
      </c>
      <c r="AF4" s="382">
        <v>13840</v>
      </c>
      <c r="AG4" s="382">
        <v>30728</v>
      </c>
    </row>
    <row r="5" spans="1:33" x14ac:dyDescent="0.35">
      <c r="A5" s="387" t="s">
        <v>82</v>
      </c>
      <c r="B5" s="387" t="s">
        <v>82</v>
      </c>
      <c r="C5" s="383">
        <v>115392</v>
      </c>
      <c r="D5" s="383">
        <v>477</v>
      </c>
      <c r="E5" s="383">
        <v>8775</v>
      </c>
      <c r="F5" s="383">
        <v>22302</v>
      </c>
      <c r="G5" s="383">
        <v>14223</v>
      </c>
      <c r="H5" s="383">
        <v>161169</v>
      </c>
      <c r="I5" s="382">
        <v>146946</v>
      </c>
      <c r="J5" s="382">
        <v>463</v>
      </c>
      <c r="K5" s="384">
        <v>86.61</v>
      </c>
      <c r="L5" s="384">
        <v>86.02</v>
      </c>
      <c r="M5" s="384">
        <v>5.09</v>
      </c>
      <c r="N5" s="384">
        <v>89.91</v>
      </c>
      <c r="O5" s="385">
        <v>95498</v>
      </c>
      <c r="P5" s="382">
        <v>87.22</v>
      </c>
      <c r="Q5" s="382">
        <v>81.3</v>
      </c>
      <c r="R5" s="382">
        <v>41.6</v>
      </c>
      <c r="S5" s="382">
        <v>126.89</v>
      </c>
      <c r="T5" s="382">
        <v>27543</v>
      </c>
      <c r="U5" s="382">
        <v>104.89</v>
      </c>
      <c r="V5" s="382">
        <v>15517</v>
      </c>
      <c r="W5" s="382">
        <v>174.97</v>
      </c>
      <c r="X5" s="382">
        <v>702</v>
      </c>
      <c r="Y5" s="382">
        <v>78</v>
      </c>
      <c r="Z5" s="382">
        <v>642</v>
      </c>
      <c r="AA5" s="382">
        <v>151</v>
      </c>
      <c r="AB5" s="382">
        <v>1033</v>
      </c>
      <c r="AC5" s="382">
        <v>255</v>
      </c>
      <c r="AD5" s="386">
        <v>112953</v>
      </c>
      <c r="AE5" s="382">
        <v>1108</v>
      </c>
      <c r="AF5" s="382">
        <v>558</v>
      </c>
      <c r="AG5" s="382">
        <v>1666</v>
      </c>
    </row>
    <row r="6" spans="1:33" x14ac:dyDescent="0.35">
      <c r="A6" s="387" t="s">
        <v>83</v>
      </c>
      <c r="B6" s="387" t="s">
        <v>83</v>
      </c>
      <c r="C6" s="383">
        <v>220952</v>
      </c>
      <c r="D6" s="383">
        <v>1615</v>
      </c>
      <c r="E6" s="383">
        <v>11778</v>
      </c>
      <c r="F6" s="383">
        <v>27979</v>
      </c>
      <c r="G6" s="383">
        <v>21529</v>
      </c>
      <c r="H6" s="383">
        <v>283853</v>
      </c>
      <c r="I6" s="382">
        <v>262324</v>
      </c>
      <c r="J6" s="382">
        <v>1154</v>
      </c>
      <c r="K6" s="384">
        <v>98.35</v>
      </c>
      <c r="L6" s="384">
        <v>98.39</v>
      </c>
      <c r="M6" s="384">
        <v>6.27</v>
      </c>
      <c r="N6" s="384">
        <v>101.58</v>
      </c>
      <c r="O6" s="385">
        <v>184562</v>
      </c>
      <c r="P6" s="382">
        <v>92.73</v>
      </c>
      <c r="Q6" s="382">
        <v>88.38</v>
      </c>
      <c r="R6" s="382">
        <v>37.119999999999997</v>
      </c>
      <c r="S6" s="382">
        <v>128.62</v>
      </c>
      <c r="T6" s="382">
        <v>34498</v>
      </c>
      <c r="U6" s="382">
        <v>133.41999999999999</v>
      </c>
      <c r="V6" s="382">
        <v>30723</v>
      </c>
      <c r="W6" s="382">
        <v>168.59</v>
      </c>
      <c r="X6" s="382">
        <v>571</v>
      </c>
      <c r="Y6" s="382">
        <v>845</v>
      </c>
      <c r="Z6" s="382">
        <v>227</v>
      </c>
      <c r="AA6" s="382">
        <v>178</v>
      </c>
      <c r="AB6" s="382">
        <v>1654</v>
      </c>
      <c r="AC6" s="382">
        <v>334</v>
      </c>
      <c r="AD6" s="386">
        <v>219194</v>
      </c>
      <c r="AE6" s="382">
        <v>1497</v>
      </c>
      <c r="AF6" s="382">
        <v>1230</v>
      </c>
      <c r="AG6" s="382">
        <v>2727</v>
      </c>
    </row>
    <row r="7" spans="1:33" x14ac:dyDescent="0.35">
      <c r="A7" s="387" t="s">
        <v>84</v>
      </c>
      <c r="B7" s="387" t="s">
        <v>84</v>
      </c>
      <c r="C7" s="383">
        <v>357760</v>
      </c>
      <c r="D7" s="383">
        <v>4442</v>
      </c>
      <c r="E7" s="383">
        <v>26130</v>
      </c>
      <c r="F7" s="383">
        <v>27740</v>
      </c>
      <c r="G7" s="383">
        <v>48444</v>
      </c>
      <c r="H7" s="383">
        <v>464516</v>
      </c>
      <c r="I7" s="382">
        <v>416072</v>
      </c>
      <c r="J7" s="382">
        <v>1487</v>
      </c>
      <c r="K7" s="384">
        <v>120.7</v>
      </c>
      <c r="L7" s="384">
        <v>123.11</v>
      </c>
      <c r="M7" s="384">
        <v>12.8</v>
      </c>
      <c r="N7" s="384">
        <v>129.91</v>
      </c>
      <c r="O7" s="385">
        <v>293142</v>
      </c>
      <c r="P7" s="382">
        <v>109.67</v>
      </c>
      <c r="Q7" s="382">
        <v>106.99</v>
      </c>
      <c r="R7" s="382">
        <v>52.87</v>
      </c>
      <c r="S7" s="382">
        <v>157.59</v>
      </c>
      <c r="T7" s="382">
        <v>42538</v>
      </c>
      <c r="U7" s="382">
        <v>191.11</v>
      </c>
      <c r="V7" s="382">
        <v>34054</v>
      </c>
      <c r="W7" s="382">
        <v>209</v>
      </c>
      <c r="X7" s="382">
        <v>1370</v>
      </c>
      <c r="Y7" s="382">
        <v>481</v>
      </c>
      <c r="Z7" s="382">
        <v>106</v>
      </c>
      <c r="AA7" s="382">
        <v>531</v>
      </c>
      <c r="AB7" s="382">
        <v>2359</v>
      </c>
      <c r="AC7" s="382">
        <v>1641</v>
      </c>
      <c r="AD7" s="386">
        <v>336462</v>
      </c>
      <c r="AE7" s="382">
        <v>2438</v>
      </c>
      <c r="AF7" s="382">
        <v>2198</v>
      </c>
      <c r="AG7" s="382">
        <v>4636</v>
      </c>
    </row>
    <row r="8" spans="1:33" x14ac:dyDescent="0.35">
      <c r="A8" s="387" t="s">
        <v>85</v>
      </c>
      <c r="B8" s="387" t="s">
        <v>85</v>
      </c>
      <c r="C8" s="383">
        <v>158775</v>
      </c>
      <c r="D8" s="383">
        <v>204</v>
      </c>
      <c r="E8" s="383">
        <v>6234</v>
      </c>
      <c r="F8" s="383">
        <v>16470</v>
      </c>
      <c r="G8" s="383">
        <v>3510</v>
      </c>
      <c r="H8" s="383">
        <v>185193</v>
      </c>
      <c r="I8" s="382">
        <v>181683</v>
      </c>
      <c r="J8" s="382">
        <v>144</v>
      </c>
      <c r="K8" s="384">
        <v>77.17</v>
      </c>
      <c r="L8" s="384">
        <v>76.34</v>
      </c>
      <c r="M8" s="384">
        <v>6.2</v>
      </c>
      <c r="N8" s="384">
        <v>79.13</v>
      </c>
      <c r="O8" s="385">
        <v>140118</v>
      </c>
      <c r="P8" s="382">
        <v>84.97</v>
      </c>
      <c r="Q8" s="382">
        <v>75.17</v>
      </c>
      <c r="R8" s="382">
        <v>48.62</v>
      </c>
      <c r="S8" s="382">
        <v>128.44999999999999</v>
      </c>
      <c r="T8" s="382">
        <v>18999</v>
      </c>
      <c r="U8" s="382">
        <v>94.71</v>
      </c>
      <c r="V8" s="382">
        <v>15390</v>
      </c>
      <c r="W8" s="382">
        <v>155.46</v>
      </c>
      <c r="X8" s="382">
        <v>2225</v>
      </c>
      <c r="Y8" s="382">
        <v>1166</v>
      </c>
      <c r="Z8" s="382">
        <v>595</v>
      </c>
      <c r="AA8" s="382">
        <v>55</v>
      </c>
      <c r="AB8" s="382">
        <v>314</v>
      </c>
      <c r="AC8" s="382">
        <v>58</v>
      </c>
      <c r="AD8" s="386">
        <v>155740</v>
      </c>
      <c r="AE8" s="382">
        <v>2190</v>
      </c>
      <c r="AF8" s="382">
        <v>1472</v>
      </c>
      <c r="AG8" s="382">
        <v>3662</v>
      </c>
    </row>
    <row r="9" spans="1:33" x14ac:dyDescent="0.35">
      <c r="A9" s="387" t="s">
        <v>86</v>
      </c>
      <c r="B9" s="387" t="s">
        <v>86</v>
      </c>
      <c r="C9" s="383">
        <v>431184</v>
      </c>
      <c r="D9" s="383">
        <v>314</v>
      </c>
      <c r="E9" s="383">
        <v>23250</v>
      </c>
      <c r="F9" s="383">
        <v>50943</v>
      </c>
      <c r="G9" s="383">
        <v>15415</v>
      </c>
      <c r="H9" s="383">
        <v>521106</v>
      </c>
      <c r="I9" s="382">
        <v>505691</v>
      </c>
      <c r="J9" s="382">
        <v>1017</v>
      </c>
      <c r="K9" s="384">
        <v>81.47</v>
      </c>
      <c r="L9" s="384">
        <v>80.72</v>
      </c>
      <c r="M9" s="384">
        <v>5.21</v>
      </c>
      <c r="N9" s="384">
        <v>84.39</v>
      </c>
      <c r="O9" s="385">
        <v>371344</v>
      </c>
      <c r="P9" s="382">
        <v>83.77</v>
      </c>
      <c r="Q9" s="382">
        <v>76.739999999999995</v>
      </c>
      <c r="R9" s="382">
        <v>38.42</v>
      </c>
      <c r="S9" s="382">
        <v>119.99</v>
      </c>
      <c r="T9" s="382">
        <v>65122</v>
      </c>
      <c r="U9" s="382">
        <v>102.53</v>
      </c>
      <c r="V9" s="382">
        <v>48867</v>
      </c>
      <c r="W9" s="382">
        <v>150.69999999999999</v>
      </c>
      <c r="X9" s="382">
        <v>2031</v>
      </c>
      <c r="Y9" s="382">
        <v>182</v>
      </c>
      <c r="Z9" s="382">
        <v>1936</v>
      </c>
      <c r="AA9" s="382">
        <v>224</v>
      </c>
      <c r="AB9" s="382">
        <v>1082</v>
      </c>
      <c r="AC9" s="382">
        <v>293</v>
      </c>
      <c r="AD9" s="386">
        <v>421199</v>
      </c>
      <c r="AE9" s="382">
        <v>3169</v>
      </c>
      <c r="AF9" s="382">
        <v>2825</v>
      </c>
      <c r="AG9" s="382">
        <v>5994</v>
      </c>
    </row>
    <row r="10" spans="1:33" x14ac:dyDescent="0.35">
      <c r="A10" s="387" t="s">
        <v>87</v>
      </c>
      <c r="B10" s="387" t="s">
        <v>87</v>
      </c>
      <c r="C10" s="383">
        <v>299318</v>
      </c>
      <c r="D10" s="383">
        <v>1048</v>
      </c>
      <c r="E10" s="383">
        <v>15703</v>
      </c>
      <c r="F10" s="383">
        <v>39128</v>
      </c>
      <c r="G10" s="383">
        <v>45210</v>
      </c>
      <c r="H10" s="383">
        <v>400407</v>
      </c>
      <c r="I10" s="382">
        <v>355197</v>
      </c>
      <c r="J10" s="382">
        <v>1952</v>
      </c>
      <c r="K10" s="384">
        <v>106.88</v>
      </c>
      <c r="L10" s="384">
        <v>105.2</v>
      </c>
      <c r="M10" s="384">
        <v>6.41</v>
      </c>
      <c r="N10" s="384">
        <v>110.85</v>
      </c>
      <c r="O10" s="385">
        <v>245700</v>
      </c>
      <c r="P10" s="382">
        <v>96.59</v>
      </c>
      <c r="Q10" s="382">
        <v>92.09</v>
      </c>
      <c r="R10" s="382">
        <v>37.01</v>
      </c>
      <c r="S10" s="382">
        <v>131.93</v>
      </c>
      <c r="T10" s="382">
        <v>43391</v>
      </c>
      <c r="U10" s="382">
        <v>153.12</v>
      </c>
      <c r="V10" s="382">
        <v>43083</v>
      </c>
      <c r="W10" s="382">
        <v>179.24</v>
      </c>
      <c r="X10" s="382">
        <v>2257</v>
      </c>
      <c r="Y10" s="382">
        <v>1065</v>
      </c>
      <c r="Z10" s="382">
        <v>186</v>
      </c>
      <c r="AA10" s="382">
        <v>325</v>
      </c>
      <c r="AB10" s="382">
        <v>2975</v>
      </c>
      <c r="AC10" s="382">
        <v>873</v>
      </c>
      <c r="AD10" s="386">
        <v>292227</v>
      </c>
      <c r="AE10" s="382">
        <v>2125</v>
      </c>
      <c r="AF10" s="382">
        <v>1400</v>
      </c>
      <c r="AG10" s="382">
        <v>3525</v>
      </c>
    </row>
    <row r="11" spans="1:33" x14ac:dyDescent="0.35">
      <c r="A11" s="387" t="s">
        <v>88</v>
      </c>
      <c r="B11" s="387" t="s">
        <v>88</v>
      </c>
      <c r="C11" s="383">
        <v>199243</v>
      </c>
      <c r="D11" s="383">
        <v>316</v>
      </c>
      <c r="E11" s="383">
        <v>14202</v>
      </c>
      <c r="F11" s="383">
        <v>30092</v>
      </c>
      <c r="G11" s="383">
        <v>21740</v>
      </c>
      <c r="H11" s="383">
        <v>265593</v>
      </c>
      <c r="I11" s="382">
        <v>243853</v>
      </c>
      <c r="J11" s="382">
        <v>640</v>
      </c>
      <c r="K11" s="384">
        <v>91.21</v>
      </c>
      <c r="L11" s="384">
        <v>89.8</v>
      </c>
      <c r="M11" s="384">
        <v>4.92</v>
      </c>
      <c r="N11" s="384">
        <v>94.57</v>
      </c>
      <c r="O11" s="385">
        <v>164787</v>
      </c>
      <c r="P11" s="382">
        <v>85.94</v>
      </c>
      <c r="Q11" s="382">
        <v>82.1</v>
      </c>
      <c r="R11" s="382">
        <v>33.58</v>
      </c>
      <c r="S11" s="382">
        <v>118.48</v>
      </c>
      <c r="T11" s="382">
        <v>37013</v>
      </c>
      <c r="U11" s="382">
        <v>121.67</v>
      </c>
      <c r="V11" s="382">
        <v>26030</v>
      </c>
      <c r="W11" s="382">
        <v>159.99</v>
      </c>
      <c r="X11" s="382">
        <v>1694</v>
      </c>
      <c r="Y11" s="382">
        <v>776</v>
      </c>
      <c r="Z11" s="382">
        <v>271</v>
      </c>
      <c r="AA11" s="382">
        <v>382</v>
      </c>
      <c r="AB11" s="382">
        <v>1492</v>
      </c>
      <c r="AC11" s="382">
        <v>437</v>
      </c>
      <c r="AD11" s="386">
        <v>192789</v>
      </c>
      <c r="AE11" s="382">
        <v>1126</v>
      </c>
      <c r="AF11" s="382">
        <v>1405</v>
      </c>
      <c r="AG11" s="382">
        <v>2531</v>
      </c>
    </row>
    <row r="12" spans="1:33" x14ac:dyDescent="0.35">
      <c r="A12" s="387" t="s">
        <v>89</v>
      </c>
      <c r="B12" s="387" t="s">
        <v>89</v>
      </c>
      <c r="C12" s="383">
        <v>221887</v>
      </c>
      <c r="D12" s="383">
        <v>1177</v>
      </c>
      <c r="E12" s="383">
        <v>22563</v>
      </c>
      <c r="F12" s="383">
        <v>27703</v>
      </c>
      <c r="G12" s="383">
        <v>16817</v>
      </c>
      <c r="H12" s="383">
        <v>290147</v>
      </c>
      <c r="I12" s="382">
        <v>273330</v>
      </c>
      <c r="J12" s="382">
        <v>280</v>
      </c>
      <c r="K12" s="384">
        <v>87.63</v>
      </c>
      <c r="L12" s="384">
        <v>86.75</v>
      </c>
      <c r="M12" s="384">
        <v>6.2</v>
      </c>
      <c r="N12" s="384">
        <v>91.82</v>
      </c>
      <c r="O12" s="385">
        <v>194233</v>
      </c>
      <c r="P12" s="382">
        <v>86.3</v>
      </c>
      <c r="Q12" s="382">
        <v>88.38</v>
      </c>
      <c r="R12" s="382">
        <v>59.95</v>
      </c>
      <c r="S12" s="382">
        <v>144.22999999999999</v>
      </c>
      <c r="T12" s="382">
        <v>40943</v>
      </c>
      <c r="U12" s="382">
        <v>109.44</v>
      </c>
      <c r="V12" s="382">
        <v>21506</v>
      </c>
      <c r="W12" s="382">
        <v>187.88</v>
      </c>
      <c r="X12" s="382">
        <v>2869</v>
      </c>
      <c r="Y12" s="382">
        <v>516</v>
      </c>
      <c r="Z12" s="382">
        <v>1484</v>
      </c>
      <c r="AA12" s="382">
        <v>615</v>
      </c>
      <c r="AB12" s="382">
        <v>816</v>
      </c>
      <c r="AC12" s="382">
        <v>365</v>
      </c>
      <c r="AD12" s="386">
        <v>218087</v>
      </c>
      <c r="AE12" s="382">
        <v>1830</v>
      </c>
      <c r="AF12" s="382">
        <v>1178</v>
      </c>
      <c r="AG12" s="382">
        <v>3008</v>
      </c>
    </row>
    <row r="13" spans="1:33" x14ac:dyDescent="0.35">
      <c r="A13" s="387" t="s">
        <v>792</v>
      </c>
      <c r="B13" s="387" t="s">
        <v>792</v>
      </c>
      <c r="C13" s="383">
        <v>168602</v>
      </c>
      <c r="D13" s="383">
        <v>40</v>
      </c>
      <c r="E13" s="383">
        <v>11823</v>
      </c>
      <c r="F13" s="383">
        <v>17647</v>
      </c>
      <c r="G13" s="383">
        <v>7782</v>
      </c>
      <c r="H13" s="383">
        <v>205894</v>
      </c>
      <c r="I13" s="382">
        <v>198112</v>
      </c>
      <c r="J13" s="382">
        <v>651</v>
      </c>
      <c r="K13" s="384">
        <v>80.88</v>
      </c>
      <c r="L13" s="384">
        <v>79.989999999999995</v>
      </c>
      <c r="M13" s="384">
        <v>5.48</v>
      </c>
      <c r="N13" s="384">
        <v>84.06</v>
      </c>
      <c r="O13" s="385">
        <v>145947</v>
      </c>
      <c r="P13" s="382">
        <v>87.3</v>
      </c>
      <c r="Q13" s="382">
        <v>78.14</v>
      </c>
      <c r="R13" s="382">
        <v>43.27</v>
      </c>
      <c r="S13" s="382">
        <v>129.47</v>
      </c>
      <c r="T13" s="382">
        <v>24714</v>
      </c>
      <c r="U13" s="382">
        <v>98.6</v>
      </c>
      <c r="V13" s="382">
        <v>19048</v>
      </c>
      <c r="W13" s="382">
        <v>167.34</v>
      </c>
      <c r="X13" s="382">
        <v>834</v>
      </c>
      <c r="Y13" s="382">
        <v>0</v>
      </c>
      <c r="Z13" s="382">
        <v>504</v>
      </c>
      <c r="AA13" s="382">
        <v>331</v>
      </c>
      <c r="AB13" s="382">
        <v>671</v>
      </c>
      <c r="AC13" s="382">
        <v>168</v>
      </c>
      <c r="AD13" s="386">
        <v>166740</v>
      </c>
      <c r="AE13" s="382">
        <v>1405</v>
      </c>
      <c r="AF13" s="382">
        <v>1574</v>
      </c>
      <c r="AG13" s="382">
        <v>2979</v>
      </c>
    </row>
    <row r="14" spans="1:33" x14ac:dyDescent="0.35">
      <c r="A14" s="381" t="s">
        <v>90</v>
      </c>
      <c r="B14" s="387" t="s">
        <v>91</v>
      </c>
      <c r="C14" s="383">
        <v>876</v>
      </c>
      <c r="D14" s="383">
        <v>0</v>
      </c>
      <c r="E14" s="383">
        <v>76</v>
      </c>
      <c r="F14" s="383">
        <v>149</v>
      </c>
      <c r="G14" s="383">
        <v>189</v>
      </c>
      <c r="H14" s="383">
        <v>1290</v>
      </c>
      <c r="I14" s="382">
        <v>1101</v>
      </c>
      <c r="J14" s="382">
        <v>13</v>
      </c>
      <c r="K14" s="384">
        <v>110.93</v>
      </c>
      <c r="L14" s="384">
        <v>107.67</v>
      </c>
      <c r="M14" s="384">
        <v>5.56</v>
      </c>
      <c r="N14" s="384">
        <v>115.36</v>
      </c>
      <c r="O14" s="385">
        <v>730</v>
      </c>
      <c r="P14" s="382">
        <v>83.84</v>
      </c>
      <c r="Q14" s="382">
        <v>81.83</v>
      </c>
      <c r="R14" s="382">
        <v>35.9</v>
      </c>
      <c r="S14" s="382">
        <v>119.54</v>
      </c>
      <c r="T14" s="382">
        <v>179</v>
      </c>
      <c r="U14" s="382">
        <v>155.26</v>
      </c>
      <c r="V14" s="382">
        <v>118</v>
      </c>
      <c r="W14" s="382">
        <v>145.5</v>
      </c>
      <c r="X14" s="382">
        <v>23</v>
      </c>
      <c r="Y14" s="382">
        <v>0</v>
      </c>
      <c r="Z14" s="382">
        <v>1</v>
      </c>
      <c r="AA14" s="382">
        <v>0</v>
      </c>
      <c r="AB14" s="382">
        <v>9</v>
      </c>
      <c r="AC14" s="382">
        <v>3</v>
      </c>
      <c r="AD14" s="386">
        <v>855</v>
      </c>
      <c r="AE14" s="386">
        <v>0</v>
      </c>
      <c r="AF14" s="386">
        <v>25</v>
      </c>
      <c r="AG14" s="386">
        <v>25</v>
      </c>
    </row>
    <row r="15" spans="1:33" x14ac:dyDescent="0.35">
      <c r="A15" s="381" t="s">
        <v>92</v>
      </c>
      <c r="B15" s="387" t="s">
        <v>93</v>
      </c>
      <c r="C15" s="383">
        <v>8306</v>
      </c>
      <c r="D15" s="383">
        <v>4</v>
      </c>
      <c r="E15" s="383">
        <v>146</v>
      </c>
      <c r="F15" s="383">
        <v>404</v>
      </c>
      <c r="G15" s="383">
        <v>121</v>
      </c>
      <c r="H15" s="383">
        <v>8981</v>
      </c>
      <c r="I15" s="382">
        <v>8860</v>
      </c>
      <c r="J15" s="382">
        <v>2</v>
      </c>
      <c r="K15" s="384">
        <v>84.53</v>
      </c>
      <c r="L15" s="384">
        <v>81.349999999999994</v>
      </c>
      <c r="M15" s="384">
        <v>2.4</v>
      </c>
      <c r="N15" s="384">
        <v>86.52</v>
      </c>
      <c r="O15" s="385">
        <v>7286</v>
      </c>
      <c r="P15" s="382">
        <v>81.02</v>
      </c>
      <c r="Q15" s="382">
        <v>73.099999999999994</v>
      </c>
      <c r="R15" s="382">
        <v>41.63</v>
      </c>
      <c r="S15" s="382">
        <v>119.73</v>
      </c>
      <c r="T15" s="382">
        <v>470</v>
      </c>
      <c r="U15" s="382">
        <v>103.45</v>
      </c>
      <c r="V15" s="382">
        <v>466</v>
      </c>
      <c r="W15" s="382">
        <v>128.37</v>
      </c>
      <c r="X15" s="382">
        <v>49</v>
      </c>
      <c r="Y15" s="382">
        <v>0</v>
      </c>
      <c r="Z15" s="382">
        <v>2</v>
      </c>
      <c r="AA15" s="382">
        <v>1</v>
      </c>
      <c r="AB15" s="382">
        <v>4</v>
      </c>
      <c r="AC15" s="382">
        <v>0</v>
      </c>
      <c r="AD15" s="386">
        <v>7616</v>
      </c>
      <c r="AE15" s="386">
        <v>93</v>
      </c>
      <c r="AF15" s="386">
        <v>64</v>
      </c>
      <c r="AG15" s="386">
        <v>157</v>
      </c>
    </row>
    <row r="16" spans="1:33" x14ac:dyDescent="0.35">
      <c r="A16" s="381" t="s">
        <v>94</v>
      </c>
      <c r="B16" s="387" t="s">
        <v>95</v>
      </c>
      <c r="C16" s="383">
        <v>4675</v>
      </c>
      <c r="D16" s="383">
        <v>0</v>
      </c>
      <c r="E16" s="383">
        <v>167</v>
      </c>
      <c r="F16" s="383">
        <v>2434</v>
      </c>
      <c r="G16" s="383">
        <v>215</v>
      </c>
      <c r="H16" s="383">
        <v>7491</v>
      </c>
      <c r="I16" s="382">
        <v>7276</v>
      </c>
      <c r="J16" s="382">
        <v>1</v>
      </c>
      <c r="K16" s="384">
        <v>87.76</v>
      </c>
      <c r="L16" s="384">
        <v>87.35</v>
      </c>
      <c r="M16" s="384">
        <v>2.41</v>
      </c>
      <c r="N16" s="384">
        <v>89.96</v>
      </c>
      <c r="O16" s="385">
        <v>4292</v>
      </c>
      <c r="P16" s="382">
        <v>82.34</v>
      </c>
      <c r="Q16" s="382">
        <v>84.81</v>
      </c>
      <c r="R16" s="382">
        <v>9.3800000000000008</v>
      </c>
      <c r="S16" s="382">
        <v>91.66</v>
      </c>
      <c r="T16" s="382">
        <v>2548</v>
      </c>
      <c r="U16" s="382">
        <v>100.48</v>
      </c>
      <c r="V16" s="382">
        <v>375</v>
      </c>
      <c r="W16" s="382">
        <v>0</v>
      </c>
      <c r="X16" s="382">
        <v>0</v>
      </c>
      <c r="Y16" s="382">
        <v>0</v>
      </c>
      <c r="Z16" s="382">
        <v>40</v>
      </c>
      <c r="AA16" s="382">
        <v>5</v>
      </c>
      <c r="AB16" s="382">
        <v>0</v>
      </c>
      <c r="AC16" s="382">
        <v>4</v>
      </c>
      <c r="AD16" s="386">
        <v>4648</v>
      </c>
      <c r="AE16" s="386">
        <v>39</v>
      </c>
      <c r="AF16" s="386">
        <v>1</v>
      </c>
      <c r="AG16" s="386">
        <v>40</v>
      </c>
    </row>
    <row r="17" spans="1:33" x14ac:dyDescent="0.35">
      <c r="A17" s="381" t="s">
        <v>96</v>
      </c>
      <c r="B17" s="387" t="s">
        <v>97</v>
      </c>
      <c r="C17" s="383">
        <v>2979</v>
      </c>
      <c r="D17" s="383">
        <v>1</v>
      </c>
      <c r="E17" s="383">
        <v>231</v>
      </c>
      <c r="F17" s="383">
        <v>336</v>
      </c>
      <c r="G17" s="383">
        <v>628</v>
      </c>
      <c r="H17" s="383">
        <v>4175</v>
      </c>
      <c r="I17" s="382">
        <v>3547</v>
      </c>
      <c r="J17" s="382">
        <v>4</v>
      </c>
      <c r="K17" s="384">
        <v>107.39</v>
      </c>
      <c r="L17" s="384">
        <v>105.09</v>
      </c>
      <c r="M17" s="384">
        <v>5.52</v>
      </c>
      <c r="N17" s="384">
        <v>111.89</v>
      </c>
      <c r="O17" s="385">
        <v>2191</v>
      </c>
      <c r="P17" s="382">
        <v>92.61</v>
      </c>
      <c r="Q17" s="382">
        <v>87.13</v>
      </c>
      <c r="R17" s="382">
        <v>50.96</v>
      </c>
      <c r="S17" s="382">
        <v>142.41999999999999</v>
      </c>
      <c r="T17" s="382">
        <v>399</v>
      </c>
      <c r="U17" s="382">
        <v>151.24</v>
      </c>
      <c r="V17" s="382">
        <v>727</v>
      </c>
      <c r="W17" s="382">
        <v>0</v>
      </c>
      <c r="X17" s="382">
        <v>0</v>
      </c>
      <c r="Y17" s="382">
        <v>160</v>
      </c>
      <c r="Z17" s="382">
        <v>0</v>
      </c>
      <c r="AA17" s="382">
        <v>9</v>
      </c>
      <c r="AB17" s="382">
        <v>33</v>
      </c>
      <c r="AC17" s="382">
        <v>6</v>
      </c>
      <c r="AD17" s="386">
        <v>2977</v>
      </c>
      <c r="AE17" s="386">
        <v>12</v>
      </c>
      <c r="AF17" s="386">
        <v>8</v>
      </c>
      <c r="AG17" s="386">
        <v>20</v>
      </c>
    </row>
    <row r="18" spans="1:33" x14ac:dyDescent="0.35">
      <c r="A18" s="381" t="s">
        <v>98</v>
      </c>
      <c r="B18" s="387" t="s">
        <v>99</v>
      </c>
      <c r="C18" s="383">
        <v>1619</v>
      </c>
      <c r="D18" s="383">
        <v>0</v>
      </c>
      <c r="E18" s="383">
        <v>178</v>
      </c>
      <c r="F18" s="383">
        <v>284</v>
      </c>
      <c r="G18" s="383">
        <v>168</v>
      </c>
      <c r="H18" s="383">
        <v>2249</v>
      </c>
      <c r="I18" s="382">
        <v>2081</v>
      </c>
      <c r="J18" s="382">
        <v>0</v>
      </c>
      <c r="K18" s="384">
        <v>85.14</v>
      </c>
      <c r="L18" s="384">
        <v>83.14</v>
      </c>
      <c r="M18" s="384">
        <v>5.29</v>
      </c>
      <c r="N18" s="384">
        <v>87.73</v>
      </c>
      <c r="O18" s="385">
        <v>1346</v>
      </c>
      <c r="P18" s="382">
        <v>94.8</v>
      </c>
      <c r="Q18" s="382">
        <v>86.35</v>
      </c>
      <c r="R18" s="382">
        <v>52.96</v>
      </c>
      <c r="S18" s="382">
        <v>146.62</v>
      </c>
      <c r="T18" s="382">
        <v>461</v>
      </c>
      <c r="U18" s="382">
        <v>98.01</v>
      </c>
      <c r="V18" s="382">
        <v>201</v>
      </c>
      <c r="W18" s="382">
        <v>0</v>
      </c>
      <c r="X18" s="382">
        <v>0</v>
      </c>
      <c r="Y18" s="382">
        <v>0</v>
      </c>
      <c r="Z18" s="382">
        <v>9</v>
      </c>
      <c r="AA18" s="382">
        <v>0</v>
      </c>
      <c r="AB18" s="382">
        <v>5</v>
      </c>
      <c r="AC18" s="382">
        <v>3</v>
      </c>
      <c r="AD18" s="386">
        <v>1619</v>
      </c>
      <c r="AE18" s="386">
        <v>13</v>
      </c>
      <c r="AF18" s="386">
        <v>4</v>
      </c>
      <c r="AG18" s="386">
        <v>17</v>
      </c>
    </row>
    <row r="19" spans="1:33" x14ac:dyDescent="0.35">
      <c r="A19" s="381" t="s">
        <v>100</v>
      </c>
      <c r="B19" s="387" t="s">
        <v>101</v>
      </c>
      <c r="C19" s="383">
        <v>2343</v>
      </c>
      <c r="D19" s="383">
        <v>0</v>
      </c>
      <c r="E19" s="383">
        <v>119</v>
      </c>
      <c r="F19" s="383">
        <v>184</v>
      </c>
      <c r="G19" s="383">
        <v>778</v>
      </c>
      <c r="H19" s="383">
        <v>3424</v>
      </c>
      <c r="I19" s="382">
        <v>2646</v>
      </c>
      <c r="J19" s="382">
        <v>6</v>
      </c>
      <c r="K19" s="384">
        <v>99.03</v>
      </c>
      <c r="L19" s="384">
        <v>97.01</v>
      </c>
      <c r="M19" s="384">
        <v>6.99</v>
      </c>
      <c r="N19" s="384">
        <v>104.8</v>
      </c>
      <c r="O19" s="385">
        <v>1766</v>
      </c>
      <c r="P19" s="382">
        <v>110.97</v>
      </c>
      <c r="Q19" s="382">
        <v>81.16</v>
      </c>
      <c r="R19" s="382">
        <v>46</v>
      </c>
      <c r="S19" s="382">
        <v>152.4</v>
      </c>
      <c r="T19" s="382">
        <v>252</v>
      </c>
      <c r="U19" s="382">
        <v>137.86000000000001</v>
      </c>
      <c r="V19" s="382">
        <v>507</v>
      </c>
      <c r="W19" s="382">
        <v>193.25</v>
      </c>
      <c r="X19" s="382">
        <v>51</v>
      </c>
      <c r="Y19" s="382">
        <v>73</v>
      </c>
      <c r="Z19" s="382">
        <v>0</v>
      </c>
      <c r="AA19" s="382">
        <v>0</v>
      </c>
      <c r="AB19" s="382">
        <v>40</v>
      </c>
      <c r="AC19" s="382">
        <v>11</v>
      </c>
      <c r="AD19" s="386">
        <v>2303</v>
      </c>
      <c r="AE19" s="386">
        <v>17</v>
      </c>
      <c r="AF19" s="386">
        <v>4</v>
      </c>
      <c r="AG19" s="386">
        <v>21</v>
      </c>
    </row>
    <row r="20" spans="1:33" x14ac:dyDescent="0.35">
      <c r="A20" s="381" t="s">
        <v>102</v>
      </c>
      <c r="B20" s="387" t="s">
        <v>103</v>
      </c>
      <c r="C20" s="383">
        <v>1783</v>
      </c>
      <c r="D20" s="383">
        <v>0</v>
      </c>
      <c r="E20" s="383">
        <v>122</v>
      </c>
      <c r="F20" s="383">
        <v>92</v>
      </c>
      <c r="G20" s="383">
        <v>219</v>
      </c>
      <c r="H20" s="383">
        <v>2216</v>
      </c>
      <c r="I20" s="382">
        <v>1997</v>
      </c>
      <c r="J20" s="382">
        <v>3</v>
      </c>
      <c r="K20" s="384">
        <v>92.08</v>
      </c>
      <c r="L20" s="384">
        <v>92.08</v>
      </c>
      <c r="M20" s="384">
        <v>4.45</v>
      </c>
      <c r="N20" s="384">
        <v>94.56</v>
      </c>
      <c r="O20" s="385">
        <v>1267</v>
      </c>
      <c r="P20" s="382">
        <v>108.55</v>
      </c>
      <c r="Q20" s="382">
        <v>86.75</v>
      </c>
      <c r="R20" s="382">
        <v>60.04</v>
      </c>
      <c r="S20" s="382">
        <v>165.79</v>
      </c>
      <c r="T20" s="382">
        <v>193</v>
      </c>
      <c r="U20" s="382">
        <v>116.38</v>
      </c>
      <c r="V20" s="382">
        <v>485</v>
      </c>
      <c r="W20" s="382">
        <v>106.64</v>
      </c>
      <c r="X20" s="382">
        <v>2</v>
      </c>
      <c r="Y20" s="382">
        <v>14</v>
      </c>
      <c r="Z20" s="382">
        <v>0</v>
      </c>
      <c r="AA20" s="382">
        <v>1</v>
      </c>
      <c r="AB20" s="382">
        <v>24</v>
      </c>
      <c r="AC20" s="382">
        <v>1</v>
      </c>
      <c r="AD20" s="386">
        <v>1783</v>
      </c>
      <c r="AE20" s="386">
        <v>11</v>
      </c>
      <c r="AF20" s="386">
        <v>3</v>
      </c>
      <c r="AG20" s="386">
        <v>14</v>
      </c>
    </row>
    <row r="21" spans="1:33" x14ac:dyDescent="0.35">
      <c r="A21" s="381" t="s">
        <v>104</v>
      </c>
      <c r="B21" s="387" t="s">
        <v>105</v>
      </c>
      <c r="C21" s="383">
        <v>4410</v>
      </c>
      <c r="D21" s="383">
        <v>0</v>
      </c>
      <c r="E21" s="383">
        <v>361</v>
      </c>
      <c r="F21" s="383">
        <v>455</v>
      </c>
      <c r="G21" s="383">
        <v>1021</v>
      </c>
      <c r="H21" s="383">
        <v>6247</v>
      </c>
      <c r="I21" s="382">
        <v>5226</v>
      </c>
      <c r="J21" s="382">
        <v>20</v>
      </c>
      <c r="K21" s="384">
        <v>121.89</v>
      </c>
      <c r="L21" s="384">
        <v>112.37</v>
      </c>
      <c r="M21" s="384">
        <v>7.69</v>
      </c>
      <c r="N21" s="384">
        <v>125.95</v>
      </c>
      <c r="O21" s="385">
        <v>2946</v>
      </c>
      <c r="P21" s="382">
        <v>102.3</v>
      </c>
      <c r="Q21" s="382">
        <v>102.74</v>
      </c>
      <c r="R21" s="382">
        <v>54.14</v>
      </c>
      <c r="S21" s="382">
        <v>155.38999999999999</v>
      </c>
      <c r="T21" s="382">
        <v>668</v>
      </c>
      <c r="U21" s="382">
        <v>166.23</v>
      </c>
      <c r="V21" s="382">
        <v>786</v>
      </c>
      <c r="W21" s="382">
        <v>0</v>
      </c>
      <c r="X21" s="382">
        <v>0</v>
      </c>
      <c r="Y21" s="382">
        <v>0</v>
      </c>
      <c r="Z21" s="382">
        <v>1</v>
      </c>
      <c r="AA21" s="382">
        <v>1</v>
      </c>
      <c r="AB21" s="382">
        <v>134</v>
      </c>
      <c r="AC21" s="382">
        <v>23</v>
      </c>
      <c r="AD21" s="386">
        <v>4397</v>
      </c>
      <c r="AE21" s="386">
        <v>38</v>
      </c>
      <c r="AF21" s="386">
        <v>20</v>
      </c>
      <c r="AG21" s="386">
        <v>58</v>
      </c>
    </row>
    <row r="22" spans="1:33" x14ac:dyDescent="0.35">
      <c r="A22" s="381" t="s">
        <v>106</v>
      </c>
      <c r="B22" s="387" t="s">
        <v>107</v>
      </c>
      <c r="C22" s="383">
        <v>7417</v>
      </c>
      <c r="D22" s="383">
        <v>17</v>
      </c>
      <c r="E22" s="383">
        <v>556</v>
      </c>
      <c r="F22" s="383">
        <v>1150</v>
      </c>
      <c r="G22" s="383">
        <v>1477</v>
      </c>
      <c r="H22" s="383">
        <v>10617</v>
      </c>
      <c r="I22" s="382">
        <v>9140</v>
      </c>
      <c r="J22" s="382">
        <v>10</v>
      </c>
      <c r="K22" s="384">
        <v>125.98</v>
      </c>
      <c r="L22" s="384">
        <v>126.28</v>
      </c>
      <c r="M22" s="384">
        <v>15.42</v>
      </c>
      <c r="N22" s="384">
        <v>138.71</v>
      </c>
      <c r="O22" s="385">
        <v>5818</v>
      </c>
      <c r="P22" s="382">
        <v>113.5</v>
      </c>
      <c r="Q22" s="382">
        <v>110.33</v>
      </c>
      <c r="R22" s="382">
        <v>53.09</v>
      </c>
      <c r="S22" s="382">
        <v>162.37</v>
      </c>
      <c r="T22" s="382">
        <v>892</v>
      </c>
      <c r="U22" s="382">
        <v>211.91</v>
      </c>
      <c r="V22" s="382">
        <v>1209</v>
      </c>
      <c r="W22" s="382">
        <v>224.02</v>
      </c>
      <c r="X22" s="382">
        <v>37</v>
      </c>
      <c r="Y22" s="382">
        <v>0</v>
      </c>
      <c r="Z22" s="382">
        <v>1</v>
      </c>
      <c r="AA22" s="382">
        <v>1</v>
      </c>
      <c r="AB22" s="382">
        <v>54</v>
      </c>
      <c r="AC22" s="382">
        <v>38</v>
      </c>
      <c r="AD22" s="386">
        <v>7040</v>
      </c>
      <c r="AE22" s="386">
        <v>31</v>
      </c>
      <c r="AF22" s="386">
        <v>100</v>
      </c>
      <c r="AG22" s="386">
        <v>131</v>
      </c>
    </row>
    <row r="23" spans="1:33" x14ac:dyDescent="0.35">
      <c r="A23" s="381" t="s">
        <v>108</v>
      </c>
      <c r="B23" s="387" t="s">
        <v>109</v>
      </c>
      <c r="C23" s="383">
        <v>3017</v>
      </c>
      <c r="D23" s="383">
        <v>0</v>
      </c>
      <c r="E23" s="383">
        <v>359</v>
      </c>
      <c r="F23" s="383">
        <v>672</v>
      </c>
      <c r="G23" s="383">
        <v>289</v>
      </c>
      <c r="H23" s="383">
        <v>4337</v>
      </c>
      <c r="I23" s="382">
        <v>4048</v>
      </c>
      <c r="J23" s="382">
        <v>0</v>
      </c>
      <c r="K23" s="384">
        <v>84.62</v>
      </c>
      <c r="L23" s="384">
        <v>81.48</v>
      </c>
      <c r="M23" s="384">
        <v>4.99</v>
      </c>
      <c r="N23" s="384">
        <v>86.93</v>
      </c>
      <c r="O23" s="385">
        <v>1892</v>
      </c>
      <c r="P23" s="382">
        <v>91.46</v>
      </c>
      <c r="Q23" s="382">
        <v>82.76</v>
      </c>
      <c r="R23" s="382">
        <v>35.71</v>
      </c>
      <c r="S23" s="382">
        <v>124</v>
      </c>
      <c r="T23" s="382">
        <v>1001</v>
      </c>
      <c r="U23" s="382">
        <v>93.31</v>
      </c>
      <c r="V23" s="382">
        <v>1031</v>
      </c>
      <c r="W23" s="382">
        <v>0</v>
      </c>
      <c r="X23" s="382">
        <v>0</v>
      </c>
      <c r="Y23" s="382">
        <v>0</v>
      </c>
      <c r="Z23" s="382">
        <v>7</v>
      </c>
      <c r="AA23" s="382">
        <v>8</v>
      </c>
      <c r="AB23" s="382">
        <v>5</v>
      </c>
      <c r="AC23" s="382">
        <v>6</v>
      </c>
      <c r="AD23" s="386">
        <v>3012</v>
      </c>
      <c r="AE23" s="386">
        <v>28</v>
      </c>
      <c r="AF23" s="386">
        <v>16</v>
      </c>
      <c r="AG23" s="386">
        <v>44</v>
      </c>
    </row>
    <row r="24" spans="1:33" x14ac:dyDescent="0.35">
      <c r="A24" s="381" t="s">
        <v>110</v>
      </c>
      <c r="B24" s="387" t="s">
        <v>111</v>
      </c>
      <c r="C24" s="383">
        <v>517</v>
      </c>
      <c r="D24" s="383">
        <v>0</v>
      </c>
      <c r="E24" s="383">
        <v>244</v>
      </c>
      <c r="F24" s="383">
        <v>196</v>
      </c>
      <c r="G24" s="383">
        <v>11</v>
      </c>
      <c r="H24" s="383">
        <v>968</v>
      </c>
      <c r="I24" s="382">
        <v>957</v>
      </c>
      <c r="J24" s="382">
        <v>2</v>
      </c>
      <c r="K24" s="384">
        <v>78.69</v>
      </c>
      <c r="L24" s="384">
        <v>80.989999999999995</v>
      </c>
      <c r="M24" s="384">
        <v>6.2</v>
      </c>
      <c r="N24" s="384">
        <v>82.46</v>
      </c>
      <c r="O24" s="385">
        <v>475</v>
      </c>
      <c r="P24" s="382">
        <v>94.51</v>
      </c>
      <c r="Q24" s="382">
        <v>92.25</v>
      </c>
      <c r="R24" s="382">
        <v>80.52</v>
      </c>
      <c r="S24" s="382">
        <v>173.41</v>
      </c>
      <c r="T24" s="382">
        <v>349</v>
      </c>
      <c r="U24" s="382">
        <v>106.94</v>
      </c>
      <c r="V24" s="382">
        <v>27</v>
      </c>
      <c r="W24" s="382">
        <v>0</v>
      </c>
      <c r="X24" s="382">
        <v>0</v>
      </c>
      <c r="Y24" s="382">
        <v>0</v>
      </c>
      <c r="Z24" s="382">
        <v>1</v>
      </c>
      <c r="AA24" s="382">
        <v>1</v>
      </c>
      <c r="AB24" s="382">
        <v>0</v>
      </c>
      <c r="AC24" s="382">
        <v>1</v>
      </c>
      <c r="AD24" s="386">
        <v>517</v>
      </c>
      <c r="AE24" s="386">
        <v>4</v>
      </c>
      <c r="AF24" s="386">
        <v>1</v>
      </c>
      <c r="AG24" s="386">
        <v>5</v>
      </c>
    </row>
    <row r="25" spans="1:33" x14ac:dyDescent="0.35">
      <c r="A25" s="381" t="s">
        <v>112</v>
      </c>
      <c r="B25" s="387" t="s">
        <v>113</v>
      </c>
      <c r="C25" s="383">
        <v>5312</v>
      </c>
      <c r="D25" s="383">
        <v>0</v>
      </c>
      <c r="E25" s="383">
        <v>234</v>
      </c>
      <c r="F25" s="383">
        <v>355</v>
      </c>
      <c r="G25" s="383">
        <v>645</v>
      </c>
      <c r="H25" s="383">
        <v>6546</v>
      </c>
      <c r="I25" s="382">
        <v>5901</v>
      </c>
      <c r="J25" s="382">
        <v>1</v>
      </c>
      <c r="K25" s="384">
        <v>110.52</v>
      </c>
      <c r="L25" s="384">
        <v>108.16</v>
      </c>
      <c r="M25" s="384">
        <v>5.38</v>
      </c>
      <c r="N25" s="384">
        <v>113.36</v>
      </c>
      <c r="O25" s="385">
        <v>5062</v>
      </c>
      <c r="P25" s="382">
        <v>96.94</v>
      </c>
      <c r="Q25" s="382">
        <v>92.51</v>
      </c>
      <c r="R25" s="382">
        <v>40.21</v>
      </c>
      <c r="S25" s="382">
        <v>136.28</v>
      </c>
      <c r="T25" s="382">
        <v>510</v>
      </c>
      <c r="U25" s="382">
        <v>129.18</v>
      </c>
      <c r="V25" s="382">
        <v>186</v>
      </c>
      <c r="W25" s="382">
        <v>0</v>
      </c>
      <c r="X25" s="382">
        <v>0</v>
      </c>
      <c r="Y25" s="382">
        <v>2</v>
      </c>
      <c r="Z25" s="382">
        <v>0</v>
      </c>
      <c r="AA25" s="382">
        <v>0</v>
      </c>
      <c r="AB25" s="382">
        <v>25</v>
      </c>
      <c r="AC25" s="382">
        <v>11</v>
      </c>
      <c r="AD25" s="386">
        <v>5312</v>
      </c>
      <c r="AE25" s="386">
        <v>25</v>
      </c>
      <c r="AF25" s="386">
        <v>13</v>
      </c>
      <c r="AG25" s="386">
        <v>38</v>
      </c>
    </row>
    <row r="26" spans="1:33" x14ac:dyDescent="0.35">
      <c r="A26" s="381" t="s">
        <v>114</v>
      </c>
      <c r="B26" s="387" t="s">
        <v>115</v>
      </c>
      <c r="C26" s="383">
        <v>12716</v>
      </c>
      <c r="D26" s="383">
        <v>315</v>
      </c>
      <c r="E26" s="383">
        <v>389</v>
      </c>
      <c r="F26" s="383">
        <v>878</v>
      </c>
      <c r="G26" s="383">
        <v>1269</v>
      </c>
      <c r="H26" s="383">
        <v>15567</v>
      </c>
      <c r="I26" s="382">
        <v>14298</v>
      </c>
      <c r="J26" s="382">
        <v>13</v>
      </c>
      <c r="K26" s="384">
        <v>111.12</v>
      </c>
      <c r="L26" s="384">
        <v>107.9</v>
      </c>
      <c r="M26" s="384">
        <v>5.19</v>
      </c>
      <c r="N26" s="384">
        <v>113.18</v>
      </c>
      <c r="O26" s="385">
        <v>11275</v>
      </c>
      <c r="P26" s="382">
        <v>96.05</v>
      </c>
      <c r="Q26" s="382">
        <v>94.71</v>
      </c>
      <c r="R26" s="382">
        <v>33.32</v>
      </c>
      <c r="S26" s="382">
        <v>128.19</v>
      </c>
      <c r="T26" s="382">
        <v>1100</v>
      </c>
      <c r="U26" s="382">
        <v>149.47</v>
      </c>
      <c r="V26" s="382">
        <v>1156</v>
      </c>
      <c r="W26" s="382">
        <v>148.66999999999999</v>
      </c>
      <c r="X26" s="382">
        <v>2</v>
      </c>
      <c r="Y26" s="382">
        <v>0</v>
      </c>
      <c r="Z26" s="382">
        <v>9</v>
      </c>
      <c r="AA26" s="382">
        <v>3</v>
      </c>
      <c r="AB26" s="382">
        <v>116</v>
      </c>
      <c r="AC26" s="382">
        <v>21</v>
      </c>
      <c r="AD26" s="386">
        <v>12677</v>
      </c>
      <c r="AE26" s="386">
        <v>168</v>
      </c>
      <c r="AF26" s="386">
        <v>35</v>
      </c>
      <c r="AG26" s="386">
        <v>203</v>
      </c>
    </row>
    <row r="27" spans="1:33" x14ac:dyDescent="0.35">
      <c r="A27" s="381" t="s">
        <v>116</v>
      </c>
      <c r="B27" s="387" t="s">
        <v>117</v>
      </c>
      <c r="C27" s="383">
        <v>1061</v>
      </c>
      <c r="D27" s="383">
        <v>0</v>
      </c>
      <c r="E27" s="383">
        <v>261</v>
      </c>
      <c r="F27" s="383">
        <v>141</v>
      </c>
      <c r="G27" s="383">
        <v>106</v>
      </c>
      <c r="H27" s="383">
        <v>1569</v>
      </c>
      <c r="I27" s="382">
        <v>1463</v>
      </c>
      <c r="J27" s="382">
        <v>2</v>
      </c>
      <c r="K27" s="384">
        <v>85.79</v>
      </c>
      <c r="L27" s="384">
        <v>84.01</v>
      </c>
      <c r="M27" s="384">
        <v>3.37</v>
      </c>
      <c r="N27" s="384">
        <v>87.9</v>
      </c>
      <c r="O27" s="385">
        <v>879</v>
      </c>
      <c r="P27" s="382">
        <v>121.62</v>
      </c>
      <c r="Q27" s="382">
        <v>72.06</v>
      </c>
      <c r="R27" s="382">
        <v>65.37</v>
      </c>
      <c r="S27" s="382">
        <v>184.61</v>
      </c>
      <c r="T27" s="382">
        <v>356</v>
      </c>
      <c r="U27" s="382">
        <v>99.74</v>
      </c>
      <c r="V27" s="382">
        <v>163</v>
      </c>
      <c r="W27" s="382">
        <v>169.55</v>
      </c>
      <c r="X27" s="382">
        <v>4</v>
      </c>
      <c r="Y27" s="382">
        <v>0</v>
      </c>
      <c r="Z27" s="382">
        <v>4</v>
      </c>
      <c r="AA27" s="382">
        <v>4</v>
      </c>
      <c r="AB27" s="382">
        <v>17</v>
      </c>
      <c r="AC27" s="382">
        <v>3</v>
      </c>
      <c r="AD27" s="386">
        <v>1058</v>
      </c>
      <c r="AE27" s="386">
        <v>15</v>
      </c>
      <c r="AF27" s="386">
        <v>3</v>
      </c>
      <c r="AG27" s="386">
        <v>18</v>
      </c>
    </row>
    <row r="28" spans="1:33" x14ac:dyDescent="0.35">
      <c r="A28" s="381" t="s">
        <v>118</v>
      </c>
      <c r="B28" s="387" t="s">
        <v>119</v>
      </c>
      <c r="C28" s="383">
        <v>9292</v>
      </c>
      <c r="D28" s="383">
        <v>0</v>
      </c>
      <c r="E28" s="383">
        <v>387</v>
      </c>
      <c r="F28" s="383">
        <v>2107</v>
      </c>
      <c r="G28" s="383">
        <v>683</v>
      </c>
      <c r="H28" s="383">
        <v>12469</v>
      </c>
      <c r="I28" s="382">
        <v>11786</v>
      </c>
      <c r="J28" s="382">
        <v>9</v>
      </c>
      <c r="K28" s="384">
        <v>98.51</v>
      </c>
      <c r="L28" s="384">
        <v>98.75</v>
      </c>
      <c r="M28" s="384">
        <v>5.57</v>
      </c>
      <c r="N28" s="384">
        <v>103.37</v>
      </c>
      <c r="O28" s="385">
        <v>8455</v>
      </c>
      <c r="P28" s="382">
        <v>92.17</v>
      </c>
      <c r="Q28" s="382">
        <v>92.42</v>
      </c>
      <c r="R28" s="382">
        <v>18.3</v>
      </c>
      <c r="S28" s="382">
        <v>110.4</v>
      </c>
      <c r="T28" s="382">
        <v>2189</v>
      </c>
      <c r="U28" s="382">
        <v>134.31</v>
      </c>
      <c r="V28" s="382">
        <v>727</v>
      </c>
      <c r="W28" s="382">
        <v>117.69</v>
      </c>
      <c r="X28" s="382">
        <v>79</v>
      </c>
      <c r="Y28" s="382">
        <v>0</v>
      </c>
      <c r="Z28" s="382">
        <v>10</v>
      </c>
      <c r="AA28" s="382">
        <v>5</v>
      </c>
      <c r="AB28" s="382">
        <v>95</v>
      </c>
      <c r="AC28" s="382">
        <v>12</v>
      </c>
      <c r="AD28" s="386">
        <v>9206</v>
      </c>
      <c r="AE28" s="386">
        <v>33</v>
      </c>
      <c r="AF28" s="386">
        <v>118</v>
      </c>
      <c r="AG28" s="386">
        <v>151</v>
      </c>
    </row>
    <row r="29" spans="1:33" x14ac:dyDescent="0.35">
      <c r="A29" s="381" t="s">
        <v>120</v>
      </c>
      <c r="B29" s="387" t="s">
        <v>121</v>
      </c>
      <c r="C29" s="383">
        <v>10837</v>
      </c>
      <c r="D29" s="383">
        <v>0</v>
      </c>
      <c r="E29" s="383">
        <v>364</v>
      </c>
      <c r="F29" s="383">
        <v>1114</v>
      </c>
      <c r="G29" s="383">
        <v>1310</v>
      </c>
      <c r="H29" s="383">
        <v>13625</v>
      </c>
      <c r="I29" s="382">
        <v>12315</v>
      </c>
      <c r="J29" s="382">
        <v>3</v>
      </c>
      <c r="K29" s="384">
        <v>97.06</v>
      </c>
      <c r="L29" s="384">
        <v>96.59</v>
      </c>
      <c r="M29" s="384">
        <v>8.08</v>
      </c>
      <c r="N29" s="384">
        <v>102.91</v>
      </c>
      <c r="O29" s="385">
        <v>9278</v>
      </c>
      <c r="P29" s="382">
        <v>99.51</v>
      </c>
      <c r="Q29" s="382">
        <v>92.23</v>
      </c>
      <c r="R29" s="382">
        <v>43.15</v>
      </c>
      <c r="S29" s="382">
        <v>141.47</v>
      </c>
      <c r="T29" s="382">
        <v>1230</v>
      </c>
      <c r="U29" s="382">
        <v>131.46</v>
      </c>
      <c r="V29" s="382">
        <v>1333</v>
      </c>
      <c r="W29" s="382">
        <v>108.39</v>
      </c>
      <c r="X29" s="382">
        <v>5</v>
      </c>
      <c r="Y29" s="382">
        <v>0</v>
      </c>
      <c r="Z29" s="382">
        <v>8</v>
      </c>
      <c r="AA29" s="382">
        <v>2</v>
      </c>
      <c r="AB29" s="382">
        <v>85</v>
      </c>
      <c r="AC29" s="382">
        <v>17</v>
      </c>
      <c r="AD29" s="386">
        <v>10754</v>
      </c>
      <c r="AE29" s="386">
        <v>57</v>
      </c>
      <c r="AF29" s="386">
        <v>40</v>
      </c>
      <c r="AG29" s="386">
        <v>97</v>
      </c>
    </row>
    <row r="30" spans="1:33" x14ac:dyDescent="0.35">
      <c r="A30" s="381" t="s">
        <v>122</v>
      </c>
      <c r="B30" s="387" t="s">
        <v>123</v>
      </c>
      <c r="C30" s="383">
        <v>12105</v>
      </c>
      <c r="D30" s="383">
        <v>50</v>
      </c>
      <c r="E30" s="383">
        <v>149</v>
      </c>
      <c r="F30" s="383">
        <v>1330</v>
      </c>
      <c r="G30" s="383">
        <v>1123</v>
      </c>
      <c r="H30" s="383">
        <v>14757</v>
      </c>
      <c r="I30" s="382">
        <v>13634</v>
      </c>
      <c r="J30" s="382">
        <v>4</v>
      </c>
      <c r="K30" s="384">
        <v>108.73</v>
      </c>
      <c r="L30" s="384">
        <v>107.52</v>
      </c>
      <c r="M30" s="384">
        <v>11.23</v>
      </c>
      <c r="N30" s="384">
        <v>118.96</v>
      </c>
      <c r="O30" s="385">
        <v>9639</v>
      </c>
      <c r="P30" s="382">
        <v>96.03</v>
      </c>
      <c r="Q30" s="382">
        <v>94.99</v>
      </c>
      <c r="R30" s="382">
        <v>31.82</v>
      </c>
      <c r="S30" s="382">
        <v>127.31</v>
      </c>
      <c r="T30" s="382">
        <v>1310</v>
      </c>
      <c r="U30" s="382">
        <v>159.22999999999999</v>
      </c>
      <c r="V30" s="382">
        <v>1475</v>
      </c>
      <c r="W30" s="382">
        <v>0</v>
      </c>
      <c r="X30" s="382">
        <v>0</v>
      </c>
      <c r="Y30" s="382">
        <v>6</v>
      </c>
      <c r="Z30" s="382">
        <v>6</v>
      </c>
      <c r="AA30" s="382">
        <v>90</v>
      </c>
      <c r="AB30" s="382">
        <v>57</v>
      </c>
      <c r="AC30" s="382">
        <v>46</v>
      </c>
      <c r="AD30" s="386">
        <v>11205</v>
      </c>
      <c r="AE30" s="386">
        <v>82</v>
      </c>
      <c r="AF30" s="386">
        <v>43</v>
      </c>
      <c r="AG30" s="386">
        <v>125</v>
      </c>
    </row>
    <row r="31" spans="1:33" x14ac:dyDescent="0.35">
      <c r="A31" s="381" t="s">
        <v>124</v>
      </c>
      <c r="B31" s="387" t="s">
        <v>125</v>
      </c>
      <c r="C31" s="383">
        <v>33855</v>
      </c>
      <c r="D31" s="383">
        <v>1007</v>
      </c>
      <c r="E31" s="383">
        <v>12668</v>
      </c>
      <c r="F31" s="383">
        <v>4429</v>
      </c>
      <c r="G31" s="383">
        <v>3137</v>
      </c>
      <c r="H31" s="383">
        <v>55096</v>
      </c>
      <c r="I31" s="382">
        <v>51959</v>
      </c>
      <c r="J31" s="382">
        <v>7</v>
      </c>
      <c r="K31" s="384">
        <v>91.47</v>
      </c>
      <c r="L31" s="384">
        <v>90.1</v>
      </c>
      <c r="M31" s="384">
        <v>8.08</v>
      </c>
      <c r="N31" s="384">
        <v>97.68</v>
      </c>
      <c r="O31" s="385">
        <v>30192</v>
      </c>
      <c r="P31" s="382">
        <v>82.21</v>
      </c>
      <c r="Q31" s="382">
        <v>97.64</v>
      </c>
      <c r="R31" s="382">
        <v>99.73</v>
      </c>
      <c r="S31" s="382">
        <v>180.19</v>
      </c>
      <c r="T31" s="382">
        <v>13245</v>
      </c>
      <c r="U31" s="382">
        <v>115.19</v>
      </c>
      <c r="V31" s="382">
        <v>1699</v>
      </c>
      <c r="W31" s="382">
        <v>177.32</v>
      </c>
      <c r="X31" s="382">
        <v>128</v>
      </c>
      <c r="Y31" s="382">
        <v>237</v>
      </c>
      <c r="Z31" s="382">
        <v>354</v>
      </c>
      <c r="AA31" s="382">
        <v>205</v>
      </c>
      <c r="AB31" s="382">
        <v>44</v>
      </c>
      <c r="AC31" s="382">
        <v>83</v>
      </c>
      <c r="AD31" s="386">
        <v>32352</v>
      </c>
      <c r="AE31" s="386">
        <v>223</v>
      </c>
      <c r="AF31" s="386">
        <v>62</v>
      </c>
      <c r="AG31" s="386">
        <v>285</v>
      </c>
    </row>
    <row r="32" spans="1:33" x14ac:dyDescent="0.35">
      <c r="A32" s="381" t="s">
        <v>126</v>
      </c>
      <c r="B32" s="387" t="s">
        <v>127</v>
      </c>
      <c r="C32" s="383">
        <v>2214</v>
      </c>
      <c r="D32" s="383">
        <v>0</v>
      </c>
      <c r="E32" s="383">
        <v>112</v>
      </c>
      <c r="F32" s="383">
        <v>1325</v>
      </c>
      <c r="G32" s="383">
        <v>419</v>
      </c>
      <c r="H32" s="383">
        <v>4070</v>
      </c>
      <c r="I32" s="382">
        <v>3651</v>
      </c>
      <c r="J32" s="382">
        <v>0</v>
      </c>
      <c r="K32" s="384">
        <v>86.19</v>
      </c>
      <c r="L32" s="384">
        <v>85.81</v>
      </c>
      <c r="M32" s="384">
        <v>4.47</v>
      </c>
      <c r="N32" s="384">
        <v>88.81</v>
      </c>
      <c r="O32" s="385">
        <v>1605</v>
      </c>
      <c r="P32" s="382">
        <v>76.040000000000006</v>
      </c>
      <c r="Q32" s="382">
        <v>73.989999999999995</v>
      </c>
      <c r="R32" s="382">
        <v>20.41</v>
      </c>
      <c r="S32" s="382">
        <v>96.37</v>
      </c>
      <c r="T32" s="382">
        <v>1431</v>
      </c>
      <c r="U32" s="382">
        <v>108.34</v>
      </c>
      <c r="V32" s="382">
        <v>513</v>
      </c>
      <c r="W32" s="382">
        <v>133.24</v>
      </c>
      <c r="X32" s="382">
        <v>1</v>
      </c>
      <c r="Y32" s="382">
        <v>0</v>
      </c>
      <c r="Z32" s="382">
        <v>9</v>
      </c>
      <c r="AA32" s="382">
        <v>5</v>
      </c>
      <c r="AB32" s="382">
        <v>47</v>
      </c>
      <c r="AC32" s="382">
        <v>9</v>
      </c>
      <c r="AD32" s="386">
        <v>2214</v>
      </c>
      <c r="AE32" s="386">
        <v>41</v>
      </c>
      <c r="AF32" s="386">
        <v>5</v>
      </c>
      <c r="AG32" s="386">
        <v>46</v>
      </c>
    </row>
    <row r="33" spans="1:33" x14ac:dyDescent="0.35">
      <c r="A33" s="381" t="s">
        <v>128</v>
      </c>
      <c r="B33" s="387" t="s">
        <v>129</v>
      </c>
      <c r="C33" s="383">
        <v>10197</v>
      </c>
      <c r="D33" s="383">
        <v>0</v>
      </c>
      <c r="E33" s="383">
        <v>526</v>
      </c>
      <c r="F33" s="383">
        <v>853</v>
      </c>
      <c r="G33" s="383">
        <v>205</v>
      </c>
      <c r="H33" s="383">
        <v>11781</v>
      </c>
      <c r="I33" s="382">
        <v>11576</v>
      </c>
      <c r="J33" s="382">
        <v>0</v>
      </c>
      <c r="K33" s="384">
        <v>77.12</v>
      </c>
      <c r="L33" s="384">
        <v>73.67</v>
      </c>
      <c r="M33" s="384">
        <v>2.3199999999999998</v>
      </c>
      <c r="N33" s="384">
        <v>79.19</v>
      </c>
      <c r="O33" s="385">
        <v>8706</v>
      </c>
      <c r="P33" s="382">
        <v>88.58</v>
      </c>
      <c r="Q33" s="382">
        <v>73.760000000000005</v>
      </c>
      <c r="R33" s="382">
        <v>63.5</v>
      </c>
      <c r="S33" s="382">
        <v>148.46</v>
      </c>
      <c r="T33" s="382">
        <v>1070</v>
      </c>
      <c r="U33" s="382">
        <v>93.89</v>
      </c>
      <c r="V33" s="382">
        <v>1407</v>
      </c>
      <c r="W33" s="382">
        <v>151.96</v>
      </c>
      <c r="X33" s="382">
        <v>212</v>
      </c>
      <c r="Y33" s="382">
        <v>21</v>
      </c>
      <c r="Z33" s="382">
        <v>48</v>
      </c>
      <c r="AA33" s="382">
        <v>5</v>
      </c>
      <c r="AB33" s="382">
        <v>3</v>
      </c>
      <c r="AC33" s="382">
        <v>4</v>
      </c>
      <c r="AD33" s="386">
        <v>10188</v>
      </c>
      <c r="AE33" s="386">
        <v>67</v>
      </c>
      <c r="AF33" s="386">
        <v>60</v>
      </c>
      <c r="AG33" s="386">
        <v>127</v>
      </c>
    </row>
    <row r="34" spans="1:33" x14ac:dyDescent="0.35">
      <c r="A34" s="381" t="s">
        <v>130</v>
      </c>
      <c r="B34" s="387" t="s">
        <v>131</v>
      </c>
      <c r="C34" s="383">
        <v>1697</v>
      </c>
      <c r="D34" s="383">
        <v>0</v>
      </c>
      <c r="E34" s="383">
        <v>443</v>
      </c>
      <c r="F34" s="383">
        <v>200</v>
      </c>
      <c r="G34" s="383">
        <v>150</v>
      </c>
      <c r="H34" s="383">
        <v>2490</v>
      </c>
      <c r="I34" s="382">
        <v>2340</v>
      </c>
      <c r="J34" s="382">
        <v>0</v>
      </c>
      <c r="K34" s="384">
        <v>84.9</v>
      </c>
      <c r="L34" s="384">
        <v>82.29</v>
      </c>
      <c r="M34" s="384">
        <v>4.28</v>
      </c>
      <c r="N34" s="384">
        <v>88.25</v>
      </c>
      <c r="O34" s="385">
        <v>1184</v>
      </c>
      <c r="P34" s="382">
        <v>113.67</v>
      </c>
      <c r="Q34" s="382">
        <v>90.77</v>
      </c>
      <c r="R34" s="382">
        <v>68.290000000000006</v>
      </c>
      <c r="S34" s="382">
        <v>176.26</v>
      </c>
      <c r="T34" s="382">
        <v>599</v>
      </c>
      <c r="U34" s="382">
        <v>104.11</v>
      </c>
      <c r="V34" s="382">
        <v>401</v>
      </c>
      <c r="W34" s="382">
        <v>0</v>
      </c>
      <c r="X34" s="382">
        <v>0</v>
      </c>
      <c r="Y34" s="382">
        <v>4</v>
      </c>
      <c r="Z34" s="382">
        <v>2</v>
      </c>
      <c r="AA34" s="382">
        <v>12</v>
      </c>
      <c r="AB34" s="382">
        <v>0</v>
      </c>
      <c r="AC34" s="382">
        <v>2</v>
      </c>
      <c r="AD34" s="386">
        <v>1640</v>
      </c>
      <c r="AE34" s="386">
        <v>10</v>
      </c>
      <c r="AF34" s="386">
        <v>19</v>
      </c>
      <c r="AG34" s="386">
        <v>29</v>
      </c>
    </row>
    <row r="35" spans="1:33" x14ac:dyDescent="0.35">
      <c r="A35" s="381" t="s">
        <v>132</v>
      </c>
      <c r="B35" s="387" t="s">
        <v>133</v>
      </c>
      <c r="C35" s="383">
        <v>801</v>
      </c>
      <c r="D35" s="383">
        <v>0</v>
      </c>
      <c r="E35" s="383">
        <v>101</v>
      </c>
      <c r="F35" s="383">
        <v>261</v>
      </c>
      <c r="G35" s="383">
        <v>43</v>
      </c>
      <c r="H35" s="383">
        <v>1206</v>
      </c>
      <c r="I35" s="382">
        <v>1163</v>
      </c>
      <c r="J35" s="382">
        <v>0</v>
      </c>
      <c r="K35" s="384">
        <v>88.13</v>
      </c>
      <c r="L35" s="384">
        <v>86</v>
      </c>
      <c r="M35" s="384">
        <v>3.72</v>
      </c>
      <c r="N35" s="384">
        <v>90.35</v>
      </c>
      <c r="O35" s="385">
        <v>645</v>
      </c>
      <c r="P35" s="382">
        <v>100.49</v>
      </c>
      <c r="Q35" s="382">
        <v>88.04</v>
      </c>
      <c r="R35" s="382">
        <v>34.369999999999997</v>
      </c>
      <c r="S35" s="382">
        <v>132.46</v>
      </c>
      <c r="T35" s="382">
        <v>345</v>
      </c>
      <c r="U35" s="382">
        <v>90.53</v>
      </c>
      <c r="V35" s="382">
        <v>115</v>
      </c>
      <c r="W35" s="382">
        <v>0</v>
      </c>
      <c r="X35" s="382">
        <v>0</v>
      </c>
      <c r="Y35" s="382">
        <v>0</v>
      </c>
      <c r="Z35" s="382">
        <v>3</v>
      </c>
      <c r="AA35" s="382">
        <v>1</v>
      </c>
      <c r="AB35" s="382">
        <v>12</v>
      </c>
      <c r="AC35" s="382">
        <v>0</v>
      </c>
      <c r="AD35" s="386">
        <v>756</v>
      </c>
      <c r="AE35" s="386">
        <v>16</v>
      </c>
      <c r="AF35" s="386">
        <v>0</v>
      </c>
      <c r="AG35" s="386">
        <v>16</v>
      </c>
    </row>
    <row r="36" spans="1:33" x14ac:dyDescent="0.35">
      <c r="A36" s="381" t="s">
        <v>134</v>
      </c>
      <c r="B36" s="387" t="s">
        <v>135</v>
      </c>
      <c r="C36" s="383">
        <v>20803</v>
      </c>
      <c r="D36" s="383">
        <v>1</v>
      </c>
      <c r="E36" s="383">
        <v>823</v>
      </c>
      <c r="F36" s="383">
        <v>3827</v>
      </c>
      <c r="G36" s="383">
        <v>339</v>
      </c>
      <c r="H36" s="383">
        <v>25793</v>
      </c>
      <c r="I36" s="382">
        <v>25454</v>
      </c>
      <c r="J36" s="382">
        <v>33</v>
      </c>
      <c r="K36" s="384">
        <v>76.319999999999993</v>
      </c>
      <c r="L36" s="384">
        <v>78.099999999999994</v>
      </c>
      <c r="M36" s="384">
        <v>3.87</v>
      </c>
      <c r="N36" s="384">
        <v>79.819999999999993</v>
      </c>
      <c r="O36" s="385">
        <v>17252</v>
      </c>
      <c r="P36" s="382">
        <v>75.709999999999994</v>
      </c>
      <c r="Q36" s="382">
        <v>73.06</v>
      </c>
      <c r="R36" s="382">
        <v>35.299999999999997</v>
      </c>
      <c r="S36" s="382">
        <v>110.61</v>
      </c>
      <c r="T36" s="382">
        <v>4573</v>
      </c>
      <c r="U36" s="382">
        <v>94.58</v>
      </c>
      <c r="V36" s="382">
        <v>3264</v>
      </c>
      <c r="W36" s="382">
        <v>87.84</v>
      </c>
      <c r="X36" s="382">
        <v>2</v>
      </c>
      <c r="Y36" s="382">
        <v>8</v>
      </c>
      <c r="Z36" s="382">
        <v>151</v>
      </c>
      <c r="AA36" s="382">
        <v>0</v>
      </c>
      <c r="AB36" s="382">
        <v>18</v>
      </c>
      <c r="AC36" s="382">
        <v>8</v>
      </c>
      <c r="AD36" s="386">
        <v>20768</v>
      </c>
      <c r="AE36" s="386">
        <v>120</v>
      </c>
      <c r="AF36" s="386">
        <v>209</v>
      </c>
      <c r="AG36" s="386">
        <v>329</v>
      </c>
    </row>
    <row r="37" spans="1:33" x14ac:dyDescent="0.35">
      <c r="A37" s="381" t="s">
        <v>136</v>
      </c>
      <c r="B37" s="387" t="s">
        <v>137</v>
      </c>
      <c r="C37" s="383">
        <v>4637</v>
      </c>
      <c r="D37" s="383">
        <v>3</v>
      </c>
      <c r="E37" s="383">
        <v>153</v>
      </c>
      <c r="F37" s="383">
        <v>897</v>
      </c>
      <c r="G37" s="383">
        <v>307</v>
      </c>
      <c r="H37" s="383">
        <v>5997</v>
      </c>
      <c r="I37" s="382">
        <v>5690</v>
      </c>
      <c r="J37" s="382">
        <v>10</v>
      </c>
      <c r="K37" s="384">
        <v>78.75</v>
      </c>
      <c r="L37" s="384">
        <v>76.040000000000006</v>
      </c>
      <c r="M37" s="384">
        <v>2.12</v>
      </c>
      <c r="N37" s="384">
        <v>80.84</v>
      </c>
      <c r="O37" s="385">
        <v>4045</v>
      </c>
      <c r="P37" s="382">
        <v>76.16</v>
      </c>
      <c r="Q37" s="382">
        <v>75.53</v>
      </c>
      <c r="R37" s="382">
        <v>21.85</v>
      </c>
      <c r="S37" s="382">
        <v>98.02</v>
      </c>
      <c r="T37" s="382">
        <v>1000</v>
      </c>
      <c r="U37" s="382">
        <v>104.57</v>
      </c>
      <c r="V37" s="382">
        <v>442</v>
      </c>
      <c r="W37" s="382">
        <v>304.64</v>
      </c>
      <c r="X37" s="382">
        <v>6</v>
      </c>
      <c r="Y37" s="382">
        <v>0</v>
      </c>
      <c r="Z37" s="382">
        <v>18</v>
      </c>
      <c r="AA37" s="382">
        <v>0</v>
      </c>
      <c r="AB37" s="382">
        <v>29</v>
      </c>
      <c r="AC37" s="382">
        <v>3</v>
      </c>
      <c r="AD37" s="386">
        <v>4601</v>
      </c>
      <c r="AE37" s="386">
        <v>26</v>
      </c>
      <c r="AF37" s="386">
        <v>25</v>
      </c>
      <c r="AG37" s="386">
        <v>51</v>
      </c>
    </row>
    <row r="38" spans="1:33" x14ac:dyDescent="0.35">
      <c r="A38" s="381" t="s">
        <v>138</v>
      </c>
      <c r="B38" s="387" t="s">
        <v>139</v>
      </c>
      <c r="C38" s="382">
        <v>6852</v>
      </c>
      <c r="D38" s="382">
        <v>20</v>
      </c>
      <c r="E38" s="382">
        <v>1173</v>
      </c>
      <c r="F38" s="382">
        <v>1180</v>
      </c>
      <c r="G38" s="382">
        <v>922</v>
      </c>
      <c r="H38" s="382">
        <v>10147</v>
      </c>
      <c r="I38" s="382">
        <v>9225</v>
      </c>
      <c r="J38" s="382">
        <v>12</v>
      </c>
      <c r="K38" s="382">
        <v>102.42</v>
      </c>
      <c r="L38" s="382">
        <v>100.76</v>
      </c>
      <c r="M38" s="382">
        <v>5.45</v>
      </c>
      <c r="N38" s="382">
        <v>106.33</v>
      </c>
      <c r="O38" s="385">
        <v>5823</v>
      </c>
      <c r="P38" s="382">
        <v>94.71</v>
      </c>
      <c r="Q38" s="382">
        <v>82.74</v>
      </c>
      <c r="R38" s="382">
        <v>47.39</v>
      </c>
      <c r="S38" s="382">
        <v>141</v>
      </c>
      <c r="T38" s="382">
        <v>1678</v>
      </c>
      <c r="U38" s="382">
        <v>141.85</v>
      </c>
      <c r="V38" s="382">
        <v>580</v>
      </c>
      <c r="W38" s="382">
        <v>348.9</v>
      </c>
      <c r="X38" s="382">
        <v>50</v>
      </c>
      <c r="Y38" s="382">
        <v>0</v>
      </c>
      <c r="Z38" s="382">
        <v>2</v>
      </c>
      <c r="AA38" s="382">
        <v>5</v>
      </c>
      <c r="AB38" s="382">
        <v>1</v>
      </c>
      <c r="AC38" s="382">
        <v>33</v>
      </c>
      <c r="AD38" s="382">
        <v>6415</v>
      </c>
      <c r="AE38" s="382">
        <v>44</v>
      </c>
      <c r="AF38" s="382">
        <v>19</v>
      </c>
      <c r="AG38" s="382">
        <v>63</v>
      </c>
    </row>
    <row r="39" spans="1:33" x14ac:dyDescent="0.35">
      <c r="A39" s="381" t="s">
        <v>140</v>
      </c>
      <c r="B39" s="387" t="s">
        <v>141</v>
      </c>
      <c r="C39" s="383">
        <v>7348</v>
      </c>
      <c r="D39" s="383">
        <v>0</v>
      </c>
      <c r="E39" s="383">
        <v>266</v>
      </c>
      <c r="F39" s="383">
        <v>548</v>
      </c>
      <c r="G39" s="383">
        <v>724</v>
      </c>
      <c r="H39" s="383">
        <v>8886</v>
      </c>
      <c r="I39" s="382">
        <v>8162</v>
      </c>
      <c r="J39" s="382">
        <v>10</v>
      </c>
      <c r="K39" s="384">
        <v>107.5</v>
      </c>
      <c r="L39" s="384">
        <v>107.2</v>
      </c>
      <c r="M39" s="384">
        <v>8.11</v>
      </c>
      <c r="N39" s="384">
        <v>110.53</v>
      </c>
      <c r="O39" s="385">
        <v>6707</v>
      </c>
      <c r="P39" s="382">
        <v>97.76</v>
      </c>
      <c r="Q39" s="382">
        <v>95.98</v>
      </c>
      <c r="R39" s="382">
        <v>37.03</v>
      </c>
      <c r="S39" s="382">
        <v>133.02000000000001</v>
      </c>
      <c r="T39" s="382">
        <v>777</v>
      </c>
      <c r="U39" s="382">
        <v>159.99</v>
      </c>
      <c r="V39" s="382">
        <v>585</v>
      </c>
      <c r="W39" s="382">
        <v>0</v>
      </c>
      <c r="X39" s="382">
        <v>0</v>
      </c>
      <c r="Y39" s="382">
        <v>14</v>
      </c>
      <c r="Z39" s="382">
        <v>10</v>
      </c>
      <c r="AA39" s="382">
        <v>2</v>
      </c>
      <c r="AB39" s="382">
        <v>37</v>
      </c>
      <c r="AC39" s="382">
        <v>20</v>
      </c>
      <c r="AD39" s="386">
        <v>7340</v>
      </c>
      <c r="AE39" s="386">
        <v>52</v>
      </c>
      <c r="AF39" s="386">
        <v>185</v>
      </c>
      <c r="AG39" s="386">
        <v>237</v>
      </c>
    </row>
    <row r="40" spans="1:33" x14ac:dyDescent="0.35">
      <c r="A40" s="381" t="s">
        <v>142</v>
      </c>
      <c r="B40" s="387" t="s">
        <v>143</v>
      </c>
      <c r="C40" s="383">
        <v>27518</v>
      </c>
      <c r="D40" s="383">
        <v>0</v>
      </c>
      <c r="E40" s="383">
        <v>1565</v>
      </c>
      <c r="F40" s="383">
        <v>2789</v>
      </c>
      <c r="G40" s="383">
        <v>689</v>
      </c>
      <c r="H40" s="383">
        <v>32561</v>
      </c>
      <c r="I40" s="382">
        <v>31872</v>
      </c>
      <c r="J40" s="382">
        <v>69</v>
      </c>
      <c r="K40" s="384">
        <v>77.61</v>
      </c>
      <c r="L40" s="384">
        <v>77.430000000000007</v>
      </c>
      <c r="M40" s="384">
        <v>5.5</v>
      </c>
      <c r="N40" s="384">
        <v>82.55</v>
      </c>
      <c r="O40" s="385">
        <v>24183</v>
      </c>
      <c r="P40" s="382">
        <v>82.28</v>
      </c>
      <c r="Q40" s="382">
        <v>79.02</v>
      </c>
      <c r="R40" s="382">
        <v>40.51</v>
      </c>
      <c r="S40" s="382">
        <v>121.96</v>
      </c>
      <c r="T40" s="382">
        <v>3576</v>
      </c>
      <c r="U40" s="382">
        <v>97.52</v>
      </c>
      <c r="V40" s="382">
        <v>3268</v>
      </c>
      <c r="W40" s="382">
        <v>153.96</v>
      </c>
      <c r="X40" s="382">
        <v>83</v>
      </c>
      <c r="Y40" s="382">
        <v>0</v>
      </c>
      <c r="Z40" s="382">
        <v>102</v>
      </c>
      <c r="AA40" s="382">
        <v>29</v>
      </c>
      <c r="AB40" s="382">
        <v>13</v>
      </c>
      <c r="AC40" s="382">
        <v>14</v>
      </c>
      <c r="AD40" s="386">
        <v>27500</v>
      </c>
      <c r="AE40" s="386">
        <v>265</v>
      </c>
      <c r="AF40" s="386">
        <v>542</v>
      </c>
      <c r="AG40" s="386">
        <v>807</v>
      </c>
    </row>
    <row r="41" spans="1:33" x14ac:dyDescent="0.35">
      <c r="A41" s="381" t="s">
        <v>144</v>
      </c>
      <c r="B41" s="387" t="s">
        <v>145</v>
      </c>
      <c r="C41" s="383">
        <v>9744</v>
      </c>
      <c r="D41" s="383">
        <v>1</v>
      </c>
      <c r="E41" s="383">
        <v>305</v>
      </c>
      <c r="F41" s="383">
        <v>701</v>
      </c>
      <c r="G41" s="383">
        <v>340</v>
      </c>
      <c r="H41" s="383">
        <v>11091</v>
      </c>
      <c r="I41" s="382">
        <v>10751</v>
      </c>
      <c r="J41" s="382">
        <v>1</v>
      </c>
      <c r="K41" s="384">
        <v>94.91</v>
      </c>
      <c r="L41" s="384">
        <v>95.02</v>
      </c>
      <c r="M41" s="384">
        <v>3.86</v>
      </c>
      <c r="N41" s="384">
        <v>96.08</v>
      </c>
      <c r="O41" s="385">
        <v>8744</v>
      </c>
      <c r="P41" s="382">
        <v>87.97</v>
      </c>
      <c r="Q41" s="382">
        <v>85.3</v>
      </c>
      <c r="R41" s="382">
        <v>43.08</v>
      </c>
      <c r="S41" s="382">
        <v>129.82</v>
      </c>
      <c r="T41" s="382">
        <v>842</v>
      </c>
      <c r="U41" s="382">
        <v>136.01</v>
      </c>
      <c r="V41" s="382">
        <v>906</v>
      </c>
      <c r="W41" s="382">
        <v>140.61000000000001</v>
      </c>
      <c r="X41" s="382">
        <v>25</v>
      </c>
      <c r="Y41" s="382">
        <v>64</v>
      </c>
      <c r="Z41" s="382">
        <v>14</v>
      </c>
      <c r="AA41" s="382">
        <v>0</v>
      </c>
      <c r="AB41" s="382">
        <v>34</v>
      </c>
      <c r="AC41" s="382">
        <v>3</v>
      </c>
      <c r="AD41" s="386">
        <v>9732</v>
      </c>
      <c r="AE41" s="386">
        <v>28</v>
      </c>
      <c r="AF41" s="386">
        <v>35</v>
      </c>
      <c r="AG41" s="386">
        <v>63</v>
      </c>
    </row>
    <row r="42" spans="1:33" x14ac:dyDescent="0.35">
      <c r="A42" s="381" t="s">
        <v>146</v>
      </c>
      <c r="B42" s="387" t="s">
        <v>147</v>
      </c>
      <c r="C42" s="383">
        <v>7433</v>
      </c>
      <c r="D42" s="383">
        <v>0</v>
      </c>
      <c r="E42" s="383">
        <v>191</v>
      </c>
      <c r="F42" s="383">
        <v>973</v>
      </c>
      <c r="G42" s="383">
        <v>289</v>
      </c>
      <c r="H42" s="383">
        <v>8886</v>
      </c>
      <c r="I42" s="382">
        <v>8597</v>
      </c>
      <c r="J42" s="382">
        <v>13</v>
      </c>
      <c r="K42" s="384">
        <v>87.51</v>
      </c>
      <c r="L42" s="384">
        <v>87.54</v>
      </c>
      <c r="M42" s="384">
        <v>3.29</v>
      </c>
      <c r="N42" s="384">
        <v>88.43</v>
      </c>
      <c r="O42" s="385">
        <v>6755</v>
      </c>
      <c r="P42" s="382">
        <v>80.17</v>
      </c>
      <c r="Q42" s="382">
        <v>77.78</v>
      </c>
      <c r="R42" s="382">
        <v>21.65</v>
      </c>
      <c r="S42" s="382">
        <v>101.09</v>
      </c>
      <c r="T42" s="382">
        <v>1124</v>
      </c>
      <c r="U42" s="382">
        <v>111.34</v>
      </c>
      <c r="V42" s="382">
        <v>661</v>
      </c>
      <c r="W42" s="382">
        <v>0</v>
      </c>
      <c r="X42" s="382">
        <v>0</v>
      </c>
      <c r="Y42" s="382">
        <v>27</v>
      </c>
      <c r="Z42" s="382">
        <v>3</v>
      </c>
      <c r="AA42" s="382">
        <v>6</v>
      </c>
      <c r="AB42" s="382">
        <v>22</v>
      </c>
      <c r="AC42" s="382">
        <v>4</v>
      </c>
      <c r="AD42" s="386">
        <v>7433</v>
      </c>
      <c r="AE42" s="386">
        <v>42</v>
      </c>
      <c r="AF42" s="386">
        <v>41</v>
      </c>
      <c r="AG42" s="386">
        <v>83</v>
      </c>
    </row>
    <row r="43" spans="1:33" x14ac:dyDescent="0.35">
      <c r="A43" s="381" t="s">
        <v>148</v>
      </c>
      <c r="B43" s="387" t="s">
        <v>149</v>
      </c>
      <c r="C43" s="383">
        <v>15957</v>
      </c>
      <c r="D43" s="383">
        <v>106</v>
      </c>
      <c r="E43" s="383">
        <v>1055</v>
      </c>
      <c r="F43" s="383">
        <v>1073</v>
      </c>
      <c r="G43" s="383">
        <v>2112</v>
      </c>
      <c r="H43" s="383">
        <v>20303</v>
      </c>
      <c r="I43" s="382">
        <v>18191</v>
      </c>
      <c r="J43" s="382">
        <v>20</v>
      </c>
      <c r="K43" s="384">
        <v>130.62</v>
      </c>
      <c r="L43" s="384">
        <v>127.83</v>
      </c>
      <c r="M43" s="384">
        <v>11.12</v>
      </c>
      <c r="N43" s="384">
        <v>138.36000000000001</v>
      </c>
      <c r="O43" s="385">
        <v>11959</v>
      </c>
      <c r="P43" s="382">
        <v>115.34</v>
      </c>
      <c r="Q43" s="382">
        <v>99.65</v>
      </c>
      <c r="R43" s="382">
        <v>49.04</v>
      </c>
      <c r="S43" s="382">
        <v>152.79</v>
      </c>
      <c r="T43" s="382">
        <v>1786</v>
      </c>
      <c r="U43" s="382">
        <v>206.19</v>
      </c>
      <c r="V43" s="382">
        <v>1579</v>
      </c>
      <c r="W43" s="382">
        <v>200.84</v>
      </c>
      <c r="X43" s="382">
        <v>139</v>
      </c>
      <c r="Y43" s="382">
        <v>0</v>
      </c>
      <c r="Z43" s="382">
        <v>5</v>
      </c>
      <c r="AA43" s="382">
        <v>16</v>
      </c>
      <c r="AB43" s="382">
        <v>158</v>
      </c>
      <c r="AC43" s="382">
        <v>73</v>
      </c>
      <c r="AD43" s="386">
        <v>14499</v>
      </c>
      <c r="AE43" s="386">
        <v>84</v>
      </c>
      <c r="AF43" s="386">
        <v>64</v>
      </c>
      <c r="AG43" s="386">
        <v>148</v>
      </c>
    </row>
    <row r="44" spans="1:33" x14ac:dyDescent="0.35">
      <c r="A44" s="381" t="s">
        <v>150</v>
      </c>
      <c r="B44" s="387" t="s">
        <v>151</v>
      </c>
      <c r="C44" s="383">
        <v>762</v>
      </c>
      <c r="D44" s="383">
        <v>7</v>
      </c>
      <c r="E44" s="383">
        <v>74</v>
      </c>
      <c r="F44" s="383">
        <v>163</v>
      </c>
      <c r="G44" s="383">
        <v>187</v>
      </c>
      <c r="H44" s="383">
        <v>1193</v>
      </c>
      <c r="I44" s="382">
        <v>1006</v>
      </c>
      <c r="J44" s="382">
        <v>0</v>
      </c>
      <c r="K44" s="384">
        <v>116</v>
      </c>
      <c r="L44" s="384">
        <v>114.26</v>
      </c>
      <c r="M44" s="384">
        <v>7.8</v>
      </c>
      <c r="N44" s="384">
        <v>123.23</v>
      </c>
      <c r="O44" s="385">
        <v>510</v>
      </c>
      <c r="P44" s="382">
        <v>98.13</v>
      </c>
      <c r="Q44" s="382">
        <v>96.55</v>
      </c>
      <c r="R44" s="382">
        <v>41.31</v>
      </c>
      <c r="S44" s="382">
        <v>139.27000000000001</v>
      </c>
      <c r="T44" s="382">
        <v>237</v>
      </c>
      <c r="U44" s="382">
        <v>141.51</v>
      </c>
      <c r="V44" s="382">
        <v>109</v>
      </c>
      <c r="W44" s="382">
        <v>0</v>
      </c>
      <c r="X44" s="382">
        <v>0</v>
      </c>
      <c r="Y44" s="382">
        <v>0</v>
      </c>
      <c r="Z44" s="382">
        <v>0</v>
      </c>
      <c r="AA44" s="382">
        <v>0</v>
      </c>
      <c r="AB44" s="382">
        <v>5</v>
      </c>
      <c r="AC44" s="382">
        <v>3</v>
      </c>
      <c r="AD44" s="386">
        <v>622</v>
      </c>
      <c r="AE44" s="386">
        <v>4</v>
      </c>
      <c r="AF44" s="386">
        <v>0</v>
      </c>
      <c r="AG44" s="386">
        <v>4</v>
      </c>
    </row>
    <row r="45" spans="1:33" x14ac:dyDescent="0.35">
      <c r="A45" s="381" t="s">
        <v>152</v>
      </c>
      <c r="B45" s="387" t="s">
        <v>153</v>
      </c>
      <c r="C45" s="383">
        <v>4568</v>
      </c>
      <c r="D45" s="383">
        <v>15</v>
      </c>
      <c r="E45" s="383">
        <v>1022</v>
      </c>
      <c r="F45" s="383">
        <v>1048</v>
      </c>
      <c r="G45" s="383">
        <v>853</v>
      </c>
      <c r="H45" s="383">
        <v>7506</v>
      </c>
      <c r="I45" s="382">
        <v>6653</v>
      </c>
      <c r="J45" s="382">
        <v>32</v>
      </c>
      <c r="K45" s="384">
        <v>94.37</v>
      </c>
      <c r="L45" s="384">
        <v>92.03</v>
      </c>
      <c r="M45" s="384">
        <v>10.14</v>
      </c>
      <c r="N45" s="384">
        <v>102.61</v>
      </c>
      <c r="O45" s="385">
        <v>3808</v>
      </c>
      <c r="P45" s="382">
        <v>90.56</v>
      </c>
      <c r="Q45" s="382">
        <v>83.87</v>
      </c>
      <c r="R45" s="382">
        <v>63.16</v>
      </c>
      <c r="S45" s="382">
        <v>152.25</v>
      </c>
      <c r="T45" s="382">
        <v>1202</v>
      </c>
      <c r="U45" s="382">
        <v>159.22999999999999</v>
      </c>
      <c r="V45" s="382">
        <v>447</v>
      </c>
      <c r="W45" s="382">
        <v>147.36000000000001</v>
      </c>
      <c r="X45" s="382">
        <v>20</v>
      </c>
      <c r="Y45" s="382">
        <v>0</v>
      </c>
      <c r="Z45" s="382">
        <v>0</v>
      </c>
      <c r="AA45" s="382">
        <v>8</v>
      </c>
      <c r="AB45" s="382">
        <v>18</v>
      </c>
      <c r="AC45" s="382">
        <v>15</v>
      </c>
      <c r="AD45" s="386">
        <v>4296</v>
      </c>
      <c r="AE45" s="386">
        <v>22</v>
      </c>
      <c r="AF45" s="386">
        <v>19</v>
      </c>
      <c r="AG45" s="386">
        <v>41</v>
      </c>
    </row>
    <row r="46" spans="1:33" x14ac:dyDescent="0.35">
      <c r="A46" s="381" t="s">
        <v>154</v>
      </c>
      <c r="B46" s="387" t="s">
        <v>155</v>
      </c>
      <c r="C46" s="383">
        <v>8728</v>
      </c>
      <c r="D46" s="383">
        <v>45</v>
      </c>
      <c r="E46" s="383">
        <v>2681</v>
      </c>
      <c r="F46" s="383">
        <v>1079</v>
      </c>
      <c r="G46" s="383">
        <v>1309</v>
      </c>
      <c r="H46" s="383">
        <v>13842</v>
      </c>
      <c r="I46" s="382">
        <v>12533</v>
      </c>
      <c r="J46" s="382">
        <v>0</v>
      </c>
      <c r="K46" s="384">
        <v>95.79</v>
      </c>
      <c r="L46" s="384">
        <v>94.36</v>
      </c>
      <c r="M46" s="384">
        <v>9.75</v>
      </c>
      <c r="N46" s="384">
        <v>102.86</v>
      </c>
      <c r="O46" s="385">
        <v>7043</v>
      </c>
      <c r="P46" s="382">
        <v>90.1</v>
      </c>
      <c r="Q46" s="382">
        <v>87.75</v>
      </c>
      <c r="R46" s="382">
        <v>39.57</v>
      </c>
      <c r="S46" s="382">
        <v>128.91</v>
      </c>
      <c r="T46" s="382">
        <v>3052</v>
      </c>
      <c r="U46" s="382">
        <v>131.57</v>
      </c>
      <c r="V46" s="382">
        <v>1100</v>
      </c>
      <c r="W46" s="382">
        <v>154.37</v>
      </c>
      <c r="X46" s="382">
        <v>68</v>
      </c>
      <c r="Y46" s="382">
        <v>1</v>
      </c>
      <c r="Z46" s="382">
        <v>1</v>
      </c>
      <c r="AA46" s="382">
        <v>13</v>
      </c>
      <c r="AB46" s="382">
        <v>39</v>
      </c>
      <c r="AC46" s="382">
        <v>21</v>
      </c>
      <c r="AD46" s="386">
        <v>8364</v>
      </c>
      <c r="AE46" s="386">
        <v>38</v>
      </c>
      <c r="AF46" s="386">
        <v>35</v>
      </c>
      <c r="AG46" s="386">
        <v>73</v>
      </c>
    </row>
    <row r="47" spans="1:33" x14ac:dyDescent="0.35">
      <c r="A47" s="381" t="s">
        <v>156</v>
      </c>
      <c r="B47" s="387" t="s">
        <v>157</v>
      </c>
      <c r="C47" s="383">
        <v>4888</v>
      </c>
      <c r="D47" s="383">
        <v>5</v>
      </c>
      <c r="E47" s="383">
        <v>151</v>
      </c>
      <c r="F47" s="383">
        <v>559</v>
      </c>
      <c r="G47" s="383">
        <v>386</v>
      </c>
      <c r="H47" s="383">
        <v>5989</v>
      </c>
      <c r="I47" s="382">
        <v>5603</v>
      </c>
      <c r="J47" s="382">
        <v>0</v>
      </c>
      <c r="K47" s="384">
        <v>91</v>
      </c>
      <c r="L47" s="384">
        <v>87.83</v>
      </c>
      <c r="M47" s="384">
        <v>2.41</v>
      </c>
      <c r="N47" s="384">
        <v>92.62</v>
      </c>
      <c r="O47" s="385">
        <v>3699</v>
      </c>
      <c r="P47" s="382">
        <v>90.7</v>
      </c>
      <c r="Q47" s="382">
        <v>83.11</v>
      </c>
      <c r="R47" s="382">
        <v>31.29</v>
      </c>
      <c r="S47" s="382">
        <v>121.9</v>
      </c>
      <c r="T47" s="382">
        <v>706</v>
      </c>
      <c r="U47" s="382">
        <v>109.2</v>
      </c>
      <c r="V47" s="382">
        <v>1054</v>
      </c>
      <c r="W47" s="382">
        <v>0</v>
      </c>
      <c r="X47" s="382">
        <v>0</v>
      </c>
      <c r="Y47" s="382">
        <v>13</v>
      </c>
      <c r="Z47" s="382">
        <v>1</v>
      </c>
      <c r="AA47" s="382">
        <v>8</v>
      </c>
      <c r="AB47" s="382">
        <v>21</v>
      </c>
      <c r="AC47" s="382">
        <v>7</v>
      </c>
      <c r="AD47" s="386">
        <v>4888</v>
      </c>
      <c r="AE47" s="386">
        <v>16</v>
      </c>
      <c r="AF47" s="386">
        <v>30</v>
      </c>
      <c r="AG47" s="386">
        <v>46</v>
      </c>
    </row>
    <row r="48" spans="1:33" x14ac:dyDescent="0.35">
      <c r="A48" s="381" t="s">
        <v>158</v>
      </c>
      <c r="B48" s="387" t="s">
        <v>159</v>
      </c>
      <c r="C48" s="383">
        <v>16261</v>
      </c>
      <c r="D48" s="383">
        <v>108</v>
      </c>
      <c r="E48" s="383">
        <v>600</v>
      </c>
      <c r="F48" s="383">
        <v>2004</v>
      </c>
      <c r="G48" s="383">
        <v>1063</v>
      </c>
      <c r="H48" s="383">
        <v>20036</v>
      </c>
      <c r="I48" s="382">
        <v>18973</v>
      </c>
      <c r="J48" s="382">
        <v>15</v>
      </c>
      <c r="K48" s="384">
        <v>113.49</v>
      </c>
      <c r="L48" s="384">
        <v>109.08</v>
      </c>
      <c r="M48" s="384">
        <v>11.43</v>
      </c>
      <c r="N48" s="384">
        <v>120.13</v>
      </c>
      <c r="O48" s="385">
        <v>13363</v>
      </c>
      <c r="P48" s="382">
        <v>108.12</v>
      </c>
      <c r="Q48" s="382">
        <v>103.62</v>
      </c>
      <c r="R48" s="382">
        <v>49.69</v>
      </c>
      <c r="S48" s="382">
        <v>156.01</v>
      </c>
      <c r="T48" s="382">
        <v>2070</v>
      </c>
      <c r="U48" s="382">
        <v>171.72</v>
      </c>
      <c r="V48" s="382">
        <v>1800</v>
      </c>
      <c r="W48" s="382">
        <v>0</v>
      </c>
      <c r="X48" s="382">
        <v>0</v>
      </c>
      <c r="Y48" s="382">
        <v>139</v>
      </c>
      <c r="Z48" s="382">
        <v>3</v>
      </c>
      <c r="AA48" s="382">
        <v>18</v>
      </c>
      <c r="AB48" s="382">
        <v>83</v>
      </c>
      <c r="AC48" s="382">
        <v>34</v>
      </c>
      <c r="AD48" s="386">
        <v>15421</v>
      </c>
      <c r="AE48" s="386">
        <v>196</v>
      </c>
      <c r="AF48" s="386">
        <v>82</v>
      </c>
      <c r="AG48" s="386">
        <v>278</v>
      </c>
    </row>
    <row r="49" spans="1:33" x14ac:dyDescent="0.35">
      <c r="A49" s="381" t="s">
        <v>160</v>
      </c>
      <c r="B49" s="387" t="s">
        <v>161</v>
      </c>
      <c r="C49" s="383">
        <v>3456</v>
      </c>
      <c r="D49" s="383">
        <v>0</v>
      </c>
      <c r="E49" s="383">
        <v>80</v>
      </c>
      <c r="F49" s="383">
        <v>998</v>
      </c>
      <c r="G49" s="383">
        <v>449</v>
      </c>
      <c r="H49" s="383">
        <v>4983</v>
      </c>
      <c r="I49" s="382">
        <v>4534</v>
      </c>
      <c r="J49" s="382">
        <v>0</v>
      </c>
      <c r="K49" s="384">
        <v>90.53</v>
      </c>
      <c r="L49" s="384">
        <v>90.06</v>
      </c>
      <c r="M49" s="384">
        <v>4.5999999999999996</v>
      </c>
      <c r="N49" s="384">
        <v>93.32</v>
      </c>
      <c r="O49" s="385">
        <v>3079</v>
      </c>
      <c r="P49" s="382">
        <v>82.86</v>
      </c>
      <c r="Q49" s="382">
        <v>83.82</v>
      </c>
      <c r="R49" s="382">
        <v>26.16</v>
      </c>
      <c r="S49" s="382">
        <v>108.99</v>
      </c>
      <c r="T49" s="382">
        <v>1036</v>
      </c>
      <c r="U49" s="382">
        <v>113.7</v>
      </c>
      <c r="V49" s="382">
        <v>336</v>
      </c>
      <c r="W49" s="382">
        <v>0</v>
      </c>
      <c r="X49" s="382">
        <v>0</v>
      </c>
      <c r="Y49" s="382">
        <v>0</v>
      </c>
      <c r="Z49" s="382">
        <v>12</v>
      </c>
      <c r="AA49" s="382">
        <v>1</v>
      </c>
      <c r="AB49" s="382">
        <v>34</v>
      </c>
      <c r="AC49" s="382">
        <v>7</v>
      </c>
      <c r="AD49" s="386">
        <v>3456</v>
      </c>
      <c r="AE49" s="386">
        <v>26</v>
      </c>
      <c r="AF49" s="386">
        <v>17</v>
      </c>
      <c r="AG49" s="386">
        <v>43</v>
      </c>
    </row>
    <row r="50" spans="1:33" x14ac:dyDescent="0.35">
      <c r="A50" s="381" t="s">
        <v>162</v>
      </c>
      <c r="B50" s="387" t="s">
        <v>163</v>
      </c>
      <c r="C50" s="383">
        <v>4741</v>
      </c>
      <c r="D50" s="383">
        <v>0</v>
      </c>
      <c r="E50" s="383">
        <v>119</v>
      </c>
      <c r="F50" s="383">
        <v>379</v>
      </c>
      <c r="G50" s="383">
        <v>382</v>
      </c>
      <c r="H50" s="383">
        <v>5621</v>
      </c>
      <c r="I50" s="382">
        <v>5239</v>
      </c>
      <c r="J50" s="382">
        <v>0</v>
      </c>
      <c r="K50" s="384">
        <v>112.04</v>
      </c>
      <c r="L50" s="384">
        <v>109.75</v>
      </c>
      <c r="M50" s="384">
        <v>7.08</v>
      </c>
      <c r="N50" s="384">
        <v>116.29</v>
      </c>
      <c r="O50" s="385">
        <v>3913</v>
      </c>
      <c r="P50" s="382">
        <v>99.23</v>
      </c>
      <c r="Q50" s="382">
        <v>94.17</v>
      </c>
      <c r="R50" s="382">
        <v>35.76</v>
      </c>
      <c r="S50" s="382">
        <v>134.63</v>
      </c>
      <c r="T50" s="382">
        <v>498</v>
      </c>
      <c r="U50" s="382">
        <v>166.33</v>
      </c>
      <c r="V50" s="382">
        <v>811</v>
      </c>
      <c r="W50" s="382">
        <v>0</v>
      </c>
      <c r="X50" s="382">
        <v>0</v>
      </c>
      <c r="Y50" s="382">
        <v>0</v>
      </c>
      <c r="Z50" s="382">
        <v>8</v>
      </c>
      <c r="AA50" s="382">
        <v>0</v>
      </c>
      <c r="AB50" s="382">
        <v>13</v>
      </c>
      <c r="AC50" s="382">
        <v>1</v>
      </c>
      <c r="AD50" s="386">
        <v>4741</v>
      </c>
      <c r="AE50" s="386">
        <v>21</v>
      </c>
      <c r="AF50" s="386">
        <v>4</v>
      </c>
      <c r="AG50" s="386">
        <v>25</v>
      </c>
    </row>
    <row r="51" spans="1:33" x14ac:dyDescent="0.35">
      <c r="A51" s="381" t="s">
        <v>164</v>
      </c>
      <c r="B51" s="387" t="s">
        <v>165</v>
      </c>
      <c r="C51" s="383">
        <v>1086</v>
      </c>
      <c r="D51" s="383">
        <v>0</v>
      </c>
      <c r="E51" s="383">
        <v>119</v>
      </c>
      <c r="F51" s="383">
        <v>108</v>
      </c>
      <c r="G51" s="383">
        <v>89</v>
      </c>
      <c r="H51" s="383">
        <v>1402</v>
      </c>
      <c r="I51" s="382">
        <v>1313</v>
      </c>
      <c r="J51" s="382">
        <v>0</v>
      </c>
      <c r="K51" s="384">
        <v>79.19</v>
      </c>
      <c r="L51" s="384">
        <v>77.91</v>
      </c>
      <c r="M51" s="384">
        <v>7.3</v>
      </c>
      <c r="N51" s="384">
        <v>85.28</v>
      </c>
      <c r="O51" s="385">
        <v>910</v>
      </c>
      <c r="P51" s="382">
        <v>95.81</v>
      </c>
      <c r="Q51" s="382">
        <v>74.19</v>
      </c>
      <c r="R51" s="382">
        <v>63.1</v>
      </c>
      <c r="S51" s="382">
        <v>158.6</v>
      </c>
      <c r="T51" s="382">
        <v>200</v>
      </c>
      <c r="U51" s="382">
        <v>94.88</v>
      </c>
      <c r="V51" s="382">
        <v>159</v>
      </c>
      <c r="W51" s="382">
        <v>196.35</v>
      </c>
      <c r="X51" s="382">
        <v>27</v>
      </c>
      <c r="Y51" s="382">
        <v>0</v>
      </c>
      <c r="Z51" s="382">
        <v>4</v>
      </c>
      <c r="AA51" s="382">
        <v>0</v>
      </c>
      <c r="AB51" s="382">
        <v>0</v>
      </c>
      <c r="AC51" s="382">
        <v>7</v>
      </c>
      <c r="AD51" s="386">
        <v>1086</v>
      </c>
      <c r="AE51" s="386">
        <v>9</v>
      </c>
      <c r="AF51" s="386">
        <v>2</v>
      </c>
      <c r="AG51" s="386">
        <v>11</v>
      </c>
    </row>
    <row r="52" spans="1:33" x14ac:dyDescent="0.35">
      <c r="A52" s="388" t="s">
        <v>779</v>
      </c>
      <c r="B52" s="388" t="s">
        <v>774</v>
      </c>
      <c r="C52" s="382">
        <v>24982</v>
      </c>
      <c r="D52" s="382">
        <v>0</v>
      </c>
      <c r="E52" s="382">
        <v>967</v>
      </c>
      <c r="F52" s="382">
        <v>3331</v>
      </c>
      <c r="G52" s="382">
        <v>2427</v>
      </c>
      <c r="H52" s="382">
        <v>31707</v>
      </c>
      <c r="I52" s="382">
        <v>29280</v>
      </c>
      <c r="J52" s="382">
        <v>56</v>
      </c>
      <c r="K52" s="389">
        <v>109.13</v>
      </c>
      <c r="L52" s="389">
        <v>108.93</v>
      </c>
      <c r="M52" s="389">
        <v>5.25</v>
      </c>
      <c r="N52" s="389">
        <v>112.49</v>
      </c>
      <c r="O52" s="382">
        <v>21093</v>
      </c>
      <c r="P52" s="389">
        <v>101.78</v>
      </c>
      <c r="Q52" s="389">
        <v>97.39</v>
      </c>
      <c r="R52" s="389">
        <v>29.63</v>
      </c>
      <c r="S52" s="389">
        <v>129.08000000000001</v>
      </c>
      <c r="T52" s="382">
        <v>3882</v>
      </c>
      <c r="U52" s="389">
        <v>159.97</v>
      </c>
      <c r="V52" s="382">
        <v>3466</v>
      </c>
      <c r="W52" s="389">
        <v>152.22999999999999</v>
      </c>
      <c r="X52" s="382">
        <v>48</v>
      </c>
      <c r="Y52" s="382">
        <v>44</v>
      </c>
      <c r="Z52" s="382">
        <v>37</v>
      </c>
      <c r="AA52" s="382">
        <v>18</v>
      </c>
      <c r="AB52" s="382">
        <v>196</v>
      </c>
      <c r="AC52" s="382">
        <v>45</v>
      </c>
      <c r="AD52" s="382">
        <v>24638</v>
      </c>
      <c r="AE52" s="382">
        <v>111</v>
      </c>
      <c r="AF52" s="382">
        <v>170</v>
      </c>
      <c r="AG52" s="382">
        <v>281</v>
      </c>
    </row>
    <row r="53" spans="1:33" x14ac:dyDescent="0.35">
      <c r="A53" s="381" t="s">
        <v>166</v>
      </c>
      <c r="B53" s="387" t="s">
        <v>167</v>
      </c>
      <c r="C53" s="383">
        <v>4444</v>
      </c>
      <c r="D53" s="383">
        <v>0</v>
      </c>
      <c r="E53" s="383">
        <v>358</v>
      </c>
      <c r="F53" s="383">
        <v>1431</v>
      </c>
      <c r="G53" s="383">
        <v>22</v>
      </c>
      <c r="H53" s="383">
        <v>6255</v>
      </c>
      <c r="I53" s="382">
        <v>6233</v>
      </c>
      <c r="J53" s="382">
        <v>8</v>
      </c>
      <c r="K53" s="384">
        <v>79.36</v>
      </c>
      <c r="L53" s="384">
        <v>76.569999999999993</v>
      </c>
      <c r="M53" s="384">
        <v>2.61</v>
      </c>
      <c r="N53" s="384">
        <v>81.739999999999995</v>
      </c>
      <c r="O53" s="385">
        <v>3859</v>
      </c>
      <c r="P53" s="382">
        <v>81.19</v>
      </c>
      <c r="Q53" s="382">
        <v>70.03</v>
      </c>
      <c r="R53" s="382">
        <v>32.99</v>
      </c>
      <c r="S53" s="382">
        <v>113.51</v>
      </c>
      <c r="T53" s="382">
        <v>1621</v>
      </c>
      <c r="U53" s="382">
        <v>95.47</v>
      </c>
      <c r="V53" s="382">
        <v>568</v>
      </c>
      <c r="W53" s="382">
        <v>269.86</v>
      </c>
      <c r="X53" s="382">
        <v>84</v>
      </c>
      <c r="Y53" s="382">
        <v>0</v>
      </c>
      <c r="Z53" s="382">
        <v>19</v>
      </c>
      <c r="AA53" s="382">
        <v>0</v>
      </c>
      <c r="AB53" s="382">
        <v>7</v>
      </c>
      <c r="AC53" s="382">
        <v>0</v>
      </c>
      <c r="AD53" s="386">
        <v>4433</v>
      </c>
      <c r="AE53" s="386">
        <v>41</v>
      </c>
      <c r="AF53" s="386">
        <v>8</v>
      </c>
      <c r="AG53" s="386">
        <v>49</v>
      </c>
    </row>
    <row r="54" spans="1:33" x14ac:dyDescent="0.35">
      <c r="A54" s="381" t="s">
        <v>168</v>
      </c>
      <c r="B54" s="387" t="s">
        <v>169</v>
      </c>
      <c r="C54" s="383">
        <v>3870</v>
      </c>
      <c r="D54" s="383">
        <v>0</v>
      </c>
      <c r="E54" s="383">
        <v>510</v>
      </c>
      <c r="F54" s="383">
        <v>530</v>
      </c>
      <c r="G54" s="383">
        <v>130</v>
      </c>
      <c r="H54" s="383">
        <v>5040</v>
      </c>
      <c r="I54" s="382">
        <v>4910</v>
      </c>
      <c r="J54" s="382">
        <v>1</v>
      </c>
      <c r="K54" s="384">
        <v>80.84</v>
      </c>
      <c r="L54" s="384">
        <v>81.2</v>
      </c>
      <c r="M54" s="384">
        <v>6.34</v>
      </c>
      <c r="N54" s="384">
        <v>84.79</v>
      </c>
      <c r="O54" s="385">
        <v>3110</v>
      </c>
      <c r="P54" s="382">
        <v>89.96</v>
      </c>
      <c r="Q54" s="382">
        <v>82.29</v>
      </c>
      <c r="R54" s="382">
        <v>46.72</v>
      </c>
      <c r="S54" s="382">
        <v>130.57</v>
      </c>
      <c r="T54" s="382">
        <v>758</v>
      </c>
      <c r="U54" s="382">
        <v>102.63</v>
      </c>
      <c r="V54" s="382">
        <v>503</v>
      </c>
      <c r="W54" s="382">
        <v>125.69</v>
      </c>
      <c r="X54" s="382">
        <v>16</v>
      </c>
      <c r="Y54" s="382">
        <v>8</v>
      </c>
      <c r="Z54" s="382">
        <v>8</v>
      </c>
      <c r="AA54" s="382">
        <v>3</v>
      </c>
      <c r="AB54" s="382">
        <v>1</v>
      </c>
      <c r="AC54" s="382">
        <v>5</v>
      </c>
      <c r="AD54" s="386">
        <v>3496</v>
      </c>
      <c r="AE54" s="386">
        <v>25</v>
      </c>
      <c r="AF54" s="386">
        <v>26</v>
      </c>
      <c r="AG54" s="386">
        <v>51</v>
      </c>
    </row>
    <row r="55" spans="1:33" x14ac:dyDescent="0.35">
      <c r="A55" s="381" t="s">
        <v>170</v>
      </c>
      <c r="B55" s="387" t="s">
        <v>171</v>
      </c>
      <c r="C55" s="383">
        <v>12633</v>
      </c>
      <c r="D55" s="383">
        <v>0</v>
      </c>
      <c r="E55" s="383">
        <v>341</v>
      </c>
      <c r="F55" s="383">
        <v>934</v>
      </c>
      <c r="G55" s="383">
        <v>223</v>
      </c>
      <c r="H55" s="383">
        <v>14131</v>
      </c>
      <c r="I55" s="382">
        <v>13908</v>
      </c>
      <c r="J55" s="382">
        <v>11</v>
      </c>
      <c r="K55" s="384">
        <v>76.75</v>
      </c>
      <c r="L55" s="384">
        <v>75.36</v>
      </c>
      <c r="M55" s="384">
        <v>7.3</v>
      </c>
      <c r="N55" s="384">
        <v>83.74</v>
      </c>
      <c r="O55" s="385">
        <v>11860</v>
      </c>
      <c r="P55" s="382">
        <v>88.29</v>
      </c>
      <c r="Q55" s="382">
        <v>76.02</v>
      </c>
      <c r="R55" s="382">
        <v>38.119999999999997</v>
      </c>
      <c r="S55" s="382">
        <v>125.52</v>
      </c>
      <c r="T55" s="382">
        <v>1122</v>
      </c>
      <c r="U55" s="382">
        <v>97.29</v>
      </c>
      <c r="V55" s="382">
        <v>694</v>
      </c>
      <c r="W55" s="382">
        <v>94.9</v>
      </c>
      <c r="X55" s="382">
        <v>10</v>
      </c>
      <c r="Y55" s="382">
        <v>0</v>
      </c>
      <c r="Z55" s="382">
        <v>43</v>
      </c>
      <c r="AA55" s="382">
        <v>136</v>
      </c>
      <c r="AB55" s="382">
        <v>3</v>
      </c>
      <c r="AC55" s="382">
        <v>9</v>
      </c>
      <c r="AD55" s="386">
        <v>12611</v>
      </c>
      <c r="AE55" s="386">
        <v>111</v>
      </c>
      <c r="AF55" s="386">
        <v>155</v>
      </c>
      <c r="AG55" s="386">
        <v>266</v>
      </c>
    </row>
    <row r="56" spans="1:33" x14ac:dyDescent="0.35">
      <c r="A56" s="381" t="s">
        <v>172</v>
      </c>
      <c r="B56" s="387" t="s">
        <v>173</v>
      </c>
      <c r="C56" s="383">
        <v>3768</v>
      </c>
      <c r="D56" s="383">
        <v>595</v>
      </c>
      <c r="E56" s="383">
        <v>453</v>
      </c>
      <c r="F56" s="383">
        <v>494</v>
      </c>
      <c r="G56" s="383">
        <v>748</v>
      </c>
      <c r="H56" s="383">
        <v>6058</v>
      </c>
      <c r="I56" s="382">
        <v>5310</v>
      </c>
      <c r="J56" s="382">
        <v>0</v>
      </c>
      <c r="K56" s="384">
        <v>107.22</v>
      </c>
      <c r="L56" s="384">
        <v>106.58</v>
      </c>
      <c r="M56" s="384">
        <v>8.1199999999999992</v>
      </c>
      <c r="N56" s="384">
        <v>112.61</v>
      </c>
      <c r="O56" s="385">
        <v>2535</v>
      </c>
      <c r="P56" s="382">
        <v>94.96</v>
      </c>
      <c r="Q56" s="382">
        <v>94.1</v>
      </c>
      <c r="R56" s="382">
        <v>66.48</v>
      </c>
      <c r="S56" s="382">
        <v>161.05000000000001</v>
      </c>
      <c r="T56" s="382">
        <v>853</v>
      </c>
      <c r="U56" s="382">
        <v>149.03</v>
      </c>
      <c r="V56" s="382">
        <v>931</v>
      </c>
      <c r="W56" s="382">
        <v>164.04</v>
      </c>
      <c r="X56" s="382">
        <v>2</v>
      </c>
      <c r="Y56" s="382">
        <v>0</v>
      </c>
      <c r="Z56" s="382">
        <v>0</v>
      </c>
      <c r="AA56" s="382">
        <v>2</v>
      </c>
      <c r="AB56" s="382">
        <v>21</v>
      </c>
      <c r="AC56" s="382">
        <v>25</v>
      </c>
      <c r="AD56" s="386">
        <v>3672</v>
      </c>
      <c r="AE56" s="386">
        <v>58</v>
      </c>
      <c r="AF56" s="386">
        <v>8</v>
      </c>
      <c r="AG56" s="386">
        <v>66</v>
      </c>
    </row>
    <row r="57" spans="1:33" x14ac:dyDescent="0.35">
      <c r="A57" s="381" t="s">
        <v>174</v>
      </c>
      <c r="B57" s="387" t="s">
        <v>175</v>
      </c>
      <c r="C57" s="383">
        <v>9128</v>
      </c>
      <c r="D57" s="383">
        <v>687</v>
      </c>
      <c r="E57" s="383">
        <v>945</v>
      </c>
      <c r="F57" s="383">
        <v>929</v>
      </c>
      <c r="G57" s="383">
        <v>534</v>
      </c>
      <c r="H57" s="383">
        <v>12223</v>
      </c>
      <c r="I57" s="382">
        <v>11689</v>
      </c>
      <c r="J57" s="382">
        <v>22</v>
      </c>
      <c r="K57" s="384">
        <v>129.71</v>
      </c>
      <c r="L57" s="384">
        <v>135.24</v>
      </c>
      <c r="M57" s="384">
        <v>18.27</v>
      </c>
      <c r="N57" s="384">
        <v>146.01</v>
      </c>
      <c r="O57" s="385">
        <v>6728</v>
      </c>
      <c r="P57" s="382">
        <v>108.07</v>
      </c>
      <c r="Q57" s="382">
        <v>108.27</v>
      </c>
      <c r="R57" s="382">
        <v>73.87</v>
      </c>
      <c r="S57" s="382">
        <v>179.96</v>
      </c>
      <c r="T57" s="382">
        <v>1749</v>
      </c>
      <c r="U57" s="382">
        <v>218.93</v>
      </c>
      <c r="V57" s="382">
        <v>471</v>
      </c>
      <c r="W57" s="382">
        <v>0</v>
      </c>
      <c r="X57" s="382">
        <v>0</v>
      </c>
      <c r="Y57" s="382">
        <v>38</v>
      </c>
      <c r="Z57" s="382">
        <v>0</v>
      </c>
      <c r="AA57" s="382">
        <v>7</v>
      </c>
      <c r="AB57" s="382">
        <v>13</v>
      </c>
      <c r="AC57" s="382">
        <v>8</v>
      </c>
      <c r="AD57" s="386">
        <v>7747</v>
      </c>
      <c r="AE57" s="386">
        <v>177</v>
      </c>
      <c r="AF57" s="386">
        <v>109</v>
      </c>
      <c r="AG57" s="386">
        <v>286</v>
      </c>
    </row>
    <row r="58" spans="1:33" x14ac:dyDescent="0.35">
      <c r="A58" s="381" t="s">
        <v>176</v>
      </c>
      <c r="B58" s="387" t="s">
        <v>177</v>
      </c>
      <c r="C58" s="383">
        <v>1652</v>
      </c>
      <c r="D58" s="383">
        <v>13</v>
      </c>
      <c r="E58" s="383">
        <v>232</v>
      </c>
      <c r="F58" s="383">
        <v>271</v>
      </c>
      <c r="G58" s="383">
        <v>258</v>
      </c>
      <c r="H58" s="383">
        <v>2426</v>
      </c>
      <c r="I58" s="382">
        <v>2168</v>
      </c>
      <c r="J58" s="382">
        <v>0</v>
      </c>
      <c r="K58" s="384">
        <v>89.71</v>
      </c>
      <c r="L58" s="384">
        <v>87.72</v>
      </c>
      <c r="M58" s="384">
        <v>5.2</v>
      </c>
      <c r="N58" s="384">
        <v>92.92</v>
      </c>
      <c r="O58" s="385">
        <v>1301</v>
      </c>
      <c r="P58" s="382">
        <v>88.9</v>
      </c>
      <c r="Q58" s="382">
        <v>84.92</v>
      </c>
      <c r="R58" s="382">
        <v>63.15</v>
      </c>
      <c r="S58" s="382">
        <v>152.05000000000001</v>
      </c>
      <c r="T58" s="382">
        <v>361</v>
      </c>
      <c r="U58" s="382">
        <v>111.66</v>
      </c>
      <c r="V58" s="382">
        <v>325</v>
      </c>
      <c r="W58" s="382">
        <v>210.28</v>
      </c>
      <c r="X58" s="382">
        <v>63</v>
      </c>
      <c r="Y58" s="382">
        <v>0</v>
      </c>
      <c r="Z58" s="382">
        <v>5</v>
      </c>
      <c r="AA58" s="382">
        <v>0</v>
      </c>
      <c r="AB58" s="382">
        <v>0</v>
      </c>
      <c r="AC58" s="382">
        <v>10</v>
      </c>
      <c r="AD58" s="386">
        <v>1641</v>
      </c>
      <c r="AE58" s="386">
        <v>9</v>
      </c>
      <c r="AF58" s="386">
        <v>36</v>
      </c>
      <c r="AG58" s="386">
        <v>45</v>
      </c>
    </row>
    <row r="59" spans="1:33" x14ac:dyDescent="0.35">
      <c r="A59" s="381" t="s">
        <v>178</v>
      </c>
      <c r="B59" s="387" t="s">
        <v>179</v>
      </c>
      <c r="C59" s="383">
        <v>2025</v>
      </c>
      <c r="D59" s="383">
        <v>0</v>
      </c>
      <c r="E59" s="383">
        <v>174</v>
      </c>
      <c r="F59" s="383">
        <v>380</v>
      </c>
      <c r="G59" s="383">
        <v>511</v>
      </c>
      <c r="H59" s="383">
        <v>3090</v>
      </c>
      <c r="I59" s="382">
        <v>2579</v>
      </c>
      <c r="J59" s="382">
        <v>0</v>
      </c>
      <c r="K59" s="384">
        <v>101.76</v>
      </c>
      <c r="L59" s="384">
        <v>100.44</v>
      </c>
      <c r="M59" s="384">
        <v>7.22</v>
      </c>
      <c r="N59" s="384">
        <v>107.75</v>
      </c>
      <c r="O59" s="385">
        <v>1379</v>
      </c>
      <c r="P59" s="382">
        <v>87.11</v>
      </c>
      <c r="Q59" s="382">
        <v>82.47</v>
      </c>
      <c r="R59" s="382">
        <v>50.67</v>
      </c>
      <c r="S59" s="382">
        <v>137.49</v>
      </c>
      <c r="T59" s="382">
        <v>532</v>
      </c>
      <c r="U59" s="382">
        <v>147.30000000000001</v>
      </c>
      <c r="V59" s="382">
        <v>362</v>
      </c>
      <c r="W59" s="382">
        <v>117.07</v>
      </c>
      <c r="X59" s="382">
        <v>6</v>
      </c>
      <c r="Y59" s="382">
        <v>21</v>
      </c>
      <c r="Z59" s="382">
        <v>0</v>
      </c>
      <c r="AA59" s="382">
        <v>0</v>
      </c>
      <c r="AB59" s="382">
        <v>55</v>
      </c>
      <c r="AC59" s="382">
        <v>6</v>
      </c>
      <c r="AD59" s="386">
        <v>1839</v>
      </c>
      <c r="AE59" s="386">
        <v>8</v>
      </c>
      <c r="AF59" s="386">
        <v>9</v>
      </c>
      <c r="AG59" s="386">
        <v>17</v>
      </c>
    </row>
    <row r="60" spans="1:33" x14ac:dyDescent="0.35">
      <c r="A60" s="381" t="s">
        <v>180</v>
      </c>
      <c r="B60" s="387" t="s">
        <v>181</v>
      </c>
      <c r="C60" s="383">
        <v>7093</v>
      </c>
      <c r="D60" s="383">
        <v>11</v>
      </c>
      <c r="E60" s="383">
        <v>278</v>
      </c>
      <c r="F60" s="383">
        <v>337</v>
      </c>
      <c r="G60" s="383">
        <v>264</v>
      </c>
      <c r="H60" s="383">
        <v>7983</v>
      </c>
      <c r="I60" s="382">
        <v>7719</v>
      </c>
      <c r="J60" s="382">
        <v>0</v>
      </c>
      <c r="K60" s="384">
        <v>80.34</v>
      </c>
      <c r="L60" s="384">
        <v>77.09</v>
      </c>
      <c r="M60" s="384">
        <v>3.57</v>
      </c>
      <c r="N60" s="384">
        <v>83.01</v>
      </c>
      <c r="O60" s="385">
        <v>5712</v>
      </c>
      <c r="P60" s="382">
        <v>94.49</v>
      </c>
      <c r="Q60" s="382">
        <v>81.86</v>
      </c>
      <c r="R60" s="382">
        <v>55.78</v>
      </c>
      <c r="S60" s="382">
        <v>148.55000000000001</v>
      </c>
      <c r="T60" s="382">
        <v>551</v>
      </c>
      <c r="U60" s="382">
        <v>88.97</v>
      </c>
      <c r="V60" s="382">
        <v>1372</v>
      </c>
      <c r="W60" s="382">
        <v>0</v>
      </c>
      <c r="X60" s="382">
        <v>0</v>
      </c>
      <c r="Y60" s="382">
        <v>0</v>
      </c>
      <c r="Z60" s="382">
        <v>27</v>
      </c>
      <c r="AA60" s="382">
        <v>0</v>
      </c>
      <c r="AB60" s="382">
        <v>7</v>
      </c>
      <c r="AC60" s="382">
        <v>1</v>
      </c>
      <c r="AD60" s="386">
        <v>7077</v>
      </c>
      <c r="AE60" s="386">
        <v>254</v>
      </c>
      <c r="AF60" s="386">
        <v>34</v>
      </c>
      <c r="AG60" s="386">
        <v>288</v>
      </c>
    </row>
    <row r="61" spans="1:33" x14ac:dyDescent="0.35">
      <c r="A61" s="381" t="s">
        <v>182</v>
      </c>
      <c r="B61" s="387" t="s">
        <v>183</v>
      </c>
      <c r="C61" s="383">
        <v>458</v>
      </c>
      <c r="D61" s="383">
        <v>0</v>
      </c>
      <c r="E61" s="383">
        <v>71</v>
      </c>
      <c r="F61" s="383">
        <v>73</v>
      </c>
      <c r="G61" s="383">
        <v>92</v>
      </c>
      <c r="H61" s="383">
        <v>694</v>
      </c>
      <c r="I61" s="382">
        <v>602</v>
      </c>
      <c r="J61" s="382">
        <v>0</v>
      </c>
      <c r="K61" s="384">
        <v>106.7</v>
      </c>
      <c r="L61" s="384">
        <v>105.15</v>
      </c>
      <c r="M61" s="384">
        <v>8.15</v>
      </c>
      <c r="N61" s="384">
        <v>111.43</v>
      </c>
      <c r="O61" s="385">
        <v>371</v>
      </c>
      <c r="P61" s="382">
        <v>90.85</v>
      </c>
      <c r="Q61" s="382">
        <v>84.09</v>
      </c>
      <c r="R61" s="382">
        <v>64.36</v>
      </c>
      <c r="S61" s="382">
        <v>154.16999999999999</v>
      </c>
      <c r="T61" s="382">
        <v>123</v>
      </c>
      <c r="U61" s="382">
        <v>146.38999999999999</v>
      </c>
      <c r="V61" s="382">
        <v>77</v>
      </c>
      <c r="W61" s="382">
        <v>0</v>
      </c>
      <c r="X61" s="382">
        <v>0</v>
      </c>
      <c r="Y61" s="382">
        <v>0</v>
      </c>
      <c r="Z61" s="382">
        <v>1</v>
      </c>
      <c r="AA61" s="382">
        <v>1</v>
      </c>
      <c r="AB61" s="382">
        <v>1</v>
      </c>
      <c r="AC61" s="382">
        <v>2</v>
      </c>
      <c r="AD61" s="386">
        <v>458</v>
      </c>
      <c r="AE61" s="386">
        <v>2</v>
      </c>
      <c r="AF61" s="386">
        <v>0</v>
      </c>
      <c r="AG61" s="386">
        <v>2</v>
      </c>
    </row>
    <row r="62" spans="1:33" x14ac:dyDescent="0.35">
      <c r="A62" s="381" t="s">
        <v>184</v>
      </c>
      <c r="B62" s="387" t="s">
        <v>185</v>
      </c>
      <c r="C62" s="383">
        <v>10020</v>
      </c>
      <c r="D62" s="383">
        <v>0</v>
      </c>
      <c r="E62" s="383">
        <v>325</v>
      </c>
      <c r="F62" s="383">
        <v>810</v>
      </c>
      <c r="G62" s="383">
        <v>1935</v>
      </c>
      <c r="H62" s="383">
        <v>13090</v>
      </c>
      <c r="I62" s="382">
        <v>11155</v>
      </c>
      <c r="J62" s="382">
        <v>4</v>
      </c>
      <c r="K62" s="384">
        <v>100.27</v>
      </c>
      <c r="L62" s="384">
        <v>101.34</v>
      </c>
      <c r="M62" s="384">
        <v>5.21</v>
      </c>
      <c r="N62" s="384">
        <v>101.81</v>
      </c>
      <c r="O62" s="385">
        <v>8359</v>
      </c>
      <c r="P62" s="382">
        <v>93.33</v>
      </c>
      <c r="Q62" s="382">
        <v>87.07</v>
      </c>
      <c r="R62" s="382">
        <v>36.54</v>
      </c>
      <c r="S62" s="382">
        <v>127.1</v>
      </c>
      <c r="T62" s="382">
        <v>1039</v>
      </c>
      <c r="U62" s="382">
        <v>141.75</v>
      </c>
      <c r="V62" s="382">
        <v>1425</v>
      </c>
      <c r="W62" s="382">
        <v>122.21</v>
      </c>
      <c r="X62" s="382">
        <v>50</v>
      </c>
      <c r="Y62" s="382">
        <v>0</v>
      </c>
      <c r="Z62" s="382">
        <v>7</v>
      </c>
      <c r="AA62" s="382">
        <v>1</v>
      </c>
      <c r="AB62" s="382">
        <v>227</v>
      </c>
      <c r="AC62" s="382">
        <v>14</v>
      </c>
      <c r="AD62" s="386">
        <v>9943</v>
      </c>
      <c r="AE62" s="386">
        <v>36</v>
      </c>
      <c r="AF62" s="386">
        <v>44</v>
      </c>
      <c r="AG62" s="386">
        <v>80</v>
      </c>
    </row>
    <row r="63" spans="1:33" x14ac:dyDescent="0.35">
      <c r="A63" s="381" t="s">
        <v>186</v>
      </c>
      <c r="B63" s="387" t="s">
        <v>187</v>
      </c>
      <c r="C63" s="383">
        <v>3086</v>
      </c>
      <c r="D63" s="383">
        <v>0</v>
      </c>
      <c r="E63" s="383">
        <v>337</v>
      </c>
      <c r="F63" s="383">
        <v>264</v>
      </c>
      <c r="G63" s="383">
        <v>690</v>
      </c>
      <c r="H63" s="383">
        <v>4377</v>
      </c>
      <c r="I63" s="382">
        <v>3687</v>
      </c>
      <c r="J63" s="382">
        <v>0</v>
      </c>
      <c r="K63" s="384">
        <v>90.32</v>
      </c>
      <c r="L63" s="384">
        <v>88.79</v>
      </c>
      <c r="M63" s="384">
        <v>6.49</v>
      </c>
      <c r="N63" s="384">
        <v>95.42</v>
      </c>
      <c r="O63" s="385">
        <v>2218</v>
      </c>
      <c r="P63" s="382">
        <v>96.33</v>
      </c>
      <c r="Q63" s="382">
        <v>82.68</v>
      </c>
      <c r="R63" s="382">
        <v>61.82</v>
      </c>
      <c r="S63" s="382">
        <v>156.49</v>
      </c>
      <c r="T63" s="382">
        <v>521</v>
      </c>
      <c r="U63" s="382">
        <v>107.63</v>
      </c>
      <c r="V63" s="382">
        <v>788</v>
      </c>
      <c r="W63" s="382">
        <v>0</v>
      </c>
      <c r="X63" s="382">
        <v>0</v>
      </c>
      <c r="Y63" s="382">
        <v>0</v>
      </c>
      <c r="Z63" s="382">
        <v>8</v>
      </c>
      <c r="AA63" s="382">
        <v>1</v>
      </c>
      <c r="AB63" s="382">
        <v>68</v>
      </c>
      <c r="AC63" s="382">
        <v>17</v>
      </c>
      <c r="AD63" s="386">
        <v>3086</v>
      </c>
      <c r="AE63" s="386">
        <v>24</v>
      </c>
      <c r="AF63" s="386">
        <v>3</v>
      </c>
      <c r="AG63" s="386">
        <v>27</v>
      </c>
    </row>
    <row r="64" spans="1:33" x14ac:dyDescent="0.35">
      <c r="A64" s="381" t="s">
        <v>188</v>
      </c>
      <c r="B64" s="387" t="s">
        <v>189</v>
      </c>
      <c r="C64" s="383">
        <v>9639</v>
      </c>
      <c r="D64" s="383">
        <v>250</v>
      </c>
      <c r="E64" s="383">
        <v>345</v>
      </c>
      <c r="F64" s="383">
        <v>287</v>
      </c>
      <c r="G64" s="383">
        <v>694</v>
      </c>
      <c r="H64" s="383">
        <v>11215</v>
      </c>
      <c r="I64" s="382">
        <v>10521</v>
      </c>
      <c r="J64" s="382">
        <v>4</v>
      </c>
      <c r="K64" s="384">
        <v>99.94</v>
      </c>
      <c r="L64" s="384">
        <v>99.29</v>
      </c>
      <c r="M64" s="384">
        <v>10.85</v>
      </c>
      <c r="N64" s="384">
        <v>105.21</v>
      </c>
      <c r="O64" s="385">
        <v>8610</v>
      </c>
      <c r="P64" s="382">
        <v>95.59</v>
      </c>
      <c r="Q64" s="382">
        <v>94.6</v>
      </c>
      <c r="R64" s="382">
        <v>33.44</v>
      </c>
      <c r="S64" s="382">
        <v>127.96</v>
      </c>
      <c r="T64" s="382">
        <v>535</v>
      </c>
      <c r="U64" s="382">
        <v>139.57</v>
      </c>
      <c r="V64" s="382">
        <v>887</v>
      </c>
      <c r="W64" s="382">
        <v>0</v>
      </c>
      <c r="X64" s="382">
        <v>0</v>
      </c>
      <c r="Y64" s="382">
        <v>0</v>
      </c>
      <c r="Z64" s="382">
        <v>7</v>
      </c>
      <c r="AA64" s="382">
        <v>12</v>
      </c>
      <c r="AB64" s="382">
        <v>73</v>
      </c>
      <c r="AC64" s="382">
        <v>8</v>
      </c>
      <c r="AD64" s="386">
        <v>9634</v>
      </c>
      <c r="AE64" s="386">
        <v>115</v>
      </c>
      <c r="AF64" s="386">
        <v>71</v>
      </c>
      <c r="AG64" s="386">
        <v>186</v>
      </c>
    </row>
    <row r="65" spans="1:33" x14ac:dyDescent="0.35">
      <c r="A65" s="381" t="s">
        <v>190</v>
      </c>
      <c r="B65" s="387" t="s">
        <v>191</v>
      </c>
      <c r="C65" s="383">
        <v>1879</v>
      </c>
      <c r="D65" s="383">
        <v>0</v>
      </c>
      <c r="E65" s="383">
        <v>390</v>
      </c>
      <c r="F65" s="383">
        <v>214</v>
      </c>
      <c r="G65" s="383">
        <v>390</v>
      </c>
      <c r="H65" s="383">
        <v>2873</v>
      </c>
      <c r="I65" s="382">
        <v>2483</v>
      </c>
      <c r="J65" s="382">
        <v>0</v>
      </c>
      <c r="K65" s="384">
        <v>93.98</v>
      </c>
      <c r="L65" s="384">
        <v>90.35</v>
      </c>
      <c r="M65" s="384">
        <v>5.62</v>
      </c>
      <c r="N65" s="384">
        <v>98.7</v>
      </c>
      <c r="O65" s="385">
        <v>1457</v>
      </c>
      <c r="P65" s="382">
        <v>84.03</v>
      </c>
      <c r="Q65" s="382">
        <v>81.709999999999994</v>
      </c>
      <c r="R65" s="382">
        <v>55.08</v>
      </c>
      <c r="S65" s="382">
        <v>132.44</v>
      </c>
      <c r="T65" s="382">
        <v>462</v>
      </c>
      <c r="U65" s="382">
        <v>131.38</v>
      </c>
      <c r="V65" s="382">
        <v>335</v>
      </c>
      <c r="W65" s="382">
        <v>235.09</v>
      </c>
      <c r="X65" s="382">
        <v>110</v>
      </c>
      <c r="Y65" s="382">
        <v>0</v>
      </c>
      <c r="Z65" s="382">
        <v>2</v>
      </c>
      <c r="AA65" s="382">
        <v>4</v>
      </c>
      <c r="AB65" s="382">
        <v>19</v>
      </c>
      <c r="AC65" s="382">
        <v>6</v>
      </c>
      <c r="AD65" s="386">
        <v>1722</v>
      </c>
      <c r="AE65" s="386">
        <v>9</v>
      </c>
      <c r="AF65" s="386">
        <v>48</v>
      </c>
      <c r="AG65" s="386">
        <v>57</v>
      </c>
    </row>
    <row r="66" spans="1:33" x14ac:dyDescent="0.35">
      <c r="A66" s="381" t="s">
        <v>192</v>
      </c>
      <c r="B66" s="387" t="s">
        <v>193</v>
      </c>
      <c r="C66" s="383">
        <v>6859</v>
      </c>
      <c r="D66" s="383">
        <v>10</v>
      </c>
      <c r="E66" s="383">
        <v>227</v>
      </c>
      <c r="F66" s="383">
        <v>1500</v>
      </c>
      <c r="G66" s="383">
        <v>935</v>
      </c>
      <c r="H66" s="383">
        <v>9531</v>
      </c>
      <c r="I66" s="382">
        <v>8596</v>
      </c>
      <c r="J66" s="382">
        <v>9</v>
      </c>
      <c r="K66" s="384">
        <v>107.4</v>
      </c>
      <c r="L66" s="384">
        <v>102.74</v>
      </c>
      <c r="M66" s="384">
        <v>6.11</v>
      </c>
      <c r="N66" s="384">
        <v>109.4</v>
      </c>
      <c r="O66" s="385">
        <v>5084</v>
      </c>
      <c r="P66" s="382">
        <v>94.14</v>
      </c>
      <c r="Q66" s="382">
        <v>95.28</v>
      </c>
      <c r="R66" s="382">
        <v>22.88</v>
      </c>
      <c r="S66" s="382">
        <v>116.12</v>
      </c>
      <c r="T66" s="382">
        <v>1536</v>
      </c>
      <c r="U66" s="382">
        <v>157.27000000000001</v>
      </c>
      <c r="V66" s="382">
        <v>1716</v>
      </c>
      <c r="W66" s="382">
        <v>192.93</v>
      </c>
      <c r="X66" s="382">
        <v>156</v>
      </c>
      <c r="Y66" s="382">
        <v>0</v>
      </c>
      <c r="Z66" s="382">
        <v>13</v>
      </c>
      <c r="AA66" s="382">
        <v>4</v>
      </c>
      <c r="AB66" s="382">
        <v>112</v>
      </c>
      <c r="AC66" s="382">
        <v>28</v>
      </c>
      <c r="AD66" s="386">
        <v>6762</v>
      </c>
      <c r="AE66" s="386">
        <v>40</v>
      </c>
      <c r="AF66" s="386">
        <v>38</v>
      </c>
      <c r="AG66" s="386">
        <v>78</v>
      </c>
    </row>
    <row r="67" spans="1:33" x14ac:dyDescent="0.35">
      <c r="A67" s="381" t="s">
        <v>194</v>
      </c>
      <c r="B67" s="387" t="s">
        <v>195</v>
      </c>
      <c r="C67" s="383">
        <v>17478</v>
      </c>
      <c r="D67" s="383">
        <v>0</v>
      </c>
      <c r="E67" s="383">
        <v>893</v>
      </c>
      <c r="F67" s="383">
        <v>2751</v>
      </c>
      <c r="G67" s="383">
        <v>1325</v>
      </c>
      <c r="H67" s="383">
        <v>22447</v>
      </c>
      <c r="I67" s="382">
        <v>21122</v>
      </c>
      <c r="J67" s="382">
        <v>106</v>
      </c>
      <c r="K67" s="384">
        <v>87.86</v>
      </c>
      <c r="L67" s="384">
        <v>86.98</v>
      </c>
      <c r="M67" s="384">
        <v>5.95</v>
      </c>
      <c r="N67" s="384">
        <v>90.48</v>
      </c>
      <c r="O67" s="385">
        <v>13519</v>
      </c>
      <c r="P67" s="382">
        <v>86.91</v>
      </c>
      <c r="Q67" s="382">
        <v>79.959999999999994</v>
      </c>
      <c r="R67" s="382">
        <v>30.7</v>
      </c>
      <c r="S67" s="382">
        <v>109.4</v>
      </c>
      <c r="T67" s="382">
        <v>3237</v>
      </c>
      <c r="U67" s="382">
        <v>108.76</v>
      </c>
      <c r="V67" s="382">
        <v>3856</v>
      </c>
      <c r="W67" s="382">
        <v>103.85</v>
      </c>
      <c r="X67" s="382">
        <v>163</v>
      </c>
      <c r="Y67" s="382">
        <v>0</v>
      </c>
      <c r="Z67" s="382">
        <v>29</v>
      </c>
      <c r="AA67" s="382">
        <v>1</v>
      </c>
      <c r="AB67" s="382">
        <v>191</v>
      </c>
      <c r="AC67" s="382">
        <v>28</v>
      </c>
      <c r="AD67" s="386">
        <v>17419</v>
      </c>
      <c r="AE67" s="386">
        <v>177</v>
      </c>
      <c r="AF67" s="386">
        <v>126</v>
      </c>
      <c r="AG67" s="386">
        <v>303</v>
      </c>
    </row>
    <row r="68" spans="1:33" x14ac:dyDescent="0.35">
      <c r="A68" s="381" t="s">
        <v>196</v>
      </c>
      <c r="B68" s="387" t="s">
        <v>197</v>
      </c>
      <c r="C68" s="383">
        <v>14612</v>
      </c>
      <c r="D68" s="383">
        <v>9</v>
      </c>
      <c r="E68" s="383">
        <v>832</v>
      </c>
      <c r="F68" s="383">
        <v>3039</v>
      </c>
      <c r="G68" s="383">
        <v>1718</v>
      </c>
      <c r="H68" s="383">
        <v>20210</v>
      </c>
      <c r="I68" s="382">
        <v>18492</v>
      </c>
      <c r="J68" s="382">
        <v>13</v>
      </c>
      <c r="K68" s="384">
        <v>91.89</v>
      </c>
      <c r="L68" s="384">
        <v>92.34</v>
      </c>
      <c r="M68" s="384">
        <v>4.37</v>
      </c>
      <c r="N68" s="384">
        <v>93.57</v>
      </c>
      <c r="O68" s="385">
        <v>12088</v>
      </c>
      <c r="P68" s="382">
        <v>88.96</v>
      </c>
      <c r="Q68" s="382">
        <v>86.91</v>
      </c>
      <c r="R68" s="382">
        <v>33.08</v>
      </c>
      <c r="S68" s="382">
        <v>113.13</v>
      </c>
      <c r="T68" s="382">
        <v>3046</v>
      </c>
      <c r="U68" s="382">
        <v>110.65</v>
      </c>
      <c r="V68" s="382">
        <v>2235</v>
      </c>
      <c r="W68" s="382">
        <v>154.74</v>
      </c>
      <c r="X68" s="382">
        <v>437</v>
      </c>
      <c r="Y68" s="382">
        <v>0</v>
      </c>
      <c r="Z68" s="382">
        <v>48</v>
      </c>
      <c r="AA68" s="382">
        <v>2</v>
      </c>
      <c r="AB68" s="382">
        <v>83</v>
      </c>
      <c r="AC68" s="382">
        <v>25</v>
      </c>
      <c r="AD68" s="386">
        <v>14468</v>
      </c>
      <c r="AE68" s="386">
        <v>116</v>
      </c>
      <c r="AF68" s="386">
        <v>34</v>
      </c>
      <c r="AG68" s="386">
        <v>150</v>
      </c>
    </row>
    <row r="69" spans="1:33" x14ac:dyDescent="0.35">
      <c r="A69" s="381" t="s">
        <v>198</v>
      </c>
      <c r="B69" s="387" t="s">
        <v>199</v>
      </c>
      <c r="C69" s="383">
        <v>842</v>
      </c>
      <c r="D69" s="383">
        <v>0</v>
      </c>
      <c r="E69" s="383">
        <v>161</v>
      </c>
      <c r="F69" s="383">
        <v>497</v>
      </c>
      <c r="G69" s="383">
        <v>104</v>
      </c>
      <c r="H69" s="383">
        <v>1604</v>
      </c>
      <c r="I69" s="382">
        <v>1500</v>
      </c>
      <c r="J69" s="382">
        <v>3</v>
      </c>
      <c r="K69" s="384">
        <v>85.89</v>
      </c>
      <c r="L69" s="384">
        <v>83.69</v>
      </c>
      <c r="M69" s="384">
        <v>5.88</v>
      </c>
      <c r="N69" s="384">
        <v>88.53</v>
      </c>
      <c r="O69" s="385">
        <v>652</v>
      </c>
      <c r="P69" s="382">
        <v>88.73</v>
      </c>
      <c r="Q69" s="382">
        <v>81.66</v>
      </c>
      <c r="R69" s="382">
        <v>22.09</v>
      </c>
      <c r="S69" s="382">
        <v>110.24</v>
      </c>
      <c r="T69" s="382">
        <v>576</v>
      </c>
      <c r="U69" s="382">
        <v>97.96</v>
      </c>
      <c r="V69" s="382">
        <v>86</v>
      </c>
      <c r="W69" s="382">
        <v>263.75</v>
      </c>
      <c r="X69" s="382">
        <v>25</v>
      </c>
      <c r="Y69" s="382">
        <v>0</v>
      </c>
      <c r="Z69" s="382">
        <v>1</v>
      </c>
      <c r="AA69" s="382">
        <v>2</v>
      </c>
      <c r="AB69" s="382">
        <v>14</v>
      </c>
      <c r="AC69" s="382">
        <v>1</v>
      </c>
      <c r="AD69" s="386">
        <v>737</v>
      </c>
      <c r="AE69" s="386">
        <v>14</v>
      </c>
      <c r="AF69" s="386">
        <v>2</v>
      </c>
      <c r="AG69" s="386">
        <v>16</v>
      </c>
    </row>
    <row r="70" spans="1:33" x14ac:dyDescent="0.35">
      <c r="A70" s="381" t="s">
        <v>200</v>
      </c>
      <c r="B70" s="387" t="s">
        <v>201</v>
      </c>
      <c r="C70" s="383">
        <v>7356</v>
      </c>
      <c r="D70" s="383">
        <v>0</v>
      </c>
      <c r="E70" s="383">
        <v>163</v>
      </c>
      <c r="F70" s="383">
        <v>737</v>
      </c>
      <c r="G70" s="383">
        <v>711</v>
      </c>
      <c r="H70" s="383">
        <v>8967</v>
      </c>
      <c r="I70" s="382">
        <v>8256</v>
      </c>
      <c r="J70" s="382">
        <v>0</v>
      </c>
      <c r="K70" s="384">
        <v>102.66</v>
      </c>
      <c r="L70" s="384">
        <v>104.08</v>
      </c>
      <c r="M70" s="384">
        <v>6.9</v>
      </c>
      <c r="N70" s="384">
        <v>105.83</v>
      </c>
      <c r="O70" s="385">
        <v>6285</v>
      </c>
      <c r="P70" s="382">
        <v>94.1</v>
      </c>
      <c r="Q70" s="382">
        <v>95.9</v>
      </c>
      <c r="R70" s="382">
        <v>30.16</v>
      </c>
      <c r="S70" s="382">
        <v>122.84</v>
      </c>
      <c r="T70" s="382">
        <v>677</v>
      </c>
      <c r="U70" s="382">
        <v>156.47999999999999</v>
      </c>
      <c r="V70" s="382">
        <v>1014</v>
      </c>
      <c r="W70" s="382">
        <v>141.1</v>
      </c>
      <c r="X70" s="382">
        <v>4</v>
      </c>
      <c r="Y70" s="382">
        <v>1</v>
      </c>
      <c r="Z70" s="382">
        <v>3</v>
      </c>
      <c r="AA70" s="382">
        <v>2</v>
      </c>
      <c r="AB70" s="382">
        <v>41</v>
      </c>
      <c r="AC70" s="382">
        <v>10</v>
      </c>
      <c r="AD70" s="386">
        <v>7335</v>
      </c>
      <c r="AE70" s="386">
        <v>55</v>
      </c>
      <c r="AF70" s="386">
        <v>11</v>
      </c>
      <c r="AG70" s="386">
        <v>66</v>
      </c>
    </row>
    <row r="71" spans="1:33" x14ac:dyDescent="0.35">
      <c r="A71" s="381" t="s">
        <v>202</v>
      </c>
      <c r="B71" s="387" t="s">
        <v>203</v>
      </c>
      <c r="C71" s="383">
        <v>6130</v>
      </c>
      <c r="D71" s="383">
        <v>19</v>
      </c>
      <c r="E71" s="383">
        <v>383</v>
      </c>
      <c r="F71" s="383">
        <v>525</v>
      </c>
      <c r="G71" s="383">
        <v>241</v>
      </c>
      <c r="H71" s="383">
        <v>7298</v>
      </c>
      <c r="I71" s="382">
        <v>7057</v>
      </c>
      <c r="J71" s="382">
        <v>5</v>
      </c>
      <c r="K71" s="384">
        <v>79.5</v>
      </c>
      <c r="L71" s="384">
        <v>77.239999999999995</v>
      </c>
      <c r="M71" s="384">
        <v>6.35</v>
      </c>
      <c r="N71" s="384">
        <v>84.16</v>
      </c>
      <c r="O71" s="385">
        <v>5214</v>
      </c>
      <c r="P71" s="382">
        <v>85.35</v>
      </c>
      <c r="Q71" s="382">
        <v>71</v>
      </c>
      <c r="R71" s="382">
        <v>27.55</v>
      </c>
      <c r="S71" s="382">
        <v>110.95</v>
      </c>
      <c r="T71" s="382">
        <v>750</v>
      </c>
      <c r="U71" s="382">
        <v>100.89</v>
      </c>
      <c r="V71" s="382">
        <v>863</v>
      </c>
      <c r="W71" s="382">
        <v>0</v>
      </c>
      <c r="X71" s="382">
        <v>0</v>
      </c>
      <c r="Y71" s="382">
        <v>0</v>
      </c>
      <c r="Z71" s="382">
        <v>11</v>
      </c>
      <c r="AA71" s="382">
        <v>7</v>
      </c>
      <c r="AB71" s="382">
        <v>17</v>
      </c>
      <c r="AC71" s="382">
        <v>1</v>
      </c>
      <c r="AD71" s="386">
        <v>6038</v>
      </c>
      <c r="AE71" s="386">
        <v>34</v>
      </c>
      <c r="AF71" s="386">
        <v>35</v>
      </c>
      <c r="AG71" s="386">
        <v>69</v>
      </c>
    </row>
    <row r="72" spans="1:33" x14ac:dyDescent="0.35">
      <c r="A72" s="381" t="s">
        <v>204</v>
      </c>
      <c r="B72" s="387" t="s">
        <v>205</v>
      </c>
      <c r="C72" s="383">
        <v>194</v>
      </c>
      <c r="D72" s="383">
        <v>0</v>
      </c>
      <c r="E72" s="383">
        <v>17</v>
      </c>
      <c r="F72" s="383">
        <v>31</v>
      </c>
      <c r="G72" s="383">
        <v>0</v>
      </c>
      <c r="H72" s="383">
        <v>242</v>
      </c>
      <c r="I72" s="382">
        <v>242</v>
      </c>
      <c r="J72" s="382">
        <v>0</v>
      </c>
      <c r="K72" s="384">
        <v>126.18</v>
      </c>
      <c r="L72" s="384">
        <v>127.54</v>
      </c>
      <c r="M72" s="384">
        <v>11.13</v>
      </c>
      <c r="N72" s="384">
        <v>137.31</v>
      </c>
      <c r="O72" s="385">
        <v>160</v>
      </c>
      <c r="P72" s="382">
        <v>113.71</v>
      </c>
      <c r="Q72" s="382">
        <v>119.05</v>
      </c>
      <c r="R72" s="382">
        <v>110.98</v>
      </c>
      <c r="S72" s="382">
        <v>224.69</v>
      </c>
      <c r="T72" s="382">
        <v>36</v>
      </c>
      <c r="U72" s="382">
        <v>208.95</v>
      </c>
      <c r="V72" s="382">
        <v>34</v>
      </c>
      <c r="W72" s="382">
        <v>0</v>
      </c>
      <c r="X72" s="382">
        <v>0</v>
      </c>
      <c r="Y72" s="382">
        <v>0</v>
      </c>
      <c r="Z72" s="382">
        <v>0</v>
      </c>
      <c r="AA72" s="382">
        <v>0</v>
      </c>
      <c r="AB72" s="382">
        <v>0</v>
      </c>
      <c r="AC72" s="382">
        <v>0</v>
      </c>
      <c r="AD72" s="386">
        <v>194</v>
      </c>
      <c r="AE72" s="386">
        <v>0</v>
      </c>
      <c r="AF72" s="386">
        <v>0</v>
      </c>
      <c r="AG72" s="386">
        <v>0</v>
      </c>
    </row>
    <row r="73" spans="1:33" x14ac:dyDescent="0.35">
      <c r="A73" s="381" t="s">
        <v>206</v>
      </c>
      <c r="B73" s="387" t="s">
        <v>207</v>
      </c>
      <c r="C73" s="383">
        <v>4296</v>
      </c>
      <c r="D73" s="383">
        <v>135</v>
      </c>
      <c r="E73" s="383">
        <v>628</v>
      </c>
      <c r="F73" s="383">
        <v>356</v>
      </c>
      <c r="G73" s="383">
        <v>355</v>
      </c>
      <c r="H73" s="383">
        <v>5770</v>
      </c>
      <c r="I73" s="382">
        <v>5415</v>
      </c>
      <c r="J73" s="382">
        <v>3</v>
      </c>
      <c r="K73" s="384">
        <v>101.8</v>
      </c>
      <c r="L73" s="384">
        <v>100.61</v>
      </c>
      <c r="M73" s="384">
        <v>6.49</v>
      </c>
      <c r="N73" s="384">
        <v>106.99</v>
      </c>
      <c r="O73" s="385">
        <v>2809</v>
      </c>
      <c r="P73" s="382">
        <v>98.2</v>
      </c>
      <c r="Q73" s="382">
        <v>86.69</v>
      </c>
      <c r="R73" s="382">
        <v>35.03</v>
      </c>
      <c r="S73" s="382">
        <v>129.97</v>
      </c>
      <c r="T73" s="382">
        <v>656</v>
      </c>
      <c r="U73" s="382">
        <v>131.21</v>
      </c>
      <c r="V73" s="382">
        <v>1089</v>
      </c>
      <c r="W73" s="382">
        <v>137.41</v>
      </c>
      <c r="X73" s="382">
        <v>34</v>
      </c>
      <c r="Y73" s="382">
        <v>0</v>
      </c>
      <c r="Z73" s="382">
        <v>1</v>
      </c>
      <c r="AA73" s="382">
        <v>12</v>
      </c>
      <c r="AB73" s="382">
        <v>37</v>
      </c>
      <c r="AC73" s="382">
        <v>6</v>
      </c>
      <c r="AD73" s="386">
        <v>4235</v>
      </c>
      <c r="AE73" s="386">
        <v>51</v>
      </c>
      <c r="AF73" s="386">
        <v>49</v>
      </c>
      <c r="AG73" s="386">
        <v>100</v>
      </c>
    </row>
    <row r="74" spans="1:33" x14ac:dyDescent="0.35">
      <c r="A74" s="381" t="s">
        <v>208</v>
      </c>
      <c r="B74" s="387" t="s">
        <v>209</v>
      </c>
      <c r="C74" s="383">
        <v>5592</v>
      </c>
      <c r="D74" s="383">
        <v>0</v>
      </c>
      <c r="E74" s="383">
        <v>75</v>
      </c>
      <c r="F74" s="383">
        <v>318</v>
      </c>
      <c r="G74" s="383">
        <v>8</v>
      </c>
      <c r="H74" s="383">
        <v>5993</v>
      </c>
      <c r="I74" s="382">
        <v>5985</v>
      </c>
      <c r="J74" s="382">
        <v>2</v>
      </c>
      <c r="K74" s="384">
        <v>84.74</v>
      </c>
      <c r="L74" s="384">
        <v>81.36</v>
      </c>
      <c r="M74" s="384">
        <v>1.23</v>
      </c>
      <c r="N74" s="384">
        <v>85.87</v>
      </c>
      <c r="O74" s="385">
        <v>5265</v>
      </c>
      <c r="P74" s="382">
        <v>78.349999999999994</v>
      </c>
      <c r="Q74" s="382">
        <v>74.209999999999994</v>
      </c>
      <c r="R74" s="382">
        <v>46.31</v>
      </c>
      <c r="S74" s="382">
        <v>124.03</v>
      </c>
      <c r="T74" s="382">
        <v>367</v>
      </c>
      <c r="U74" s="382">
        <v>90.52</v>
      </c>
      <c r="V74" s="382">
        <v>304</v>
      </c>
      <c r="W74" s="382">
        <v>0</v>
      </c>
      <c r="X74" s="382">
        <v>0</v>
      </c>
      <c r="Y74" s="382">
        <v>0</v>
      </c>
      <c r="Z74" s="382">
        <v>8</v>
      </c>
      <c r="AA74" s="382">
        <v>16</v>
      </c>
      <c r="AB74" s="382">
        <v>0</v>
      </c>
      <c r="AC74" s="382">
        <v>0</v>
      </c>
      <c r="AD74" s="386">
        <v>5569</v>
      </c>
      <c r="AE74" s="386">
        <v>55</v>
      </c>
      <c r="AF74" s="386">
        <v>179</v>
      </c>
      <c r="AG74" s="386">
        <v>234</v>
      </c>
    </row>
    <row r="75" spans="1:33" x14ac:dyDescent="0.35">
      <c r="A75" s="381" t="s">
        <v>210</v>
      </c>
      <c r="B75" s="387" t="s">
        <v>211</v>
      </c>
      <c r="C75" s="383">
        <v>18827</v>
      </c>
      <c r="D75" s="383">
        <v>0</v>
      </c>
      <c r="E75" s="383">
        <v>954</v>
      </c>
      <c r="F75" s="383">
        <v>2344</v>
      </c>
      <c r="G75" s="383">
        <v>2446</v>
      </c>
      <c r="H75" s="383">
        <v>24571</v>
      </c>
      <c r="I75" s="382">
        <v>22125</v>
      </c>
      <c r="J75" s="382">
        <v>47</v>
      </c>
      <c r="K75" s="384">
        <v>82.22</v>
      </c>
      <c r="L75" s="384">
        <v>77.83</v>
      </c>
      <c r="M75" s="384">
        <v>3.61</v>
      </c>
      <c r="N75" s="384">
        <v>85.27</v>
      </c>
      <c r="O75" s="385">
        <v>13998</v>
      </c>
      <c r="P75" s="382">
        <v>81.64</v>
      </c>
      <c r="Q75" s="382">
        <v>70.8</v>
      </c>
      <c r="R75" s="382">
        <v>42.8</v>
      </c>
      <c r="S75" s="382">
        <v>122.29</v>
      </c>
      <c r="T75" s="382">
        <v>3012</v>
      </c>
      <c r="U75" s="382">
        <v>117.78</v>
      </c>
      <c r="V75" s="382">
        <v>3359</v>
      </c>
      <c r="W75" s="382">
        <v>138.30000000000001</v>
      </c>
      <c r="X75" s="382">
        <v>59</v>
      </c>
      <c r="Y75" s="382">
        <v>0</v>
      </c>
      <c r="Z75" s="382">
        <v>8</v>
      </c>
      <c r="AA75" s="382">
        <v>76</v>
      </c>
      <c r="AB75" s="382">
        <v>165</v>
      </c>
      <c r="AC75" s="382">
        <v>42</v>
      </c>
      <c r="AD75" s="386">
        <v>18382</v>
      </c>
      <c r="AE75" s="386">
        <v>128</v>
      </c>
      <c r="AF75" s="386">
        <v>58</v>
      </c>
      <c r="AG75" s="386">
        <v>186</v>
      </c>
    </row>
    <row r="76" spans="1:33" x14ac:dyDescent="0.35">
      <c r="A76" s="381" t="s">
        <v>212</v>
      </c>
      <c r="B76" s="387" t="s">
        <v>213</v>
      </c>
      <c r="C76" s="383">
        <v>5519</v>
      </c>
      <c r="D76" s="383">
        <v>1</v>
      </c>
      <c r="E76" s="383">
        <v>54</v>
      </c>
      <c r="F76" s="383">
        <v>552</v>
      </c>
      <c r="G76" s="383">
        <v>773</v>
      </c>
      <c r="H76" s="383">
        <v>6899</v>
      </c>
      <c r="I76" s="382">
        <v>6126</v>
      </c>
      <c r="J76" s="382">
        <v>0</v>
      </c>
      <c r="K76" s="384">
        <v>102.22</v>
      </c>
      <c r="L76" s="384">
        <v>97.81</v>
      </c>
      <c r="M76" s="384">
        <v>4.2</v>
      </c>
      <c r="N76" s="384">
        <v>103.87</v>
      </c>
      <c r="O76" s="385">
        <v>4400</v>
      </c>
      <c r="P76" s="382">
        <v>94.97</v>
      </c>
      <c r="Q76" s="382">
        <v>87.22</v>
      </c>
      <c r="R76" s="382">
        <v>24.29</v>
      </c>
      <c r="S76" s="382">
        <v>118.15</v>
      </c>
      <c r="T76" s="382">
        <v>546</v>
      </c>
      <c r="U76" s="382">
        <v>134.25</v>
      </c>
      <c r="V76" s="382">
        <v>905</v>
      </c>
      <c r="W76" s="382">
        <v>176.34</v>
      </c>
      <c r="X76" s="382">
        <v>53</v>
      </c>
      <c r="Y76" s="382">
        <v>0</v>
      </c>
      <c r="Z76" s="382">
        <v>5</v>
      </c>
      <c r="AA76" s="382">
        <v>2</v>
      </c>
      <c r="AB76" s="382">
        <v>48</v>
      </c>
      <c r="AC76" s="382">
        <v>10</v>
      </c>
      <c r="AD76" s="386">
        <v>5297</v>
      </c>
      <c r="AE76" s="386">
        <v>49</v>
      </c>
      <c r="AF76" s="386">
        <v>89</v>
      </c>
      <c r="AG76" s="386">
        <v>138</v>
      </c>
    </row>
    <row r="77" spans="1:33" x14ac:dyDescent="0.35">
      <c r="A77" s="381" t="s">
        <v>214</v>
      </c>
      <c r="B77" s="387" t="s">
        <v>215</v>
      </c>
      <c r="C77" s="383">
        <v>45702</v>
      </c>
      <c r="D77" s="383">
        <v>18</v>
      </c>
      <c r="E77" s="383">
        <v>947</v>
      </c>
      <c r="F77" s="383">
        <v>1438</v>
      </c>
      <c r="G77" s="383">
        <v>327</v>
      </c>
      <c r="H77" s="383">
        <v>48432</v>
      </c>
      <c r="I77" s="382">
        <v>48105</v>
      </c>
      <c r="J77" s="382">
        <v>11</v>
      </c>
      <c r="K77" s="384">
        <v>71.459999999999994</v>
      </c>
      <c r="L77" s="384">
        <v>71.709999999999994</v>
      </c>
      <c r="M77" s="384">
        <v>4.45</v>
      </c>
      <c r="N77" s="384">
        <v>72.05</v>
      </c>
      <c r="O77" s="385">
        <v>40964</v>
      </c>
      <c r="P77" s="382">
        <v>99.03</v>
      </c>
      <c r="Q77" s="382">
        <v>78.77</v>
      </c>
      <c r="R77" s="382">
        <v>55.58</v>
      </c>
      <c r="S77" s="382">
        <v>152.44</v>
      </c>
      <c r="T77" s="382">
        <v>1941</v>
      </c>
      <c r="U77" s="382">
        <v>88.77</v>
      </c>
      <c r="V77" s="382">
        <v>3773</v>
      </c>
      <c r="W77" s="382">
        <v>145.76</v>
      </c>
      <c r="X77" s="382">
        <v>162</v>
      </c>
      <c r="Y77" s="382">
        <v>0</v>
      </c>
      <c r="Z77" s="382">
        <v>196</v>
      </c>
      <c r="AA77" s="382">
        <v>35</v>
      </c>
      <c r="AB77" s="382">
        <v>45</v>
      </c>
      <c r="AC77" s="382">
        <v>9</v>
      </c>
      <c r="AD77" s="386">
        <v>44819</v>
      </c>
      <c r="AE77" s="386">
        <v>620</v>
      </c>
      <c r="AF77" s="386">
        <v>333</v>
      </c>
      <c r="AG77" s="386">
        <v>953</v>
      </c>
    </row>
    <row r="78" spans="1:33" x14ac:dyDescent="0.35">
      <c r="A78" s="381" t="s">
        <v>216</v>
      </c>
      <c r="B78" s="387" t="s">
        <v>217</v>
      </c>
      <c r="C78" s="383">
        <v>22322</v>
      </c>
      <c r="D78" s="383">
        <v>4</v>
      </c>
      <c r="E78" s="383">
        <v>690</v>
      </c>
      <c r="F78" s="383">
        <v>1694</v>
      </c>
      <c r="G78" s="383">
        <v>621</v>
      </c>
      <c r="H78" s="383">
        <v>25331</v>
      </c>
      <c r="I78" s="382">
        <v>24710</v>
      </c>
      <c r="J78" s="382">
        <v>5</v>
      </c>
      <c r="K78" s="384">
        <v>84.05</v>
      </c>
      <c r="L78" s="384">
        <v>83.69</v>
      </c>
      <c r="M78" s="384">
        <v>5.66</v>
      </c>
      <c r="N78" s="384">
        <v>89.31</v>
      </c>
      <c r="O78" s="385">
        <v>19835</v>
      </c>
      <c r="P78" s="382">
        <v>88.71</v>
      </c>
      <c r="Q78" s="382">
        <v>86.09</v>
      </c>
      <c r="R78" s="382">
        <v>51.05</v>
      </c>
      <c r="S78" s="382">
        <v>138.91</v>
      </c>
      <c r="T78" s="382">
        <v>2108</v>
      </c>
      <c r="U78" s="382">
        <v>110.74</v>
      </c>
      <c r="V78" s="382">
        <v>2165</v>
      </c>
      <c r="W78" s="382">
        <v>0</v>
      </c>
      <c r="X78" s="382">
        <v>0</v>
      </c>
      <c r="Y78" s="382">
        <v>40</v>
      </c>
      <c r="Z78" s="382">
        <v>163</v>
      </c>
      <c r="AA78" s="382">
        <v>38</v>
      </c>
      <c r="AB78" s="382">
        <v>22</v>
      </c>
      <c r="AC78" s="382">
        <v>24</v>
      </c>
      <c r="AD78" s="386">
        <v>22189</v>
      </c>
      <c r="AE78" s="386">
        <v>198</v>
      </c>
      <c r="AF78" s="386">
        <v>187</v>
      </c>
      <c r="AG78" s="386">
        <v>385</v>
      </c>
    </row>
    <row r="79" spans="1:33" x14ac:dyDescent="0.35">
      <c r="A79" s="381" t="s">
        <v>218</v>
      </c>
      <c r="B79" s="387" t="s">
        <v>219</v>
      </c>
      <c r="C79" s="383">
        <v>2248</v>
      </c>
      <c r="D79" s="383">
        <v>0</v>
      </c>
      <c r="E79" s="383">
        <v>48</v>
      </c>
      <c r="F79" s="383">
        <v>182</v>
      </c>
      <c r="G79" s="383">
        <v>71</v>
      </c>
      <c r="H79" s="383">
        <v>2549</v>
      </c>
      <c r="I79" s="382">
        <v>2478</v>
      </c>
      <c r="J79" s="382">
        <v>49</v>
      </c>
      <c r="K79" s="384">
        <v>84.19</v>
      </c>
      <c r="L79" s="384">
        <v>80.81</v>
      </c>
      <c r="M79" s="384">
        <v>6.5</v>
      </c>
      <c r="N79" s="384">
        <v>88.23</v>
      </c>
      <c r="O79" s="385">
        <v>1529</v>
      </c>
      <c r="P79" s="382">
        <v>81.5</v>
      </c>
      <c r="Q79" s="382">
        <v>70.38</v>
      </c>
      <c r="R79" s="382">
        <v>28.97</v>
      </c>
      <c r="S79" s="382">
        <v>110.48</v>
      </c>
      <c r="T79" s="382">
        <v>186</v>
      </c>
      <c r="U79" s="382">
        <v>95.16</v>
      </c>
      <c r="V79" s="382">
        <v>675</v>
      </c>
      <c r="W79" s="382">
        <v>155.93</v>
      </c>
      <c r="X79" s="382">
        <v>34</v>
      </c>
      <c r="Y79" s="382">
        <v>0</v>
      </c>
      <c r="Z79" s="382">
        <v>3</v>
      </c>
      <c r="AA79" s="382">
        <v>1</v>
      </c>
      <c r="AB79" s="382">
        <v>9</v>
      </c>
      <c r="AC79" s="382">
        <v>2</v>
      </c>
      <c r="AD79" s="386">
        <v>2226</v>
      </c>
      <c r="AE79" s="386">
        <v>26</v>
      </c>
      <c r="AF79" s="386">
        <v>8</v>
      </c>
      <c r="AG79" s="386">
        <v>34</v>
      </c>
    </row>
    <row r="80" spans="1:33" x14ac:dyDescent="0.35">
      <c r="A80" s="381" t="s">
        <v>220</v>
      </c>
      <c r="B80" s="387" t="s">
        <v>221</v>
      </c>
      <c r="C80" s="383">
        <v>2140</v>
      </c>
      <c r="D80" s="383">
        <v>0</v>
      </c>
      <c r="E80" s="383">
        <v>178</v>
      </c>
      <c r="F80" s="383">
        <v>285</v>
      </c>
      <c r="G80" s="383">
        <v>414</v>
      </c>
      <c r="H80" s="383">
        <v>3017</v>
      </c>
      <c r="I80" s="382">
        <v>2603</v>
      </c>
      <c r="J80" s="382">
        <v>3</v>
      </c>
      <c r="K80" s="384">
        <v>109.56</v>
      </c>
      <c r="L80" s="384">
        <v>103.25</v>
      </c>
      <c r="M80" s="384">
        <v>9.17</v>
      </c>
      <c r="N80" s="384">
        <v>117.86</v>
      </c>
      <c r="O80" s="385">
        <v>1618</v>
      </c>
      <c r="P80" s="382">
        <v>104.4</v>
      </c>
      <c r="Q80" s="382">
        <v>99.97</v>
      </c>
      <c r="R80" s="382">
        <v>34.590000000000003</v>
      </c>
      <c r="S80" s="382">
        <v>138.82</v>
      </c>
      <c r="T80" s="382">
        <v>206</v>
      </c>
      <c r="U80" s="382">
        <v>156.41999999999999</v>
      </c>
      <c r="V80" s="382">
        <v>420</v>
      </c>
      <c r="W80" s="382">
        <v>280.83</v>
      </c>
      <c r="X80" s="382">
        <v>101</v>
      </c>
      <c r="Y80" s="382">
        <v>28</v>
      </c>
      <c r="Z80" s="382">
        <v>0</v>
      </c>
      <c r="AA80" s="382">
        <v>1</v>
      </c>
      <c r="AB80" s="382">
        <v>1</v>
      </c>
      <c r="AC80" s="382">
        <v>12</v>
      </c>
      <c r="AD80" s="386">
        <v>2111</v>
      </c>
      <c r="AE80" s="386">
        <v>18</v>
      </c>
      <c r="AF80" s="386">
        <v>5</v>
      </c>
      <c r="AG80" s="386">
        <v>23</v>
      </c>
    </row>
    <row r="81" spans="1:33" x14ac:dyDescent="0.35">
      <c r="A81" s="381" t="s">
        <v>222</v>
      </c>
      <c r="B81" s="387" t="s">
        <v>223</v>
      </c>
      <c r="C81" s="383">
        <v>11337</v>
      </c>
      <c r="D81" s="383">
        <v>72</v>
      </c>
      <c r="E81" s="383">
        <v>1047</v>
      </c>
      <c r="F81" s="383">
        <v>834</v>
      </c>
      <c r="G81" s="383">
        <v>2052</v>
      </c>
      <c r="H81" s="383">
        <v>15342</v>
      </c>
      <c r="I81" s="382">
        <v>13290</v>
      </c>
      <c r="J81" s="382">
        <v>18</v>
      </c>
      <c r="K81" s="384">
        <v>120.9</v>
      </c>
      <c r="L81" s="384">
        <v>119.85</v>
      </c>
      <c r="M81" s="384">
        <v>10.029999999999999</v>
      </c>
      <c r="N81" s="384">
        <v>127.38</v>
      </c>
      <c r="O81" s="385">
        <v>8802</v>
      </c>
      <c r="P81" s="382">
        <v>101.82</v>
      </c>
      <c r="Q81" s="382">
        <v>97.49</v>
      </c>
      <c r="R81" s="382">
        <v>61.84</v>
      </c>
      <c r="S81" s="382">
        <v>163.44</v>
      </c>
      <c r="T81" s="382">
        <v>1150</v>
      </c>
      <c r="U81" s="382">
        <v>183.68</v>
      </c>
      <c r="V81" s="382">
        <v>1985</v>
      </c>
      <c r="W81" s="382">
        <v>130.84</v>
      </c>
      <c r="X81" s="382">
        <v>29</v>
      </c>
      <c r="Y81" s="382">
        <v>18</v>
      </c>
      <c r="Z81" s="382">
        <v>1</v>
      </c>
      <c r="AA81" s="382">
        <v>15</v>
      </c>
      <c r="AB81" s="382">
        <v>119</v>
      </c>
      <c r="AC81" s="382">
        <v>53</v>
      </c>
      <c r="AD81" s="386">
        <v>11075</v>
      </c>
      <c r="AE81" s="386">
        <v>61</v>
      </c>
      <c r="AF81" s="386">
        <v>35</v>
      </c>
      <c r="AG81" s="386">
        <v>96</v>
      </c>
    </row>
    <row r="82" spans="1:33" x14ac:dyDescent="0.35">
      <c r="A82" s="381" t="s">
        <v>224</v>
      </c>
      <c r="B82" s="387" t="s">
        <v>225</v>
      </c>
      <c r="C82" s="383">
        <v>2981</v>
      </c>
      <c r="D82" s="383">
        <v>0</v>
      </c>
      <c r="E82" s="383">
        <v>227</v>
      </c>
      <c r="F82" s="383">
        <v>267</v>
      </c>
      <c r="G82" s="383">
        <v>333</v>
      </c>
      <c r="H82" s="383">
        <v>3808</v>
      </c>
      <c r="I82" s="382">
        <v>3475</v>
      </c>
      <c r="J82" s="382">
        <v>1</v>
      </c>
      <c r="K82" s="384">
        <v>115.12</v>
      </c>
      <c r="L82" s="384">
        <v>112.52</v>
      </c>
      <c r="M82" s="384">
        <v>6.92</v>
      </c>
      <c r="N82" s="384">
        <v>121.02</v>
      </c>
      <c r="O82" s="385">
        <v>1959</v>
      </c>
      <c r="P82" s="382">
        <v>113.44</v>
      </c>
      <c r="Q82" s="382">
        <v>101.53</v>
      </c>
      <c r="R82" s="382">
        <v>36.43</v>
      </c>
      <c r="S82" s="382">
        <v>148.38999999999999</v>
      </c>
      <c r="T82" s="382">
        <v>391</v>
      </c>
      <c r="U82" s="382">
        <v>170.21</v>
      </c>
      <c r="V82" s="382">
        <v>785</v>
      </c>
      <c r="W82" s="382">
        <v>152.44999999999999</v>
      </c>
      <c r="X82" s="382">
        <v>8</v>
      </c>
      <c r="Y82" s="382">
        <v>0</v>
      </c>
      <c r="Z82" s="382">
        <v>0</v>
      </c>
      <c r="AA82" s="382">
        <v>0</v>
      </c>
      <c r="AB82" s="382">
        <v>9</v>
      </c>
      <c r="AC82" s="382">
        <v>3</v>
      </c>
      <c r="AD82" s="386">
        <v>2949</v>
      </c>
      <c r="AE82" s="386">
        <v>35</v>
      </c>
      <c r="AF82" s="386">
        <v>6</v>
      </c>
      <c r="AG82" s="386">
        <v>41</v>
      </c>
    </row>
    <row r="83" spans="1:33" x14ac:dyDescent="0.35">
      <c r="A83" s="381" t="s">
        <v>226</v>
      </c>
      <c r="B83" s="387" t="s">
        <v>227</v>
      </c>
      <c r="C83" s="383">
        <v>2096</v>
      </c>
      <c r="D83" s="383">
        <v>10</v>
      </c>
      <c r="E83" s="383">
        <v>340</v>
      </c>
      <c r="F83" s="383">
        <v>488</v>
      </c>
      <c r="G83" s="383">
        <v>142</v>
      </c>
      <c r="H83" s="383">
        <v>3076</v>
      </c>
      <c r="I83" s="382">
        <v>2934</v>
      </c>
      <c r="J83" s="382">
        <v>0</v>
      </c>
      <c r="K83" s="384">
        <v>78.83</v>
      </c>
      <c r="L83" s="384">
        <v>76.19</v>
      </c>
      <c r="M83" s="384">
        <v>4.79</v>
      </c>
      <c r="N83" s="384">
        <v>81.88</v>
      </c>
      <c r="O83" s="385">
        <v>1161</v>
      </c>
      <c r="P83" s="382">
        <v>91.12</v>
      </c>
      <c r="Q83" s="382">
        <v>81.88</v>
      </c>
      <c r="R83" s="382">
        <v>51.93</v>
      </c>
      <c r="S83" s="382">
        <v>142.77000000000001</v>
      </c>
      <c r="T83" s="382">
        <v>556</v>
      </c>
      <c r="U83" s="382">
        <v>96.11</v>
      </c>
      <c r="V83" s="382">
        <v>548</v>
      </c>
      <c r="W83" s="382">
        <v>94.59</v>
      </c>
      <c r="X83" s="382">
        <v>22</v>
      </c>
      <c r="Y83" s="382">
        <v>31</v>
      </c>
      <c r="Z83" s="382">
        <v>1</v>
      </c>
      <c r="AA83" s="382">
        <v>1</v>
      </c>
      <c r="AB83" s="382">
        <v>12</v>
      </c>
      <c r="AC83" s="382">
        <v>7</v>
      </c>
      <c r="AD83" s="386">
        <v>1868</v>
      </c>
      <c r="AE83" s="386">
        <v>21</v>
      </c>
      <c r="AF83" s="386">
        <v>11</v>
      </c>
      <c r="AG83" s="386">
        <v>32</v>
      </c>
    </row>
    <row r="84" spans="1:33" x14ac:dyDescent="0.35">
      <c r="A84" s="381" t="s">
        <v>228</v>
      </c>
      <c r="B84" s="387" t="s">
        <v>229</v>
      </c>
      <c r="C84" s="383">
        <v>1727</v>
      </c>
      <c r="D84" s="383">
        <v>12</v>
      </c>
      <c r="E84" s="383">
        <v>183</v>
      </c>
      <c r="F84" s="383">
        <v>107</v>
      </c>
      <c r="G84" s="383">
        <v>940</v>
      </c>
      <c r="H84" s="383">
        <v>2969</v>
      </c>
      <c r="I84" s="382">
        <v>2029</v>
      </c>
      <c r="J84" s="382">
        <v>0</v>
      </c>
      <c r="K84" s="384">
        <v>106.57</v>
      </c>
      <c r="L84" s="384">
        <v>102.65</v>
      </c>
      <c r="M84" s="384">
        <v>7.46</v>
      </c>
      <c r="N84" s="384">
        <v>113.5</v>
      </c>
      <c r="O84" s="385">
        <v>851</v>
      </c>
      <c r="P84" s="382">
        <v>122.91</v>
      </c>
      <c r="Q84" s="382">
        <v>85.48</v>
      </c>
      <c r="R84" s="382">
        <v>50.45</v>
      </c>
      <c r="S84" s="382">
        <v>166.99</v>
      </c>
      <c r="T84" s="382">
        <v>174</v>
      </c>
      <c r="U84" s="382">
        <v>155.96</v>
      </c>
      <c r="V84" s="382">
        <v>444</v>
      </c>
      <c r="W84" s="382">
        <v>0</v>
      </c>
      <c r="X84" s="382">
        <v>0</v>
      </c>
      <c r="Y84" s="382">
        <v>17</v>
      </c>
      <c r="Z84" s="382">
        <v>0</v>
      </c>
      <c r="AA84" s="382">
        <v>2</v>
      </c>
      <c r="AB84" s="382">
        <v>88</v>
      </c>
      <c r="AC84" s="382">
        <v>25</v>
      </c>
      <c r="AD84" s="386">
        <v>1348</v>
      </c>
      <c r="AE84" s="386">
        <v>7</v>
      </c>
      <c r="AF84" s="386">
        <v>3</v>
      </c>
      <c r="AG84" s="386">
        <v>10</v>
      </c>
    </row>
    <row r="85" spans="1:33" x14ac:dyDescent="0.35">
      <c r="A85" s="381" t="s">
        <v>230</v>
      </c>
      <c r="B85" s="387" t="s">
        <v>231</v>
      </c>
      <c r="C85" s="383">
        <v>6066</v>
      </c>
      <c r="D85" s="383">
        <v>102</v>
      </c>
      <c r="E85" s="383">
        <v>691</v>
      </c>
      <c r="F85" s="383">
        <v>1325</v>
      </c>
      <c r="G85" s="383">
        <v>521</v>
      </c>
      <c r="H85" s="383">
        <v>8705</v>
      </c>
      <c r="I85" s="382">
        <v>8184</v>
      </c>
      <c r="J85" s="382">
        <v>3</v>
      </c>
      <c r="K85" s="384">
        <v>87.43</v>
      </c>
      <c r="L85" s="384">
        <v>85.59</v>
      </c>
      <c r="M85" s="384">
        <v>6.42</v>
      </c>
      <c r="N85" s="384">
        <v>92.02</v>
      </c>
      <c r="O85" s="385">
        <v>5412</v>
      </c>
      <c r="P85" s="382">
        <v>80.75</v>
      </c>
      <c r="Q85" s="382">
        <v>78.95</v>
      </c>
      <c r="R85" s="382">
        <v>49.86</v>
      </c>
      <c r="S85" s="382">
        <v>129.88999999999999</v>
      </c>
      <c r="T85" s="382">
        <v>1446</v>
      </c>
      <c r="U85" s="382">
        <v>102.22</v>
      </c>
      <c r="V85" s="382">
        <v>496</v>
      </c>
      <c r="W85" s="382">
        <v>153.57</v>
      </c>
      <c r="X85" s="382">
        <v>109</v>
      </c>
      <c r="Y85" s="382">
        <v>0</v>
      </c>
      <c r="Z85" s="382">
        <v>68</v>
      </c>
      <c r="AA85" s="382">
        <v>4</v>
      </c>
      <c r="AB85" s="382">
        <v>6</v>
      </c>
      <c r="AC85" s="382">
        <v>21</v>
      </c>
      <c r="AD85" s="386">
        <v>5882</v>
      </c>
      <c r="AE85" s="386">
        <v>90</v>
      </c>
      <c r="AF85" s="386">
        <v>30</v>
      </c>
      <c r="AG85" s="386">
        <v>120</v>
      </c>
    </row>
    <row r="86" spans="1:33" x14ac:dyDescent="0.35">
      <c r="A86" s="381" t="s">
        <v>232</v>
      </c>
      <c r="B86" s="387" t="s">
        <v>233</v>
      </c>
      <c r="C86" s="383">
        <v>3806</v>
      </c>
      <c r="D86" s="383">
        <v>0</v>
      </c>
      <c r="E86" s="383">
        <v>61</v>
      </c>
      <c r="F86" s="383">
        <v>281</v>
      </c>
      <c r="G86" s="383">
        <v>242</v>
      </c>
      <c r="H86" s="383">
        <v>4390</v>
      </c>
      <c r="I86" s="382">
        <v>4148</v>
      </c>
      <c r="J86" s="382">
        <v>1</v>
      </c>
      <c r="K86" s="384">
        <v>90.65</v>
      </c>
      <c r="L86" s="384">
        <v>92.65</v>
      </c>
      <c r="M86" s="384">
        <v>2.77</v>
      </c>
      <c r="N86" s="384">
        <v>93.09</v>
      </c>
      <c r="O86" s="385">
        <v>3383</v>
      </c>
      <c r="P86" s="382">
        <v>85.05</v>
      </c>
      <c r="Q86" s="382">
        <v>83.23</v>
      </c>
      <c r="R86" s="382">
        <v>30.6</v>
      </c>
      <c r="S86" s="382">
        <v>115.17</v>
      </c>
      <c r="T86" s="382">
        <v>321</v>
      </c>
      <c r="U86" s="382">
        <v>109.96</v>
      </c>
      <c r="V86" s="382">
        <v>307</v>
      </c>
      <c r="W86" s="382">
        <v>189.69</v>
      </c>
      <c r="X86" s="382">
        <v>2</v>
      </c>
      <c r="Y86" s="382">
        <v>0</v>
      </c>
      <c r="Z86" s="382">
        <v>3</v>
      </c>
      <c r="AA86" s="382">
        <v>0</v>
      </c>
      <c r="AB86" s="382">
        <v>7</v>
      </c>
      <c r="AC86" s="382">
        <v>4</v>
      </c>
      <c r="AD86" s="386">
        <v>3679</v>
      </c>
      <c r="AE86" s="386">
        <v>27</v>
      </c>
      <c r="AF86" s="386">
        <v>21</v>
      </c>
      <c r="AG86" s="386">
        <v>48</v>
      </c>
    </row>
    <row r="87" spans="1:33" x14ac:dyDescent="0.35">
      <c r="A87" s="381" t="s">
        <v>234</v>
      </c>
      <c r="B87" s="387" t="s">
        <v>235</v>
      </c>
      <c r="C87" s="383">
        <v>2487</v>
      </c>
      <c r="D87" s="383">
        <v>3</v>
      </c>
      <c r="E87" s="383">
        <v>756</v>
      </c>
      <c r="F87" s="383">
        <v>924</v>
      </c>
      <c r="G87" s="383">
        <v>272</v>
      </c>
      <c r="H87" s="383">
        <v>4442</v>
      </c>
      <c r="I87" s="382">
        <v>4170</v>
      </c>
      <c r="J87" s="382">
        <v>2</v>
      </c>
      <c r="K87" s="384">
        <v>80.430000000000007</v>
      </c>
      <c r="L87" s="384">
        <v>77.86</v>
      </c>
      <c r="M87" s="384">
        <v>5.37</v>
      </c>
      <c r="N87" s="384">
        <v>83.91</v>
      </c>
      <c r="O87" s="385">
        <v>1697</v>
      </c>
      <c r="P87" s="382">
        <v>98.88</v>
      </c>
      <c r="Q87" s="382">
        <v>80.03</v>
      </c>
      <c r="R87" s="382">
        <v>38.47</v>
      </c>
      <c r="S87" s="382">
        <v>137.07</v>
      </c>
      <c r="T87" s="382">
        <v>1384</v>
      </c>
      <c r="U87" s="382">
        <v>94.12</v>
      </c>
      <c r="V87" s="382">
        <v>683</v>
      </c>
      <c r="W87" s="382">
        <v>154.97</v>
      </c>
      <c r="X87" s="382">
        <v>126</v>
      </c>
      <c r="Y87" s="382">
        <v>0</v>
      </c>
      <c r="Z87" s="382">
        <v>1</v>
      </c>
      <c r="AA87" s="382">
        <v>5</v>
      </c>
      <c r="AB87" s="382">
        <v>45</v>
      </c>
      <c r="AC87" s="382">
        <v>1</v>
      </c>
      <c r="AD87" s="386">
        <v>2420</v>
      </c>
      <c r="AE87" s="386">
        <v>23</v>
      </c>
      <c r="AF87" s="386">
        <v>24</v>
      </c>
      <c r="AG87" s="386">
        <v>47</v>
      </c>
    </row>
    <row r="88" spans="1:33" x14ac:dyDescent="0.35">
      <c r="A88" s="381" t="s">
        <v>236</v>
      </c>
      <c r="B88" s="387" t="s">
        <v>237</v>
      </c>
      <c r="C88" s="382">
        <v>16328</v>
      </c>
      <c r="D88" s="382">
        <v>16</v>
      </c>
      <c r="E88" s="382">
        <v>582</v>
      </c>
      <c r="F88" s="382">
        <v>4177</v>
      </c>
      <c r="G88" s="382">
        <v>1211</v>
      </c>
      <c r="H88" s="382">
        <v>22314</v>
      </c>
      <c r="I88" s="382">
        <v>21103</v>
      </c>
      <c r="J88" s="382">
        <v>114</v>
      </c>
      <c r="K88" s="382">
        <v>96.9</v>
      </c>
      <c r="L88" s="384">
        <v>96.54</v>
      </c>
      <c r="M88" s="384">
        <v>3.54</v>
      </c>
      <c r="N88" s="384">
        <v>99.26</v>
      </c>
      <c r="O88" s="385">
        <v>14541</v>
      </c>
      <c r="P88" s="382">
        <v>86.94</v>
      </c>
      <c r="Q88" s="382">
        <v>86.08</v>
      </c>
      <c r="R88" s="382">
        <v>22.7</v>
      </c>
      <c r="S88" s="382">
        <v>109.27</v>
      </c>
      <c r="T88" s="382">
        <v>4110</v>
      </c>
      <c r="U88" s="382">
        <v>132.52000000000001</v>
      </c>
      <c r="V88" s="382">
        <v>1593</v>
      </c>
      <c r="W88" s="382">
        <v>174.25</v>
      </c>
      <c r="X88" s="382">
        <v>87</v>
      </c>
      <c r="Y88" s="382">
        <v>226</v>
      </c>
      <c r="Z88" s="382">
        <v>17</v>
      </c>
      <c r="AA88" s="382">
        <v>65</v>
      </c>
      <c r="AB88" s="382">
        <v>69</v>
      </c>
      <c r="AC88" s="382">
        <v>22</v>
      </c>
      <c r="AD88" s="382">
        <v>16127</v>
      </c>
      <c r="AE88" s="382">
        <v>59</v>
      </c>
      <c r="AF88" s="382">
        <v>61</v>
      </c>
      <c r="AG88" s="382">
        <v>120</v>
      </c>
    </row>
    <row r="89" spans="1:33" x14ac:dyDescent="0.35">
      <c r="A89" s="381" t="s">
        <v>238</v>
      </c>
      <c r="B89" s="387" t="s">
        <v>239</v>
      </c>
      <c r="C89" s="383">
        <v>2036</v>
      </c>
      <c r="D89" s="383">
        <v>0</v>
      </c>
      <c r="E89" s="383">
        <v>129</v>
      </c>
      <c r="F89" s="383">
        <v>549</v>
      </c>
      <c r="G89" s="383">
        <v>264</v>
      </c>
      <c r="H89" s="383">
        <v>2978</v>
      </c>
      <c r="I89" s="382">
        <v>2714</v>
      </c>
      <c r="J89" s="382">
        <v>12</v>
      </c>
      <c r="K89" s="384">
        <v>89.08</v>
      </c>
      <c r="L89" s="384">
        <v>87.3</v>
      </c>
      <c r="M89" s="384">
        <v>6.88</v>
      </c>
      <c r="N89" s="384">
        <v>94.44</v>
      </c>
      <c r="O89" s="385">
        <v>1701</v>
      </c>
      <c r="P89" s="382">
        <v>103.11</v>
      </c>
      <c r="Q89" s="382">
        <v>89.6</v>
      </c>
      <c r="R89" s="382">
        <v>39.770000000000003</v>
      </c>
      <c r="S89" s="382">
        <v>139.97</v>
      </c>
      <c r="T89" s="382">
        <v>670</v>
      </c>
      <c r="U89" s="382">
        <v>121.37</v>
      </c>
      <c r="V89" s="382">
        <v>250</v>
      </c>
      <c r="W89" s="382">
        <v>0</v>
      </c>
      <c r="X89" s="382">
        <v>0</v>
      </c>
      <c r="Y89" s="382">
        <v>0</v>
      </c>
      <c r="Z89" s="382">
        <v>0</v>
      </c>
      <c r="AA89" s="382">
        <v>1</v>
      </c>
      <c r="AB89" s="382">
        <v>11</v>
      </c>
      <c r="AC89" s="382">
        <v>3</v>
      </c>
      <c r="AD89" s="386">
        <v>1984</v>
      </c>
      <c r="AE89" s="386">
        <v>8</v>
      </c>
      <c r="AF89" s="386">
        <v>6</v>
      </c>
      <c r="AG89" s="386">
        <v>14</v>
      </c>
    </row>
    <row r="90" spans="1:33" x14ac:dyDescent="0.35">
      <c r="A90" s="381" t="s">
        <v>240</v>
      </c>
      <c r="B90" s="387" t="s">
        <v>241</v>
      </c>
      <c r="C90" s="383">
        <v>3821</v>
      </c>
      <c r="D90" s="383">
        <v>0</v>
      </c>
      <c r="E90" s="383">
        <v>386</v>
      </c>
      <c r="F90" s="383">
        <v>790</v>
      </c>
      <c r="G90" s="383">
        <v>704</v>
      </c>
      <c r="H90" s="383">
        <v>5701</v>
      </c>
      <c r="I90" s="382">
        <v>4997</v>
      </c>
      <c r="J90" s="382">
        <v>1</v>
      </c>
      <c r="K90" s="384">
        <v>92.15</v>
      </c>
      <c r="L90" s="384">
        <v>89.27</v>
      </c>
      <c r="M90" s="384">
        <v>6.58</v>
      </c>
      <c r="N90" s="384">
        <v>97.58</v>
      </c>
      <c r="O90" s="385">
        <v>3225</v>
      </c>
      <c r="P90" s="382">
        <v>106.38</v>
      </c>
      <c r="Q90" s="382">
        <v>98.15</v>
      </c>
      <c r="R90" s="382">
        <v>54.81</v>
      </c>
      <c r="S90" s="382">
        <v>156.41999999999999</v>
      </c>
      <c r="T90" s="382">
        <v>919</v>
      </c>
      <c r="U90" s="382">
        <v>110.43</v>
      </c>
      <c r="V90" s="382">
        <v>505</v>
      </c>
      <c r="W90" s="382">
        <v>129.6</v>
      </c>
      <c r="X90" s="382">
        <v>8</v>
      </c>
      <c r="Y90" s="382">
        <v>0</v>
      </c>
      <c r="Z90" s="382">
        <v>29</v>
      </c>
      <c r="AA90" s="382">
        <v>29</v>
      </c>
      <c r="AB90" s="382">
        <v>4</v>
      </c>
      <c r="AC90" s="382">
        <v>20</v>
      </c>
      <c r="AD90" s="386">
        <v>3821</v>
      </c>
      <c r="AE90" s="386">
        <v>30</v>
      </c>
      <c r="AF90" s="386">
        <v>21</v>
      </c>
      <c r="AG90" s="386">
        <v>51</v>
      </c>
    </row>
    <row r="91" spans="1:33" x14ac:dyDescent="0.35">
      <c r="A91" s="381" t="s">
        <v>242</v>
      </c>
      <c r="B91" s="387" t="s">
        <v>243</v>
      </c>
      <c r="C91" s="383">
        <v>10464</v>
      </c>
      <c r="D91" s="383">
        <v>316</v>
      </c>
      <c r="E91" s="383">
        <v>1013</v>
      </c>
      <c r="F91" s="383">
        <v>743</v>
      </c>
      <c r="G91" s="383">
        <v>2485</v>
      </c>
      <c r="H91" s="383">
        <v>15021</v>
      </c>
      <c r="I91" s="382">
        <v>12536</v>
      </c>
      <c r="J91" s="382">
        <v>67</v>
      </c>
      <c r="K91" s="384">
        <v>125.74</v>
      </c>
      <c r="L91" s="384">
        <v>126.98</v>
      </c>
      <c r="M91" s="384">
        <v>10.78</v>
      </c>
      <c r="N91" s="384">
        <v>133.63</v>
      </c>
      <c r="O91" s="385">
        <v>8235</v>
      </c>
      <c r="P91" s="382">
        <v>121.52</v>
      </c>
      <c r="Q91" s="382">
        <v>115.75</v>
      </c>
      <c r="R91" s="382">
        <v>40.07</v>
      </c>
      <c r="S91" s="382">
        <v>159.06</v>
      </c>
      <c r="T91" s="382">
        <v>1094</v>
      </c>
      <c r="U91" s="382">
        <v>196</v>
      </c>
      <c r="V91" s="382">
        <v>1421</v>
      </c>
      <c r="W91" s="382">
        <v>190.1</v>
      </c>
      <c r="X91" s="382">
        <v>44</v>
      </c>
      <c r="Y91" s="382">
        <v>5</v>
      </c>
      <c r="Z91" s="382">
        <v>2</v>
      </c>
      <c r="AA91" s="382">
        <v>11</v>
      </c>
      <c r="AB91" s="382">
        <v>156</v>
      </c>
      <c r="AC91" s="382">
        <v>70</v>
      </c>
      <c r="AD91" s="386">
        <v>10070</v>
      </c>
      <c r="AE91" s="386">
        <v>31</v>
      </c>
      <c r="AF91" s="386">
        <v>39</v>
      </c>
      <c r="AG91" s="386">
        <v>70</v>
      </c>
    </row>
    <row r="92" spans="1:33" x14ac:dyDescent="0.35">
      <c r="A92" s="381" t="s">
        <v>244</v>
      </c>
      <c r="B92" s="387" t="s">
        <v>245</v>
      </c>
      <c r="C92" s="383">
        <v>4163</v>
      </c>
      <c r="D92" s="383">
        <v>5</v>
      </c>
      <c r="E92" s="383">
        <v>126</v>
      </c>
      <c r="F92" s="383">
        <v>1022</v>
      </c>
      <c r="G92" s="383">
        <v>456</v>
      </c>
      <c r="H92" s="383">
        <v>5772</v>
      </c>
      <c r="I92" s="382">
        <v>5316</v>
      </c>
      <c r="J92" s="382">
        <v>8</v>
      </c>
      <c r="K92" s="384">
        <v>106.44</v>
      </c>
      <c r="L92" s="384">
        <v>100.09</v>
      </c>
      <c r="M92" s="384">
        <v>2.82</v>
      </c>
      <c r="N92" s="384">
        <v>107.65</v>
      </c>
      <c r="O92" s="385">
        <v>3666</v>
      </c>
      <c r="P92" s="382">
        <v>93.73</v>
      </c>
      <c r="Q92" s="382">
        <v>93.51</v>
      </c>
      <c r="R92" s="382">
        <v>26.59</v>
      </c>
      <c r="S92" s="382">
        <v>120.06</v>
      </c>
      <c r="T92" s="382">
        <v>1130</v>
      </c>
      <c r="U92" s="382">
        <v>128.71</v>
      </c>
      <c r="V92" s="382">
        <v>412</v>
      </c>
      <c r="W92" s="382">
        <v>0</v>
      </c>
      <c r="X92" s="382">
        <v>0</v>
      </c>
      <c r="Y92" s="382">
        <v>0</v>
      </c>
      <c r="Z92" s="382">
        <v>7</v>
      </c>
      <c r="AA92" s="382">
        <v>0</v>
      </c>
      <c r="AB92" s="382">
        <v>27</v>
      </c>
      <c r="AC92" s="382">
        <v>2</v>
      </c>
      <c r="AD92" s="386">
        <v>4155</v>
      </c>
      <c r="AE92" s="386">
        <v>14</v>
      </c>
      <c r="AF92" s="386">
        <v>21</v>
      </c>
      <c r="AG92" s="386">
        <v>35</v>
      </c>
    </row>
    <row r="93" spans="1:33" x14ac:dyDescent="0.35">
      <c r="A93" s="381" t="s">
        <v>246</v>
      </c>
      <c r="B93" s="387" t="s">
        <v>247</v>
      </c>
      <c r="C93" s="383">
        <v>2392</v>
      </c>
      <c r="D93" s="383">
        <v>1</v>
      </c>
      <c r="E93" s="383">
        <v>191</v>
      </c>
      <c r="F93" s="383">
        <v>155</v>
      </c>
      <c r="G93" s="383">
        <v>778</v>
      </c>
      <c r="H93" s="383">
        <v>3517</v>
      </c>
      <c r="I93" s="382">
        <v>2739</v>
      </c>
      <c r="J93" s="382">
        <v>1</v>
      </c>
      <c r="K93" s="384">
        <v>92.42</v>
      </c>
      <c r="L93" s="384">
        <v>89.62</v>
      </c>
      <c r="M93" s="384">
        <v>3.19</v>
      </c>
      <c r="N93" s="384">
        <v>94.74</v>
      </c>
      <c r="O93" s="385">
        <v>1513</v>
      </c>
      <c r="P93" s="382">
        <v>101.91</v>
      </c>
      <c r="Q93" s="382">
        <v>77.16</v>
      </c>
      <c r="R93" s="382">
        <v>60.89</v>
      </c>
      <c r="S93" s="382">
        <v>158</v>
      </c>
      <c r="T93" s="382">
        <v>241</v>
      </c>
      <c r="U93" s="382">
        <v>126.76</v>
      </c>
      <c r="V93" s="382">
        <v>661</v>
      </c>
      <c r="W93" s="382">
        <v>0</v>
      </c>
      <c r="X93" s="382">
        <v>0</v>
      </c>
      <c r="Y93" s="382">
        <v>0</v>
      </c>
      <c r="Z93" s="382">
        <v>0</v>
      </c>
      <c r="AA93" s="382">
        <v>0</v>
      </c>
      <c r="AB93" s="382">
        <v>114</v>
      </c>
      <c r="AC93" s="382">
        <v>12</v>
      </c>
      <c r="AD93" s="386">
        <v>2347</v>
      </c>
      <c r="AE93" s="386">
        <v>16</v>
      </c>
      <c r="AF93" s="386">
        <v>4</v>
      </c>
      <c r="AG93" s="386">
        <v>20</v>
      </c>
    </row>
    <row r="94" spans="1:33" x14ac:dyDescent="0.35">
      <c r="A94" s="381" t="s">
        <v>248</v>
      </c>
      <c r="B94" s="387" t="s">
        <v>249</v>
      </c>
      <c r="C94" s="383">
        <v>5782</v>
      </c>
      <c r="D94" s="383">
        <v>0</v>
      </c>
      <c r="E94" s="383">
        <v>113</v>
      </c>
      <c r="F94" s="383">
        <v>807</v>
      </c>
      <c r="G94" s="383">
        <v>681</v>
      </c>
      <c r="H94" s="383">
        <v>7383</v>
      </c>
      <c r="I94" s="382">
        <v>6702</v>
      </c>
      <c r="J94" s="382">
        <v>0</v>
      </c>
      <c r="K94" s="384">
        <v>113.47</v>
      </c>
      <c r="L94" s="384">
        <v>111.28</v>
      </c>
      <c r="M94" s="384">
        <v>4.0599999999999996</v>
      </c>
      <c r="N94" s="384">
        <v>114.87</v>
      </c>
      <c r="O94" s="385">
        <v>4245</v>
      </c>
      <c r="P94" s="382">
        <v>95.02</v>
      </c>
      <c r="Q94" s="382">
        <v>92.86</v>
      </c>
      <c r="R94" s="382">
        <v>15.72</v>
      </c>
      <c r="S94" s="382">
        <v>110.23</v>
      </c>
      <c r="T94" s="382">
        <v>886</v>
      </c>
      <c r="U94" s="382">
        <v>153.12</v>
      </c>
      <c r="V94" s="382">
        <v>1143</v>
      </c>
      <c r="W94" s="382">
        <v>0</v>
      </c>
      <c r="X94" s="382">
        <v>0</v>
      </c>
      <c r="Y94" s="382">
        <v>0</v>
      </c>
      <c r="Z94" s="382">
        <v>3</v>
      </c>
      <c r="AA94" s="382">
        <v>0</v>
      </c>
      <c r="AB94" s="382">
        <v>95</v>
      </c>
      <c r="AC94" s="382">
        <v>15</v>
      </c>
      <c r="AD94" s="386">
        <v>5494</v>
      </c>
      <c r="AE94" s="386">
        <v>59</v>
      </c>
      <c r="AF94" s="386">
        <v>2</v>
      </c>
      <c r="AG94" s="386">
        <v>61</v>
      </c>
    </row>
    <row r="95" spans="1:33" x14ac:dyDescent="0.35">
      <c r="A95" s="381" t="s">
        <v>250</v>
      </c>
      <c r="B95" s="387" t="s">
        <v>251</v>
      </c>
      <c r="C95" s="383">
        <v>7082</v>
      </c>
      <c r="D95" s="383">
        <v>0</v>
      </c>
      <c r="E95" s="383">
        <v>186</v>
      </c>
      <c r="F95" s="383">
        <v>1059</v>
      </c>
      <c r="G95" s="383">
        <v>790</v>
      </c>
      <c r="H95" s="383">
        <v>9117</v>
      </c>
      <c r="I95" s="382">
        <v>8327</v>
      </c>
      <c r="J95" s="382">
        <v>1</v>
      </c>
      <c r="K95" s="384">
        <v>114.26</v>
      </c>
      <c r="L95" s="384">
        <v>116.09</v>
      </c>
      <c r="M95" s="384">
        <v>5.03</v>
      </c>
      <c r="N95" s="384">
        <v>116.43</v>
      </c>
      <c r="O95" s="385">
        <v>5105</v>
      </c>
      <c r="P95" s="382">
        <v>103.28</v>
      </c>
      <c r="Q95" s="382">
        <v>105.19</v>
      </c>
      <c r="R95" s="382">
        <v>26.89</v>
      </c>
      <c r="S95" s="382">
        <v>129.41</v>
      </c>
      <c r="T95" s="382">
        <v>1202</v>
      </c>
      <c r="U95" s="382">
        <v>161.27000000000001</v>
      </c>
      <c r="V95" s="382">
        <v>1850</v>
      </c>
      <c r="W95" s="382">
        <v>0</v>
      </c>
      <c r="X95" s="382">
        <v>0</v>
      </c>
      <c r="Y95" s="382">
        <v>0</v>
      </c>
      <c r="Z95" s="382">
        <v>6</v>
      </c>
      <c r="AA95" s="382">
        <v>4</v>
      </c>
      <c r="AB95" s="382">
        <v>93</v>
      </c>
      <c r="AC95" s="382">
        <v>8</v>
      </c>
      <c r="AD95" s="386">
        <v>7077</v>
      </c>
      <c r="AE95" s="386">
        <v>67</v>
      </c>
      <c r="AF95" s="386">
        <v>32</v>
      </c>
      <c r="AG95" s="386">
        <v>99</v>
      </c>
    </row>
    <row r="96" spans="1:33" x14ac:dyDescent="0.35">
      <c r="A96" s="381" t="s">
        <v>252</v>
      </c>
      <c r="B96" s="387" t="s">
        <v>253</v>
      </c>
      <c r="C96" s="383">
        <v>6880</v>
      </c>
      <c r="D96" s="383">
        <v>8</v>
      </c>
      <c r="E96" s="383">
        <v>242</v>
      </c>
      <c r="F96" s="383">
        <v>577</v>
      </c>
      <c r="G96" s="383">
        <v>592</v>
      </c>
      <c r="H96" s="383">
        <v>8299</v>
      </c>
      <c r="I96" s="382">
        <v>7707</v>
      </c>
      <c r="J96" s="382">
        <v>0</v>
      </c>
      <c r="K96" s="384">
        <v>81.64</v>
      </c>
      <c r="L96" s="384">
        <v>81.37</v>
      </c>
      <c r="M96" s="384">
        <v>3.13</v>
      </c>
      <c r="N96" s="384">
        <v>84.19</v>
      </c>
      <c r="O96" s="385">
        <v>5201</v>
      </c>
      <c r="P96" s="382">
        <v>82.78</v>
      </c>
      <c r="Q96" s="382">
        <v>79.37</v>
      </c>
      <c r="R96" s="382">
        <v>41.26</v>
      </c>
      <c r="S96" s="382">
        <v>122.32</v>
      </c>
      <c r="T96" s="382">
        <v>771</v>
      </c>
      <c r="U96" s="382">
        <v>91.84</v>
      </c>
      <c r="V96" s="382">
        <v>1435</v>
      </c>
      <c r="W96" s="382">
        <v>149.16</v>
      </c>
      <c r="X96" s="382">
        <v>42</v>
      </c>
      <c r="Y96" s="382">
        <v>0</v>
      </c>
      <c r="Z96" s="382">
        <v>2</v>
      </c>
      <c r="AA96" s="382">
        <v>0</v>
      </c>
      <c r="AB96" s="382">
        <v>26</v>
      </c>
      <c r="AC96" s="382">
        <v>1</v>
      </c>
      <c r="AD96" s="386">
        <v>6725</v>
      </c>
      <c r="AE96" s="386">
        <v>54</v>
      </c>
      <c r="AF96" s="386">
        <v>31</v>
      </c>
      <c r="AG96" s="386">
        <v>85</v>
      </c>
    </row>
    <row r="97" spans="1:33" x14ac:dyDescent="0.35">
      <c r="A97" s="381" t="s">
        <v>254</v>
      </c>
      <c r="B97" s="387" t="s">
        <v>255</v>
      </c>
      <c r="C97" s="383">
        <v>2248</v>
      </c>
      <c r="D97" s="383">
        <v>0</v>
      </c>
      <c r="E97" s="383">
        <v>321</v>
      </c>
      <c r="F97" s="383">
        <v>630</v>
      </c>
      <c r="G97" s="383">
        <v>238</v>
      </c>
      <c r="H97" s="383">
        <v>3437</v>
      </c>
      <c r="I97" s="382">
        <v>3199</v>
      </c>
      <c r="J97" s="382">
        <v>0</v>
      </c>
      <c r="K97" s="384">
        <v>88.67</v>
      </c>
      <c r="L97" s="384">
        <v>85.54</v>
      </c>
      <c r="M97" s="384">
        <v>4.58</v>
      </c>
      <c r="N97" s="384">
        <v>91.31</v>
      </c>
      <c r="O97" s="385">
        <v>1387</v>
      </c>
      <c r="P97" s="382">
        <v>90.78</v>
      </c>
      <c r="Q97" s="382">
        <v>85.59</v>
      </c>
      <c r="R97" s="382">
        <v>47.33</v>
      </c>
      <c r="S97" s="382">
        <v>137.44</v>
      </c>
      <c r="T97" s="382">
        <v>769</v>
      </c>
      <c r="U97" s="382">
        <v>101.3</v>
      </c>
      <c r="V97" s="382">
        <v>589</v>
      </c>
      <c r="W97" s="382">
        <v>114.53</v>
      </c>
      <c r="X97" s="382">
        <v>37</v>
      </c>
      <c r="Y97" s="382">
        <v>0</v>
      </c>
      <c r="Z97" s="382">
        <v>1</v>
      </c>
      <c r="AA97" s="382">
        <v>6</v>
      </c>
      <c r="AB97" s="382">
        <v>36</v>
      </c>
      <c r="AC97" s="382">
        <v>1</v>
      </c>
      <c r="AD97" s="386">
        <v>2056</v>
      </c>
      <c r="AE97" s="386">
        <v>30</v>
      </c>
      <c r="AF97" s="386">
        <v>4</v>
      </c>
      <c r="AG97" s="386">
        <v>34</v>
      </c>
    </row>
    <row r="98" spans="1:33" x14ac:dyDescent="0.35">
      <c r="A98" s="381" t="s">
        <v>256</v>
      </c>
      <c r="B98" s="387" t="s">
        <v>257</v>
      </c>
      <c r="C98" s="383">
        <v>6147</v>
      </c>
      <c r="D98" s="383">
        <v>4</v>
      </c>
      <c r="E98" s="383">
        <v>131</v>
      </c>
      <c r="F98" s="383">
        <v>441</v>
      </c>
      <c r="G98" s="383">
        <v>224</v>
      </c>
      <c r="H98" s="383">
        <v>6947</v>
      </c>
      <c r="I98" s="382">
        <v>6723</v>
      </c>
      <c r="J98" s="382">
        <v>1</v>
      </c>
      <c r="K98" s="384">
        <v>80.67</v>
      </c>
      <c r="L98" s="384">
        <v>77.989999999999995</v>
      </c>
      <c r="M98" s="384">
        <v>6.05</v>
      </c>
      <c r="N98" s="384">
        <v>83.12</v>
      </c>
      <c r="O98" s="385">
        <v>5022</v>
      </c>
      <c r="P98" s="382">
        <v>78.239999999999995</v>
      </c>
      <c r="Q98" s="382">
        <v>76.260000000000005</v>
      </c>
      <c r="R98" s="382">
        <v>48.07</v>
      </c>
      <c r="S98" s="382">
        <v>125.72</v>
      </c>
      <c r="T98" s="382">
        <v>569</v>
      </c>
      <c r="U98" s="382">
        <v>93.21</v>
      </c>
      <c r="V98" s="382">
        <v>1105</v>
      </c>
      <c r="W98" s="382">
        <v>0</v>
      </c>
      <c r="X98" s="382">
        <v>0</v>
      </c>
      <c r="Y98" s="382">
        <v>0</v>
      </c>
      <c r="Z98" s="382">
        <v>37</v>
      </c>
      <c r="AA98" s="382">
        <v>14</v>
      </c>
      <c r="AB98" s="382">
        <v>18</v>
      </c>
      <c r="AC98" s="382">
        <v>6</v>
      </c>
      <c r="AD98" s="386">
        <v>6147</v>
      </c>
      <c r="AE98" s="386">
        <v>85</v>
      </c>
      <c r="AF98" s="386">
        <v>15</v>
      </c>
      <c r="AG98" s="386">
        <v>100</v>
      </c>
    </row>
    <row r="99" spans="1:33" x14ac:dyDescent="0.35">
      <c r="A99" s="381" t="s">
        <v>258</v>
      </c>
      <c r="B99" s="387" t="s">
        <v>259</v>
      </c>
      <c r="C99" s="382">
        <v>8298</v>
      </c>
      <c r="D99" s="382">
        <v>0</v>
      </c>
      <c r="E99" s="382">
        <v>405</v>
      </c>
      <c r="F99" s="382">
        <v>1387</v>
      </c>
      <c r="G99" s="382">
        <v>266</v>
      </c>
      <c r="H99" s="382">
        <v>10356</v>
      </c>
      <c r="I99" s="382">
        <v>10090</v>
      </c>
      <c r="J99" s="382">
        <v>0</v>
      </c>
      <c r="K99" s="382">
        <v>90.64</v>
      </c>
      <c r="L99" s="384">
        <v>90.84</v>
      </c>
      <c r="M99" s="384">
        <v>3.63</v>
      </c>
      <c r="N99" s="384">
        <v>92.27</v>
      </c>
      <c r="O99" s="385">
        <v>7047</v>
      </c>
      <c r="P99" s="382">
        <v>80.599999999999994</v>
      </c>
      <c r="Q99" s="382">
        <v>78.11</v>
      </c>
      <c r="R99" s="382">
        <v>34.590000000000003</v>
      </c>
      <c r="S99" s="382">
        <v>113.42</v>
      </c>
      <c r="T99" s="382">
        <v>1635</v>
      </c>
      <c r="U99" s="382">
        <v>102.32</v>
      </c>
      <c r="V99" s="382">
        <v>1059</v>
      </c>
      <c r="W99" s="382">
        <v>152</v>
      </c>
      <c r="X99" s="382">
        <v>47</v>
      </c>
      <c r="Y99" s="382">
        <v>439</v>
      </c>
      <c r="Z99" s="382">
        <v>3</v>
      </c>
      <c r="AA99" s="382">
        <v>10</v>
      </c>
      <c r="AB99" s="382">
        <v>11</v>
      </c>
      <c r="AC99" s="382">
        <v>8</v>
      </c>
      <c r="AD99" s="382">
        <v>8277</v>
      </c>
      <c r="AE99" s="382">
        <v>75</v>
      </c>
      <c r="AF99" s="382">
        <v>47</v>
      </c>
      <c r="AG99" s="382">
        <v>122</v>
      </c>
    </row>
    <row r="100" spans="1:33" x14ac:dyDescent="0.35">
      <c r="A100" s="381" t="s">
        <v>260</v>
      </c>
      <c r="B100" s="387" t="s">
        <v>261</v>
      </c>
      <c r="C100" s="383">
        <v>1797</v>
      </c>
      <c r="D100" s="383">
        <v>0</v>
      </c>
      <c r="E100" s="383">
        <v>378</v>
      </c>
      <c r="F100" s="383">
        <v>551</v>
      </c>
      <c r="G100" s="383">
        <v>176</v>
      </c>
      <c r="H100" s="383">
        <v>2902</v>
      </c>
      <c r="I100" s="382">
        <v>2726</v>
      </c>
      <c r="J100" s="382">
        <v>1</v>
      </c>
      <c r="K100" s="384">
        <v>92.94</v>
      </c>
      <c r="L100" s="384">
        <v>89.14</v>
      </c>
      <c r="M100" s="384">
        <v>8.86</v>
      </c>
      <c r="N100" s="384">
        <v>100.5</v>
      </c>
      <c r="O100" s="385">
        <v>1547</v>
      </c>
      <c r="P100" s="382">
        <v>80.47</v>
      </c>
      <c r="Q100" s="382">
        <v>75.5</v>
      </c>
      <c r="R100" s="382">
        <v>42.44</v>
      </c>
      <c r="S100" s="382">
        <v>122.91</v>
      </c>
      <c r="T100" s="382">
        <v>615</v>
      </c>
      <c r="U100" s="382">
        <v>132.69999999999999</v>
      </c>
      <c r="V100" s="382">
        <v>221</v>
      </c>
      <c r="W100" s="382">
        <v>161.88</v>
      </c>
      <c r="X100" s="382">
        <v>56</v>
      </c>
      <c r="Y100" s="382">
        <v>0</v>
      </c>
      <c r="Z100" s="382">
        <v>0</v>
      </c>
      <c r="AA100" s="382">
        <v>1</v>
      </c>
      <c r="AB100" s="382">
        <v>0</v>
      </c>
      <c r="AC100" s="382">
        <v>3</v>
      </c>
      <c r="AD100" s="386">
        <v>1795</v>
      </c>
      <c r="AE100" s="386">
        <v>7</v>
      </c>
      <c r="AF100" s="386">
        <v>5</v>
      </c>
      <c r="AG100" s="386">
        <v>12</v>
      </c>
    </row>
    <row r="101" spans="1:33" x14ac:dyDescent="0.35">
      <c r="A101" s="381" t="s">
        <v>262</v>
      </c>
      <c r="B101" s="387" t="s">
        <v>263</v>
      </c>
      <c r="C101" s="383">
        <v>6514</v>
      </c>
      <c r="D101" s="383">
        <v>0</v>
      </c>
      <c r="E101" s="383">
        <v>176</v>
      </c>
      <c r="F101" s="383">
        <v>706</v>
      </c>
      <c r="G101" s="383">
        <v>985</v>
      </c>
      <c r="H101" s="383">
        <v>8381</v>
      </c>
      <c r="I101" s="382">
        <v>7396</v>
      </c>
      <c r="J101" s="382">
        <v>0</v>
      </c>
      <c r="K101" s="384">
        <v>106.59</v>
      </c>
      <c r="L101" s="384">
        <v>102.04</v>
      </c>
      <c r="M101" s="384">
        <v>5.45</v>
      </c>
      <c r="N101" s="384">
        <v>109.37</v>
      </c>
      <c r="O101" s="385">
        <v>4777</v>
      </c>
      <c r="P101" s="382">
        <v>95.3</v>
      </c>
      <c r="Q101" s="382">
        <v>86.19</v>
      </c>
      <c r="R101" s="382">
        <v>35.520000000000003</v>
      </c>
      <c r="S101" s="382">
        <v>130.25</v>
      </c>
      <c r="T101" s="382">
        <v>753</v>
      </c>
      <c r="U101" s="382">
        <v>147.22999999999999</v>
      </c>
      <c r="V101" s="382">
        <v>1585</v>
      </c>
      <c r="W101" s="382">
        <v>174.03</v>
      </c>
      <c r="X101" s="382">
        <v>51</v>
      </c>
      <c r="Y101" s="382">
        <v>40</v>
      </c>
      <c r="Z101" s="382">
        <v>9</v>
      </c>
      <c r="AA101" s="382">
        <v>0</v>
      </c>
      <c r="AB101" s="382">
        <v>265</v>
      </c>
      <c r="AC101" s="382">
        <v>15</v>
      </c>
      <c r="AD101" s="386">
        <v>6514</v>
      </c>
      <c r="AE101" s="386">
        <v>87</v>
      </c>
      <c r="AF101" s="386">
        <v>21</v>
      </c>
      <c r="AG101" s="386">
        <v>108</v>
      </c>
    </row>
    <row r="102" spans="1:33" x14ac:dyDescent="0.35">
      <c r="A102" s="381" t="s">
        <v>264</v>
      </c>
      <c r="B102" s="387" t="s">
        <v>265</v>
      </c>
      <c r="C102" s="383">
        <v>2201</v>
      </c>
      <c r="D102" s="383">
        <v>9</v>
      </c>
      <c r="E102" s="383">
        <v>173</v>
      </c>
      <c r="F102" s="383">
        <v>185</v>
      </c>
      <c r="G102" s="383">
        <v>177</v>
      </c>
      <c r="H102" s="383">
        <v>2745</v>
      </c>
      <c r="I102" s="382">
        <v>2568</v>
      </c>
      <c r="J102" s="382">
        <v>18</v>
      </c>
      <c r="K102" s="384">
        <v>94.53</v>
      </c>
      <c r="L102" s="384">
        <v>93.78</v>
      </c>
      <c r="M102" s="384">
        <v>4.93</v>
      </c>
      <c r="N102" s="384">
        <v>96.41</v>
      </c>
      <c r="O102" s="385">
        <v>1948</v>
      </c>
      <c r="P102" s="382">
        <v>87.13</v>
      </c>
      <c r="Q102" s="382">
        <v>84.27</v>
      </c>
      <c r="R102" s="382">
        <v>37.880000000000003</v>
      </c>
      <c r="S102" s="382">
        <v>123.78</v>
      </c>
      <c r="T102" s="382">
        <v>340</v>
      </c>
      <c r="U102" s="382">
        <v>106.9</v>
      </c>
      <c r="V102" s="382">
        <v>226</v>
      </c>
      <c r="W102" s="382">
        <v>0</v>
      </c>
      <c r="X102" s="382">
        <v>0</v>
      </c>
      <c r="Y102" s="382">
        <v>0</v>
      </c>
      <c r="Z102" s="382">
        <v>4</v>
      </c>
      <c r="AA102" s="382">
        <v>14</v>
      </c>
      <c r="AB102" s="382">
        <v>4</v>
      </c>
      <c r="AC102" s="382">
        <v>0</v>
      </c>
      <c r="AD102" s="386">
        <v>2163</v>
      </c>
      <c r="AE102" s="386">
        <v>22</v>
      </c>
      <c r="AF102" s="386">
        <v>3</v>
      </c>
      <c r="AG102" s="386">
        <v>25</v>
      </c>
    </row>
    <row r="103" spans="1:33" x14ac:dyDescent="0.35">
      <c r="A103" s="381" t="s">
        <v>266</v>
      </c>
      <c r="B103" s="387" t="s">
        <v>267</v>
      </c>
      <c r="C103" s="383">
        <v>4543</v>
      </c>
      <c r="D103" s="383">
        <v>5</v>
      </c>
      <c r="E103" s="383">
        <v>142</v>
      </c>
      <c r="F103" s="383">
        <v>925</v>
      </c>
      <c r="G103" s="383">
        <v>507</v>
      </c>
      <c r="H103" s="383">
        <v>6122</v>
      </c>
      <c r="I103" s="382">
        <v>5615</v>
      </c>
      <c r="J103" s="382">
        <v>38</v>
      </c>
      <c r="K103" s="384">
        <v>124.79</v>
      </c>
      <c r="L103" s="384">
        <v>127.91</v>
      </c>
      <c r="M103" s="384">
        <v>8.6999999999999993</v>
      </c>
      <c r="N103" s="384">
        <v>129.1</v>
      </c>
      <c r="O103" s="385">
        <v>3714</v>
      </c>
      <c r="P103" s="382">
        <v>114.62</v>
      </c>
      <c r="Q103" s="382">
        <v>116.21</v>
      </c>
      <c r="R103" s="382">
        <v>22.07</v>
      </c>
      <c r="S103" s="382">
        <v>136.63</v>
      </c>
      <c r="T103" s="382">
        <v>783</v>
      </c>
      <c r="U103" s="382">
        <v>194.62</v>
      </c>
      <c r="V103" s="382">
        <v>610</v>
      </c>
      <c r="W103" s="382">
        <v>130.54</v>
      </c>
      <c r="X103" s="382">
        <v>11</v>
      </c>
      <c r="Y103" s="382">
        <v>0</v>
      </c>
      <c r="Z103" s="382">
        <v>2</v>
      </c>
      <c r="AA103" s="382">
        <v>2</v>
      </c>
      <c r="AB103" s="382">
        <v>26</v>
      </c>
      <c r="AC103" s="382">
        <v>10</v>
      </c>
      <c r="AD103" s="386">
        <v>4411</v>
      </c>
      <c r="AE103" s="386">
        <v>35</v>
      </c>
      <c r="AF103" s="386">
        <v>4</v>
      </c>
      <c r="AG103" s="386">
        <v>39</v>
      </c>
    </row>
    <row r="104" spans="1:33" x14ac:dyDescent="0.35">
      <c r="A104" s="381" t="s">
        <v>268</v>
      </c>
      <c r="B104" s="387" t="s">
        <v>269</v>
      </c>
      <c r="C104" s="383">
        <v>7011</v>
      </c>
      <c r="D104" s="383">
        <v>307</v>
      </c>
      <c r="E104" s="383">
        <v>619</v>
      </c>
      <c r="F104" s="383">
        <v>699</v>
      </c>
      <c r="G104" s="383">
        <v>1230</v>
      </c>
      <c r="H104" s="383">
        <v>9866</v>
      </c>
      <c r="I104" s="382">
        <v>8636</v>
      </c>
      <c r="J104" s="382">
        <v>3</v>
      </c>
      <c r="K104" s="384">
        <v>120.55</v>
      </c>
      <c r="L104" s="384">
        <v>119.22</v>
      </c>
      <c r="M104" s="384">
        <v>15.01</v>
      </c>
      <c r="N104" s="384">
        <v>131.1</v>
      </c>
      <c r="O104" s="385">
        <v>5877</v>
      </c>
      <c r="P104" s="382">
        <v>113.07</v>
      </c>
      <c r="Q104" s="382">
        <v>106.4</v>
      </c>
      <c r="R104" s="382">
        <v>66.34</v>
      </c>
      <c r="S104" s="382">
        <v>178.03</v>
      </c>
      <c r="T104" s="382">
        <v>1106</v>
      </c>
      <c r="U104" s="382">
        <v>191.1</v>
      </c>
      <c r="V104" s="382">
        <v>699</v>
      </c>
      <c r="W104" s="382">
        <v>0</v>
      </c>
      <c r="X104" s="382">
        <v>0</v>
      </c>
      <c r="Y104" s="382">
        <v>0</v>
      </c>
      <c r="Z104" s="382">
        <v>3</v>
      </c>
      <c r="AA104" s="382">
        <v>4</v>
      </c>
      <c r="AB104" s="382">
        <v>27</v>
      </c>
      <c r="AC104" s="382">
        <v>33</v>
      </c>
      <c r="AD104" s="386">
        <v>6589</v>
      </c>
      <c r="AE104" s="386">
        <v>98</v>
      </c>
      <c r="AF104" s="386">
        <v>15</v>
      </c>
      <c r="AG104" s="386">
        <v>113</v>
      </c>
    </row>
    <row r="105" spans="1:33" x14ac:dyDescent="0.35">
      <c r="A105" s="381" t="s">
        <v>270</v>
      </c>
      <c r="B105" s="387" t="s">
        <v>271</v>
      </c>
      <c r="C105" s="383">
        <v>1432</v>
      </c>
      <c r="D105" s="383">
        <v>0</v>
      </c>
      <c r="E105" s="383">
        <v>111</v>
      </c>
      <c r="F105" s="383">
        <v>275</v>
      </c>
      <c r="G105" s="383">
        <v>295</v>
      </c>
      <c r="H105" s="383">
        <v>2113</v>
      </c>
      <c r="I105" s="382">
        <v>1818</v>
      </c>
      <c r="J105" s="382">
        <v>0</v>
      </c>
      <c r="K105" s="384">
        <v>118.44</v>
      </c>
      <c r="L105" s="384">
        <v>115.9</v>
      </c>
      <c r="M105" s="384">
        <v>5.71</v>
      </c>
      <c r="N105" s="384">
        <v>123.48</v>
      </c>
      <c r="O105" s="385">
        <v>1227</v>
      </c>
      <c r="P105" s="382">
        <v>95.44</v>
      </c>
      <c r="Q105" s="382">
        <v>90.22</v>
      </c>
      <c r="R105" s="382">
        <v>42.23</v>
      </c>
      <c r="S105" s="382">
        <v>137.22999999999999</v>
      </c>
      <c r="T105" s="382">
        <v>285</v>
      </c>
      <c r="U105" s="382">
        <v>175.23</v>
      </c>
      <c r="V105" s="382">
        <v>187</v>
      </c>
      <c r="W105" s="382">
        <v>0</v>
      </c>
      <c r="X105" s="382">
        <v>0</v>
      </c>
      <c r="Y105" s="382">
        <v>0</v>
      </c>
      <c r="Z105" s="382">
        <v>0</v>
      </c>
      <c r="AA105" s="382">
        <v>0</v>
      </c>
      <c r="AB105" s="382">
        <v>10</v>
      </c>
      <c r="AC105" s="382">
        <v>4</v>
      </c>
      <c r="AD105" s="386">
        <v>1432</v>
      </c>
      <c r="AE105" s="386">
        <v>6</v>
      </c>
      <c r="AF105" s="386">
        <v>1</v>
      </c>
      <c r="AG105" s="386">
        <v>7</v>
      </c>
    </row>
    <row r="106" spans="1:33" x14ac:dyDescent="0.35">
      <c r="A106" s="381" t="s">
        <v>272</v>
      </c>
      <c r="B106" s="387" t="s">
        <v>273</v>
      </c>
      <c r="C106" s="383">
        <v>2181</v>
      </c>
      <c r="D106" s="383">
        <v>43</v>
      </c>
      <c r="E106" s="383">
        <v>173</v>
      </c>
      <c r="F106" s="383">
        <v>406</v>
      </c>
      <c r="G106" s="383">
        <v>345</v>
      </c>
      <c r="H106" s="383">
        <v>3148</v>
      </c>
      <c r="I106" s="382">
        <v>2803</v>
      </c>
      <c r="J106" s="382">
        <v>0</v>
      </c>
      <c r="K106" s="384">
        <v>119.91</v>
      </c>
      <c r="L106" s="384">
        <v>112.94</v>
      </c>
      <c r="M106" s="384">
        <v>9.6300000000000008</v>
      </c>
      <c r="N106" s="384">
        <v>125.19</v>
      </c>
      <c r="O106" s="385">
        <v>1948</v>
      </c>
      <c r="P106" s="382">
        <v>104.36</v>
      </c>
      <c r="Q106" s="382">
        <v>94.49</v>
      </c>
      <c r="R106" s="382">
        <v>26.32</v>
      </c>
      <c r="S106" s="382">
        <v>130.19999999999999</v>
      </c>
      <c r="T106" s="382">
        <v>329</v>
      </c>
      <c r="U106" s="382">
        <v>195.64</v>
      </c>
      <c r="V106" s="382">
        <v>258</v>
      </c>
      <c r="W106" s="382">
        <v>231.6</v>
      </c>
      <c r="X106" s="382">
        <v>74</v>
      </c>
      <c r="Y106" s="382">
        <v>7</v>
      </c>
      <c r="Z106" s="382">
        <v>2</v>
      </c>
      <c r="AA106" s="382">
        <v>0</v>
      </c>
      <c r="AB106" s="382">
        <v>4</v>
      </c>
      <c r="AC106" s="382">
        <v>8</v>
      </c>
      <c r="AD106" s="386">
        <v>2181</v>
      </c>
      <c r="AE106" s="386">
        <v>12</v>
      </c>
      <c r="AF106" s="386">
        <v>5</v>
      </c>
      <c r="AG106" s="386">
        <v>17</v>
      </c>
    </row>
    <row r="107" spans="1:33" x14ac:dyDescent="0.35">
      <c r="A107" s="381" t="s">
        <v>274</v>
      </c>
      <c r="B107" s="387" t="s">
        <v>275</v>
      </c>
      <c r="C107" s="383">
        <v>4677</v>
      </c>
      <c r="D107" s="383">
        <v>3</v>
      </c>
      <c r="E107" s="383">
        <v>92</v>
      </c>
      <c r="F107" s="383">
        <v>1836</v>
      </c>
      <c r="G107" s="383">
        <v>201</v>
      </c>
      <c r="H107" s="383">
        <v>6809</v>
      </c>
      <c r="I107" s="382">
        <v>6608</v>
      </c>
      <c r="J107" s="382">
        <v>4</v>
      </c>
      <c r="K107" s="384">
        <v>87.32</v>
      </c>
      <c r="L107" s="384">
        <v>86.75</v>
      </c>
      <c r="M107" s="384">
        <v>3.11</v>
      </c>
      <c r="N107" s="384">
        <v>89.76</v>
      </c>
      <c r="O107" s="385">
        <v>4211</v>
      </c>
      <c r="P107" s="382">
        <v>79.34</v>
      </c>
      <c r="Q107" s="382">
        <v>79.069999999999993</v>
      </c>
      <c r="R107" s="382">
        <v>9.2100000000000009</v>
      </c>
      <c r="S107" s="382">
        <v>88.25</v>
      </c>
      <c r="T107" s="382">
        <v>1913</v>
      </c>
      <c r="U107" s="382">
        <v>99.5</v>
      </c>
      <c r="V107" s="382">
        <v>428</v>
      </c>
      <c r="W107" s="382">
        <v>0</v>
      </c>
      <c r="X107" s="382">
        <v>0</v>
      </c>
      <c r="Y107" s="382">
        <v>0</v>
      </c>
      <c r="Z107" s="382">
        <v>39</v>
      </c>
      <c r="AA107" s="382">
        <v>7</v>
      </c>
      <c r="AB107" s="382">
        <v>28</v>
      </c>
      <c r="AC107" s="382">
        <v>9</v>
      </c>
      <c r="AD107" s="386">
        <v>4676</v>
      </c>
      <c r="AE107" s="386">
        <v>37</v>
      </c>
      <c r="AF107" s="386">
        <v>25</v>
      </c>
      <c r="AG107" s="386">
        <v>62</v>
      </c>
    </row>
    <row r="108" spans="1:33" x14ac:dyDescent="0.35">
      <c r="A108" s="381" t="s">
        <v>276</v>
      </c>
      <c r="B108" s="387" t="s">
        <v>277</v>
      </c>
      <c r="C108" s="383">
        <v>3788</v>
      </c>
      <c r="D108" s="383">
        <v>4</v>
      </c>
      <c r="E108" s="383">
        <v>512</v>
      </c>
      <c r="F108" s="383">
        <v>236</v>
      </c>
      <c r="G108" s="383">
        <v>486</v>
      </c>
      <c r="H108" s="383">
        <v>5026</v>
      </c>
      <c r="I108" s="382">
        <v>4540</v>
      </c>
      <c r="J108" s="382">
        <v>26</v>
      </c>
      <c r="K108" s="384">
        <v>86.67</v>
      </c>
      <c r="L108" s="384">
        <v>85.02</v>
      </c>
      <c r="M108" s="384">
        <v>6.45</v>
      </c>
      <c r="N108" s="384">
        <v>91.51</v>
      </c>
      <c r="O108" s="385">
        <v>3392</v>
      </c>
      <c r="P108" s="382">
        <v>91.54</v>
      </c>
      <c r="Q108" s="382">
        <v>65.680000000000007</v>
      </c>
      <c r="R108" s="382">
        <v>98.43</v>
      </c>
      <c r="S108" s="382">
        <v>184.48</v>
      </c>
      <c r="T108" s="382">
        <v>449</v>
      </c>
      <c r="U108" s="382">
        <v>123.56</v>
      </c>
      <c r="V108" s="382">
        <v>265</v>
      </c>
      <c r="W108" s="382">
        <v>0</v>
      </c>
      <c r="X108" s="382">
        <v>0</v>
      </c>
      <c r="Y108" s="382">
        <v>0</v>
      </c>
      <c r="Z108" s="382">
        <v>0</v>
      </c>
      <c r="AA108" s="382">
        <v>1</v>
      </c>
      <c r="AB108" s="382">
        <v>36</v>
      </c>
      <c r="AC108" s="382">
        <v>10</v>
      </c>
      <c r="AD108" s="386">
        <v>3623</v>
      </c>
      <c r="AE108" s="386">
        <v>17</v>
      </c>
      <c r="AF108" s="386">
        <v>35</v>
      </c>
      <c r="AG108" s="386">
        <v>52</v>
      </c>
    </row>
    <row r="109" spans="1:33" x14ac:dyDescent="0.35">
      <c r="A109" s="381" t="s">
        <v>278</v>
      </c>
      <c r="B109" s="387" t="s">
        <v>279</v>
      </c>
      <c r="C109" s="383">
        <v>1497</v>
      </c>
      <c r="D109" s="383">
        <v>0</v>
      </c>
      <c r="E109" s="383">
        <v>173</v>
      </c>
      <c r="F109" s="383">
        <v>183</v>
      </c>
      <c r="G109" s="383">
        <v>242</v>
      </c>
      <c r="H109" s="383">
        <v>2095</v>
      </c>
      <c r="I109" s="382">
        <v>1853</v>
      </c>
      <c r="J109" s="382">
        <v>0</v>
      </c>
      <c r="K109" s="384">
        <v>104.9</v>
      </c>
      <c r="L109" s="384">
        <v>101.22</v>
      </c>
      <c r="M109" s="384">
        <v>8.18</v>
      </c>
      <c r="N109" s="384">
        <v>110.86</v>
      </c>
      <c r="O109" s="385">
        <v>1063</v>
      </c>
      <c r="P109" s="382">
        <v>100.43</v>
      </c>
      <c r="Q109" s="382">
        <v>88.98</v>
      </c>
      <c r="R109" s="382">
        <v>48.86</v>
      </c>
      <c r="S109" s="382">
        <v>146.16999999999999</v>
      </c>
      <c r="T109" s="382">
        <v>235</v>
      </c>
      <c r="U109" s="382">
        <v>142.66</v>
      </c>
      <c r="V109" s="382">
        <v>328</v>
      </c>
      <c r="W109" s="382">
        <v>0</v>
      </c>
      <c r="X109" s="382">
        <v>0</v>
      </c>
      <c r="Y109" s="382">
        <v>1</v>
      </c>
      <c r="Z109" s="382">
        <v>1</v>
      </c>
      <c r="AA109" s="382">
        <v>1</v>
      </c>
      <c r="AB109" s="382">
        <v>2</v>
      </c>
      <c r="AC109" s="382">
        <v>5</v>
      </c>
      <c r="AD109" s="386">
        <v>1485</v>
      </c>
      <c r="AE109" s="386">
        <v>11</v>
      </c>
      <c r="AF109" s="386">
        <v>2</v>
      </c>
      <c r="AG109" s="386">
        <v>13</v>
      </c>
    </row>
    <row r="110" spans="1:33" x14ac:dyDescent="0.35">
      <c r="A110" s="381" t="s">
        <v>280</v>
      </c>
      <c r="B110" s="387" t="s">
        <v>281</v>
      </c>
      <c r="C110" s="383">
        <v>4807</v>
      </c>
      <c r="D110" s="383">
        <v>0</v>
      </c>
      <c r="E110" s="383">
        <v>237</v>
      </c>
      <c r="F110" s="383">
        <v>741</v>
      </c>
      <c r="G110" s="383">
        <v>173</v>
      </c>
      <c r="H110" s="383">
        <v>5958</v>
      </c>
      <c r="I110" s="382">
        <v>5785</v>
      </c>
      <c r="J110" s="382">
        <v>52</v>
      </c>
      <c r="K110" s="384">
        <v>88.39</v>
      </c>
      <c r="L110" s="384">
        <v>85.61</v>
      </c>
      <c r="M110" s="384">
        <v>4.96</v>
      </c>
      <c r="N110" s="384">
        <v>90.65</v>
      </c>
      <c r="O110" s="385">
        <v>4398</v>
      </c>
      <c r="P110" s="382">
        <v>98.19</v>
      </c>
      <c r="Q110" s="382">
        <v>86.48</v>
      </c>
      <c r="R110" s="382">
        <v>48.51</v>
      </c>
      <c r="S110" s="382">
        <v>145.69999999999999</v>
      </c>
      <c r="T110" s="382">
        <v>876</v>
      </c>
      <c r="U110" s="382">
        <v>107.96</v>
      </c>
      <c r="V110" s="382">
        <v>380</v>
      </c>
      <c r="W110" s="382">
        <v>221.83</v>
      </c>
      <c r="X110" s="382">
        <v>60</v>
      </c>
      <c r="Y110" s="382">
        <v>0</v>
      </c>
      <c r="Z110" s="382">
        <v>10</v>
      </c>
      <c r="AA110" s="382">
        <v>1</v>
      </c>
      <c r="AB110" s="382">
        <v>12</v>
      </c>
      <c r="AC110" s="382">
        <v>5</v>
      </c>
      <c r="AD110" s="386">
        <v>4807</v>
      </c>
      <c r="AE110" s="386">
        <v>16</v>
      </c>
      <c r="AF110" s="386">
        <v>28</v>
      </c>
      <c r="AG110" s="386">
        <v>44</v>
      </c>
    </row>
    <row r="111" spans="1:33" x14ac:dyDescent="0.35">
      <c r="A111" s="381" t="s">
        <v>282</v>
      </c>
      <c r="B111" s="387" t="s">
        <v>283</v>
      </c>
      <c r="C111" s="383">
        <v>1575</v>
      </c>
      <c r="D111" s="383">
        <v>0</v>
      </c>
      <c r="E111" s="383">
        <v>133</v>
      </c>
      <c r="F111" s="383">
        <v>264</v>
      </c>
      <c r="G111" s="383">
        <v>301</v>
      </c>
      <c r="H111" s="383">
        <v>2273</v>
      </c>
      <c r="I111" s="382">
        <v>1972</v>
      </c>
      <c r="J111" s="382">
        <v>8</v>
      </c>
      <c r="K111" s="384">
        <v>93.3</v>
      </c>
      <c r="L111" s="384">
        <v>91.84</v>
      </c>
      <c r="M111" s="384">
        <v>7.58</v>
      </c>
      <c r="N111" s="384">
        <v>99.29</v>
      </c>
      <c r="O111" s="385">
        <v>1193</v>
      </c>
      <c r="P111" s="382">
        <v>95.73</v>
      </c>
      <c r="Q111" s="382">
        <v>83.27</v>
      </c>
      <c r="R111" s="382">
        <v>52.17</v>
      </c>
      <c r="S111" s="382">
        <v>146.27000000000001</v>
      </c>
      <c r="T111" s="382">
        <v>353</v>
      </c>
      <c r="U111" s="382">
        <v>136.55000000000001</v>
      </c>
      <c r="V111" s="382">
        <v>200</v>
      </c>
      <c r="W111" s="382">
        <v>73.319999999999993</v>
      </c>
      <c r="X111" s="382">
        <v>7</v>
      </c>
      <c r="Y111" s="382">
        <v>0</v>
      </c>
      <c r="Z111" s="382">
        <v>0</v>
      </c>
      <c r="AA111" s="382">
        <v>1</v>
      </c>
      <c r="AB111" s="382">
        <v>9</v>
      </c>
      <c r="AC111" s="382">
        <v>5</v>
      </c>
      <c r="AD111" s="386">
        <v>1416</v>
      </c>
      <c r="AE111" s="386">
        <v>13</v>
      </c>
      <c r="AF111" s="386">
        <v>6</v>
      </c>
      <c r="AG111" s="386">
        <v>19</v>
      </c>
    </row>
    <row r="112" spans="1:33" x14ac:dyDescent="0.35">
      <c r="A112" s="381" t="s">
        <v>284</v>
      </c>
      <c r="B112" s="387" t="s">
        <v>285</v>
      </c>
      <c r="C112" s="383">
        <v>4183</v>
      </c>
      <c r="D112" s="383">
        <v>0</v>
      </c>
      <c r="E112" s="383">
        <v>78</v>
      </c>
      <c r="F112" s="383">
        <v>785</v>
      </c>
      <c r="G112" s="383">
        <v>222</v>
      </c>
      <c r="H112" s="383">
        <v>5268</v>
      </c>
      <c r="I112" s="382">
        <v>5046</v>
      </c>
      <c r="J112" s="382">
        <v>6</v>
      </c>
      <c r="K112" s="384">
        <v>92.21</v>
      </c>
      <c r="L112" s="384">
        <v>89.97</v>
      </c>
      <c r="M112" s="384">
        <v>2.0299999999999998</v>
      </c>
      <c r="N112" s="384">
        <v>93.98</v>
      </c>
      <c r="O112" s="385">
        <v>3291</v>
      </c>
      <c r="P112" s="382">
        <v>86.35</v>
      </c>
      <c r="Q112" s="382">
        <v>87.36</v>
      </c>
      <c r="R112" s="382">
        <v>23.61</v>
      </c>
      <c r="S112" s="382">
        <v>109.21</v>
      </c>
      <c r="T112" s="382">
        <v>760</v>
      </c>
      <c r="U112" s="382">
        <v>108.5</v>
      </c>
      <c r="V112" s="382">
        <v>465</v>
      </c>
      <c r="W112" s="382">
        <v>207.8</v>
      </c>
      <c r="X112" s="382">
        <v>67</v>
      </c>
      <c r="Y112" s="382">
        <v>0</v>
      </c>
      <c r="Z112" s="382">
        <v>13</v>
      </c>
      <c r="AA112" s="382">
        <v>0</v>
      </c>
      <c r="AB112" s="382">
        <v>9</v>
      </c>
      <c r="AC112" s="382">
        <v>8</v>
      </c>
      <c r="AD112" s="386">
        <v>3753</v>
      </c>
      <c r="AE112" s="386">
        <v>7</v>
      </c>
      <c r="AF112" s="386">
        <v>17</v>
      </c>
      <c r="AG112" s="386">
        <v>24</v>
      </c>
    </row>
    <row r="113" spans="1:33" x14ac:dyDescent="0.35">
      <c r="A113" s="381" t="s">
        <v>286</v>
      </c>
      <c r="B113" s="387" t="s">
        <v>287</v>
      </c>
      <c r="C113" s="383">
        <v>2378</v>
      </c>
      <c r="D113" s="383">
        <v>0</v>
      </c>
      <c r="E113" s="383">
        <v>154</v>
      </c>
      <c r="F113" s="383">
        <v>517</v>
      </c>
      <c r="G113" s="383">
        <v>201</v>
      </c>
      <c r="H113" s="383">
        <v>3250</v>
      </c>
      <c r="I113" s="382">
        <v>3049</v>
      </c>
      <c r="J113" s="382">
        <v>0</v>
      </c>
      <c r="K113" s="384">
        <v>85.32</v>
      </c>
      <c r="L113" s="384">
        <v>84.85</v>
      </c>
      <c r="M113" s="384">
        <v>3.41</v>
      </c>
      <c r="N113" s="384">
        <v>88.48</v>
      </c>
      <c r="O113" s="385">
        <v>1794</v>
      </c>
      <c r="P113" s="382">
        <v>90.86</v>
      </c>
      <c r="Q113" s="382">
        <v>77.34</v>
      </c>
      <c r="R113" s="382">
        <v>24.65</v>
      </c>
      <c r="S113" s="382">
        <v>115.47</v>
      </c>
      <c r="T113" s="382">
        <v>614</v>
      </c>
      <c r="U113" s="382">
        <v>109.45</v>
      </c>
      <c r="V113" s="382">
        <v>569</v>
      </c>
      <c r="W113" s="382">
        <v>0</v>
      </c>
      <c r="X113" s="382">
        <v>0</v>
      </c>
      <c r="Y113" s="382">
        <v>0</v>
      </c>
      <c r="Z113" s="382">
        <v>4</v>
      </c>
      <c r="AA113" s="382">
        <v>0</v>
      </c>
      <c r="AB113" s="382">
        <v>5</v>
      </c>
      <c r="AC113" s="382">
        <v>0</v>
      </c>
      <c r="AD113" s="386">
        <v>2370</v>
      </c>
      <c r="AE113" s="386">
        <v>16</v>
      </c>
      <c r="AF113" s="386">
        <v>1</v>
      </c>
      <c r="AG113" s="386">
        <v>17</v>
      </c>
    </row>
    <row r="114" spans="1:33" x14ac:dyDescent="0.35">
      <c r="A114" s="381" t="s">
        <v>288</v>
      </c>
      <c r="B114" s="387" t="s">
        <v>289</v>
      </c>
      <c r="C114" s="383">
        <v>4040</v>
      </c>
      <c r="D114" s="383">
        <v>0</v>
      </c>
      <c r="E114" s="383">
        <v>342</v>
      </c>
      <c r="F114" s="383">
        <v>991</v>
      </c>
      <c r="G114" s="383">
        <v>205</v>
      </c>
      <c r="H114" s="383">
        <v>5578</v>
      </c>
      <c r="I114" s="382">
        <v>5373</v>
      </c>
      <c r="J114" s="382">
        <v>2</v>
      </c>
      <c r="K114" s="384">
        <v>77.67</v>
      </c>
      <c r="L114" s="384">
        <v>74.47</v>
      </c>
      <c r="M114" s="384">
        <v>7.71</v>
      </c>
      <c r="N114" s="384">
        <v>82.39</v>
      </c>
      <c r="O114" s="385">
        <v>2931</v>
      </c>
      <c r="P114" s="382">
        <v>91.49</v>
      </c>
      <c r="Q114" s="382">
        <v>77.709999999999994</v>
      </c>
      <c r="R114" s="382">
        <v>53.65</v>
      </c>
      <c r="S114" s="382">
        <v>144.41999999999999</v>
      </c>
      <c r="T114" s="382">
        <v>1110</v>
      </c>
      <c r="U114" s="382">
        <v>94.4</v>
      </c>
      <c r="V114" s="382">
        <v>1068</v>
      </c>
      <c r="W114" s="382">
        <v>148.04</v>
      </c>
      <c r="X114" s="382">
        <v>204</v>
      </c>
      <c r="Y114" s="382">
        <v>0</v>
      </c>
      <c r="Z114" s="382">
        <v>3</v>
      </c>
      <c r="AA114" s="382">
        <v>1</v>
      </c>
      <c r="AB114" s="382">
        <v>4</v>
      </c>
      <c r="AC114" s="382">
        <v>6</v>
      </c>
      <c r="AD114" s="386">
        <v>3769</v>
      </c>
      <c r="AE114" s="386">
        <v>86</v>
      </c>
      <c r="AF114" s="386">
        <v>55</v>
      </c>
      <c r="AG114" s="386">
        <v>141</v>
      </c>
    </row>
    <row r="115" spans="1:33" x14ac:dyDescent="0.35">
      <c r="A115" s="381" t="s">
        <v>290</v>
      </c>
      <c r="B115" s="387" t="s">
        <v>291</v>
      </c>
      <c r="C115" s="383">
        <v>3746</v>
      </c>
      <c r="D115" s="383">
        <v>0</v>
      </c>
      <c r="E115" s="383">
        <v>199</v>
      </c>
      <c r="F115" s="383">
        <v>1185</v>
      </c>
      <c r="G115" s="383">
        <v>219</v>
      </c>
      <c r="H115" s="383">
        <v>5349</v>
      </c>
      <c r="I115" s="382">
        <v>5130</v>
      </c>
      <c r="J115" s="382">
        <v>2</v>
      </c>
      <c r="K115" s="384">
        <v>81.58</v>
      </c>
      <c r="L115" s="384">
        <v>80.5</v>
      </c>
      <c r="M115" s="384">
        <v>4.7</v>
      </c>
      <c r="N115" s="384">
        <v>83.38</v>
      </c>
      <c r="O115" s="385">
        <v>3491</v>
      </c>
      <c r="P115" s="382">
        <v>84.58</v>
      </c>
      <c r="Q115" s="382">
        <v>73.23</v>
      </c>
      <c r="R115" s="382">
        <v>30.53</v>
      </c>
      <c r="S115" s="382">
        <v>114.85</v>
      </c>
      <c r="T115" s="382">
        <v>1362</v>
      </c>
      <c r="U115" s="382">
        <v>105.17</v>
      </c>
      <c r="V115" s="382">
        <v>232</v>
      </c>
      <c r="W115" s="382">
        <v>170.44</v>
      </c>
      <c r="X115" s="382">
        <v>17</v>
      </c>
      <c r="Y115" s="382">
        <v>0</v>
      </c>
      <c r="Z115" s="382">
        <v>35</v>
      </c>
      <c r="AA115" s="382">
        <v>3</v>
      </c>
      <c r="AB115" s="382">
        <v>3</v>
      </c>
      <c r="AC115" s="382">
        <v>7</v>
      </c>
      <c r="AD115" s="386">
        <v>3746</v>
      </c>
      <c r="AE115" s="386">
        <v>32</v>
      </c>
      <c r="AF115" s="386">
        <v>0</v>
      </c>
      <c r="AG115" s="386">
        <v>32</v>
      </c>
    </row>
    <row r="116" spans="1:33" x14ac:dyDescent="0.35">
      <c r="A116" s="381" t="s">
        <v>292</v>
      </c>
      <c r="B116" s="387" t="s">
        <v>293</v>
      </c>
      <c r="C116" s="383">
        <v>6788</v>
      </c>
      <c r="D116" s="383">
        <v>113</v>
      </c>
      <c r="E116" s="383">
        <v>598</v>
      </c>
      <c r="F116" s="383">
        <v>784</v>
      </c>
      <c r="G116" s="383">
        <v>560</v>
      </c>
      <c r="H116" s="383">
        <v>8843</v>
      </c>
      <c r="I116" s="382">
        <v>8283</v>
      </c>
      <c r="J116" s="382">
        <v>126</v>
      </c>
      <c r="K116" s="384">
        <v>84.28</v>
      </c>
      <c r="L116" s="384">
        <v>82.66</v>
      </c>
      <c r="M116" s="384">
        <v>7.46</v>
      </c>
      <c r="N116" s="384">
        <v>87.72</v>
      </c>
      <c r="O116" s="385">
        <v>6287</v>
      </c>
      <c r="P116" s="382">
        <v>86.23</v>
      </c>
      <c r="Q116" s="382">
        <v>83.43</v>
      </c>
      <c r="R116" s="382">
        <v>51.73</v>
      </c>
      <c r="S116" s="382">
        <v>136.44</v>
      </c>
      <c r="T116" s="382">
        <v>926</v>
      </c>
      <c r="U116" s="382">
        <v>116.91</v>
      </c>
      <c r="V116" s="382">
        <v>394</v>
      </c>
      <c r="W116" s="382">
        <v>214.97</v>
      </c>
      <c r="X116" s="382">
        <v>93</v>
      </c>
      <c r="Y116" s="382">
        <v>0</v>
      </c>
      <c r="Z116" s="382">
        <v>26</v>
      </c>
      <c r="AA116" s="382">
        <v>17</v>
      </c>
      <c r="AB116" s="382">
        <v>69</v>
      </c>
      <c r="AC116" s="382">
        <v>22</v>
      </c>
      <c r="AD116" s="386">
        <v>6729</v>
      </c>
      <c r="AE116" s="386">
        <v>41</v>
      </c>
      <c r="AF116" s="386">
        <v>25</v>
      </c>
      <c r="AG116" s="386">
        <v>66</v>
      </c>
    </row>
    <row r="117" spans="1:33" x14ac:dyDescent="0.35">
      <c r="A117" s="381" t="s">
        <v>294</v>
      </c>
      <c r="B117" s="387" t="s">
        <v>295</v>
      </c>
      <c r="C117" s="383">
        <v>2342</v>
      </c>
      <c r="D117" s="383">
        <v>0</v>
      </c>
      <c r="E117" s="383">
        <v>68</v>
      </c>
      <c r="F117" s="383">
        <v>584</v>
      </c>
      <c r="G117" s="383">
        <v>368</v>
      </c>
      <c r="H117" s="383">
        <v>3362</v>
      </c>
      <c r="I117" s="382">
        <v>2994</v>
      </c>
      <c r="J117" s="382">
        <v>9</v>
      </c>
      <c r="K117" s="384">
        <v>97.38</v>
      </c>
      <c r="L117" s="384">
        <v>92.82</v>
      </c>
      <c r="M117" s="384">
        <v>10</v>
      </c>
      <c r="N117" s="384">
        <v>106.04</v>
      </c>
      <c r="O117" s="385">
        <v>1911</v>
      </c>
      <c r="P117" s="382">
        <v>92.93</v>
      </c>
      <c r="Q117" s="382">
        <v>87.31</v>
      </c>
      <c r="R117" s="382">
        <v>35.17</v>
      </c>
      <c r="S117" s="382">
        <v>126.54</v>
      </c>
      <c r="T117" s="382">
        <v>383</v>
      </c>
      <c r="U117" s="382">
        <v>125.16</v>
      </c>
      <c r="V117" s="382">
        <v>296</v>
      </c>
      <c r="W117" s="382">
        <v>132.32</v>
      </c>
      <c r="X117" s="382">
        <v>27</v>
      </c>
      <c r="Y117" s="382">
        <v>0</v>
      </c>
      <c r="Z117" s="382">
        <v>2</v>
      </c>
      <c r="AA117" s="382">
        <v>0</v>
      </c>
      <c r="AB117" s="382">
        <v>13</v>
      </c>
      <c r="AC117" s="382">
        <v>11</v>
      </c>
      <c r="AD117" s="386">
        <v>2342</v>
      </c>
      <c r="AE117" s="386">
        <v>15</v>
      </c>
      <c r="AF117" s="386">
        <v>3</v>
      </c>
      <c r="AG117" s="386">
        <v>18</v>
      </c>
    </row>
    <row r="118" spans="1:33" x14ac:dyDescent="0.35">
      <c r="A118" s="381" t="s">
        <v>296</v>
      </c>
      <c r="B118" s="387" t="s">
        <v>297</v>
      </c>
      <c r="C118" s="383">
        <v>1516</v>
      </c>
      <c r="D118" s="383">
        <v>0</v>
      </c>
      <c r="E118" s="383">
        <v>82</v>
      </c>
      <c r="F118" s="383">
        <v>178</v>
      </c>
      <c r="G118" s="383">
        <v>377</v>
      </c>
      <c r="H118" s="383">
        <v>2153</v>
      </c>
      <c r="I118" s="382">
        <v>1776</v>
      </c>
      <c r="J118" s="382">
        <v>0</v>
      </c>
      <c r="K118" s="384">
        <v>105.55</v>
      </c>
      <c r="L118" s="384">
        <v>104.19</v>
      </c>
      <c r="M118" s="384">
        <v>5.91</v>
      </c>
      <c r="N118" s="384">
        <v>110.26</v>
      </c>
      <c r="O118" s="385">
        <v>744</v>
      </c>
      <c r="P118" s="382">
        <v>93.3</v>
      </c>
      <c r="Q118" s="382">
        <v>88.98</v>
      </c>
      <c r="R118" s="382">
        <v>76.8</v>
      </c>
      <c r="S118" s="382">
        <v>162.83000000000001</v>
      </c>
      <c r="T118" s="382">
        <v>74</v>
      </c>
      <c r="U118" s="382">
        <v>140.41999999999999</v>
      </c>
      <c r="V118" s="382">
        <v>365</v>
      </c>
      <c r="W118" s="382">
        <v>209.93</v>
      </c>
      <c r="X118" s="382">
        <v>57</v>
      </c>
      <c r="Y118" s="382">
        <v>1</v>
      </c>
      <c r="Z118" s="382">
        <v>0</v>
      </c>
      <c r="AA118" s="382">
        <v>0</v>
      </c>
      <c r="AB118" s="382">
        <v>49</v>
      </c>
      <c r="AC118" s="382">
        <v>8</v>
      </c>
      <c r="AD118" s="386">
        <v>1115</v>
      </c>
      <c r="AE118" s="386">
        <v>3</v>
      </c>
      <c r="AF118" s="386">
        <v>6</v>
      </c>
      <c r="AG118" s="386">
        <v>9</v>
      </c>
    </row>
    <row r="119" spans="1:33" x14ac:dyDescent="0.35">
      <c r="A119" s="381" t="s">
        <v>298</v>
      </c>
      <c r="B119" s="387" t="s">
        <v>299</v>
      </c>
      <c r="C119" s="383">
        <v>1422</v>
      </c>
      <c r="D119" s="383">
        <v>0</v>
      </c>
      <c r="E119" s="383">
        <v>246</v>
      </c>
      <c r="F119" s="383">
        <v>149</v>
      </c>
      <c r="G119" s="383">
        <v>91</v>
      </c>
      <c r="H119" s="383">
        <v>1908</v>
      </c>
      <c r="I119" s="382">
        <v>1817</v>
      </c>
      <c r="J119" s="382">
        <v>0</v>
      </c>
      <c r="K119" s="384">
        <v>85.49</v>
      </c>
      <c r="L119" s="384">
        <v>85.21</v>
      </c>
      <c r="M119" s="384">
        <v>6.59</v>
      </c>
      <c r="N119" s="384">
        <v>89.85</v>
      </c>
      <c r="O119" s="385">
        <v>1215</v>
      </c>
      <c r="P119" s="382">
        <v>96</v>
      </c>
      <c r="Q119" s="382">
        <v>83.95</v>
      </c>
      <c r="R119" s="382">
        <v>65.17</v>
      </c>
      <c r="S119" s="382">
        <v>160.69999999999999</v>
      </c>
      <c r="T119" s="382">
        <v>278</v>
      </c>
      <c r="U119" s="382">
        <v>97.22</v>
      </c>
      <c r="V119" s="382">
        <v>172</v>
      </c>
      <c r="W119" s="382">
        <v>0</v>
      </c>
      <c r="X119" s="382">
        <v>0</v>
      </c>
      <c r="Y119" s="382">
        <v>15</v>
      </c>
      <c r="Z119" s="382">
        <v>0</v>
      </c>
      <c r="AA119" s="382">
        <v>10</v>
      </c>
      <c r="AB119" s="382">
        <v>3</v>
      </c>
      <c r="AC119" s="382">
        <v>5</v>
      </c>
      <c r="AD119" s="386">
        <v>1422</v>
      </c>
      <c r="AE119" s="386">
        <v>15</v>
      </c>
      <c r="AF119" s="386">
        <v>21</v>
      </c>
      <c r="AG119" s="386">
        <v>36</v>
      </c>
    </row>
    <row r="120" spans="1:33" x14ac:dyDescent="0.35">
      <c r="A120" s="381" t="s">
        <v>300</v>
      </c>
      <c r="B120" s="387" t="s">
        <v>301</v>
      </c>
      <c r="C120" s="383">
        <v>13152</v>
      </c>
      <c r="D120" s="383">
        <v>162</v>
      </c>
      <c r="E120" s="383">
        <v>523</v>
      </c>
      <c r="F120" s="383">
        <v>959</v>
      </c>
      <c r="G120" s="383">
        <v>2475</v>
      </c>
      <c r="H120" s="383">
        <v>17271</v>
      </c>
      <c r="I120" s="382">
        <v>14796</v>
      </c>
      <c r="J120" s="382">
        <v>1</v>
      </c>
      <c r="K120" s="384">
        <v>117.39</v>
      </c>
      <c r="L120" s="384">
        <v>117.13</v>
      </c>
      <c r="M120" s="384">
        <v>16.13</v>
      </c>
      <c r="N120" s="384">
        <v>129.51</v>
      </c>
      <c r="O120" s="385">
        <v>10026</v>
      </c>
      <c r="P120" s="382">
        <v>112.9</v>
      </c>
      <c r="Q120" s="382">
        <v>106.92</v>
      </c>
      <c r="R120" s="382">
        <v>49.03</v>
      </c>
      <c r="S120" s="382">
        <v>159.71</v>
      </c>
      <c r="T120" s="382">
        <v>1237</v>
      </c>
      <c r="U120" s="382">
        <v>173.13</v>
      </c>
      <c r="V120" s="382">
        <v>1382</v>
      </c>
      <c r="W120" s="382">
        <v>0</v>
      </c>
      <c r="X120" s="382">
        <v>0</v>
      </c>
      <c r="Y120" s="382">
        <v>31</v>
      </c>
      <c r="Z120" s="382">
        <v>1</v>
      </c>
      <c r="AA120" s="382">
        <v>30</v>
      </c>
      <c r="AB120" s="382">
        <v>75</v>
      </c>
      <c r="AC120" s="382">
        <v>68</v>
      </c>
      <c r="AD120" s="386">
        <v>11884</v>
      </c>
      <c r="AE120" s="386">
        <v>89</v>
      </c>
      <c r="AF120" s="386">
        <v>42</v>
      </c>
      <c r="AG120" s="386">
        <v>131</v>
      </c>
    </row>
    <row r="121" spans="1:33" x14ac:dyDescent="0.35">
      <c r="A121" s="381" t="s">
        <v>302</v>
      </c>
      <c r="B121" s="387" t="s">
        <v>303</v>
      </c>
      <c r="C121" s="383">
        <v>1759</v>
      </c>
      <c r="D121" s="383">
        <v>11</v>
      </c>
      <c r="E121" s="383">
        <v>276</v>
      </c>
      <c r="F121" s="383">
        <v>235</v>
      </c>
      <c r="G121" s="383">
        <v>419</v>
      </c>
      <c r="H121" s="383">
        <v>2700</v>
      </c>
      <c r="I121" s="382">
        <v>2281</v>
      </c>
      <c r="J121" s="382">
        <v>0</v>
      </c>
      <c r="K121" s="384">
        <v>122.53</v>
      </c>
      <c r="L121" s="384">
        <v>119.29</v>
      </c>
      <c r="M121" s="384">
        <v>8.23</v>
      </c>
      <c r="N121" s="384">
        <v>129.07</v>
      </c>
      <c r="O121" s="385">
        <v>1324</v>
      </c>
      <c r="P121" s="382">
        <v>94.92</v>
      </c>
      <c r="Q121" s="382">
        <v>87.22</v>
      </c>
      <c r="R121" s="382">
        <v>87.88</v>
      </c>
      <c r="S121" s="382">
        <v>179.69</v>
      </c>
      <c r="T121" s="382">
        <v>226</v>
      </c>
      <c r="U121" s="382">
        <v>163.83000000000001</v>
      </c>
      <c r="V121" s="382">
        <v>292</v>
      </c>
      <c r="W121" s="382">
        <v>246.29</v>
      </c>
      <c r="X121" s="382">
        <v>36</v>
      </c>
      <c r="Y121" s="382">
        <v>0</v>
      </c>
      <c r="Z121" s="382">
        <v>0</v>
      </c>
      <c r="AA121" s="382">
        <v>3</v>
      </c>
      <c r="AB121" s="382">
        <v>21</v>
      </c>
      <c r="AC121" s="382">
        <v>8</v>
      </c>
      <c r="AD121" s="386">
        <v>1609</v>
      </c>
      <c r="AE121" s="386">
        <v>15</v>
      </c>
      <c r="AF121" s="386">
        <v>1</v>
      </c>
      <c r="AG121" s="386">
        <v>16</v>
      </c>
    </row>
    <row r="122" spans="1:33" x14ac:dyDescent="0.35">
      <c r="A122" s="381" t="s">
        <v>304</v>
      </c>
      <c r="B122" s="387" t="s">
        <v>305</v>
      </c>
      <c r="C122" s="383">
        <v>20240</v>
      </c>
      <c r="D122" s="383">
        <v>565</v>
      </c>
      <c r="E122" s="383">
        <v>1334</v>
      </c>
      <c r="F122" s="383">
        <v>1761</v>
      </c>
      <c r="G122" s="383">
        <v>2471</v>
      </c>
      <c r="H122" s="383">
        <v>26371</v>
      </c>
      <c r="I122" s="382">
        <v>23900</v>
      </c>
      <c r="J122" s="382">
        <v>84</v>
      </c>
      <c r="K122" s="384">
        <v>119.7</v>
      </c>
      <c r="L122" s="384">
        <v>122.78</v>
      </c>
      <c r="M122" s="384">
        <v>14.25</v>
      </c>
      <c r="N122" s="384">
        <v>130.38999999999999</v>
      </c>
      <c r="O122" s="385">
        <v>17295</v>
      </c>
      <c r="P122" s="382">
        <v>108.32</v>
      </c>
      <c r="Q122" s="382">
        <v>108.62</v>
      </c>
      <c r="R122" s="382">
        <v>56.11</v>
      </c>
      <c r="S122" s="382">
        <v>160.11000000000001</v>
      </c>
      <c r="T122" s="382">
        <v>2731</v>
      </c>
      <c r="U122" s="382">
        <v>212.74</v>
      </c>
      <c r="V122" s="382">
        <v>1025</v>
      </c>
      <c r="W122" s="382">
        <v>175.5</v>
      </c>
      <c r="X122" s="382">
        <v>38</v>
      </c>
      <c r="Y122" s="382">
        <v>1</v>
      </c>
      <c r="Z122" s="382">
        <v>4</v>
      </c>
      <c r="AA122" s="382">
        <v>21</v>
      </c>
      <c r="AB122" s="382">
        <v>28</v>
      </c>
      <c r="AC122" s="382">
        <v>113</v>
      </c>
      <c r="AD122" s="386">
        <v>18575</v>
      </c>
      <c r="AE122" s="386">
        <v>105</v>
      </c>
      <c r="AF122" s="386">
        <v>77</v>
      </c>
      <c r="AG122" s="386">
        <v>182</v>
      </c>
    </row>
    <row r="123" spans="1:33" x14ac:dyDescent="0.35">
      <c r="A123" s="381" t="s">
        <v>306</v>
      </c>
      <c r="B123" s="387" t="s">
        <v>307</v>
      </c>
      <c r="C123" s="383">
        <v>13364</v>
      </c>
      <c r="D123" s="383">
        <v>2</v>
      </c>
      <c r="E123" s="383">
        <v>474</v>
      </c>
      <c r="F123" s="383">
        <v>465</v>
      </c>
      <c r="G123" s="383">
        <v>338</v>
      </c>
      <c r="H123" s="383">
        <v>14643</v>
      </c>
      <c r="I123" s="382">
        <v>14305</v>
      </c>
      <c r="J123" s="382">
        <v>1</v>
      </c>
      <c r="K123" s="384">
        <v>82</v>
      </c>
      <c r="L123" s="384">
        <v>81.260000000000005</v>
      </c>
      <c r="M123" s="384">
        <v>4.16</v>
      </c>
      <c r="N123" s="384">
        <v>86.01</v>
      </c>
      <c r="O123" s="385">
        <v>11313</v>
      </c>
      <c r="P123" s="382">
        <v>86.53</v>
      </c>
      <c r="Q123" s="382">
        <v>73.39</v>
      </c>
      <c r="R123" s="382">
        <v>38.42</v>
      </c>
      <c r="S123" s="382">
        <v>124.46</v>
      </c>
      <c r="T123" s="382">
        <v>787</v>
      </c>
      <c r="U123" s="382">
        <v>97.92</v>
      </c>
      <c r="V123" s="382">
        <v>2029</v>
      </c>
      <c r="W123" s="382">
        <v>149.88999999999999</v>
      </c>
      <c r="X123" s="382">
        <v>78</v>
      </c>
      <c r="Y123" s="382">
        <v>55</v>
      </c>
      <c r="Z123" s="382">
        <v>49</v>
      </c>
      <c r="AA123" s="382">
        <v>9</v>
      </c>
      <c r="AB123" s="382">
        <v>17</v>
      </c>
      <c r="AC123" s="382">
        <v>7</v>
      </c>
      <c r="AD123" s="386">
        <v>13364</v>
      </c>
      <c r="AE123" s="386">
        <v>76</v>
      </c>
      <c r="AF123" s="386">
        <v>18</v>
      </c>
      <c r="AG123" s="386">
        <v>94</v>
      </c>
    </row>
    <row r="124" spans="1:33" x14ac:dyDescent="0.35">
      <c r="A124" s="381" t="s">
        <v>308</v>
      </c>
      <c r="B124" s="387" t="s">
        <v>309</v>
      </c>
      <c r="C124" s="383">
        <v>5159</v>
      </c>
      <c r="D124" s="383">
        <v>5</v>
      </c>
      <c r="E124" s="383">
        <v>348</v>
      </c>
      <c r="F124" s="383">
        <v>147</v>
      </c>
      <c r="G124" s="383">
        <v>222</v>
      </c>
      <c r="H124" s="383">
        <v>5881</v>
      </c>
      <c r="I124" s="382">
        <v>5659</v>
      </c>
      <c r="J124" s="382">
        <v>166</v>
      </c>
      <c r="K124" s="384">
        <v>90.11</v>
      </c>
      <c r="L124" s="384">
        <v>87.45</v>
      </c>
      <c r="M124" s="384">
        <v>1.89</v>
      </c>
      <c r="N124" s="384">
        <v>91.77</v>
      </c>
      <c r="O124" s="385">
        <v>4795</v>
      </c>
      <c r="P124" s="382">
        <v>108.49</v>
      </c>
      <c r="Q124" s="382">
        <v>80.180000000000007</v>
      </c>
      <c r="R124" s="382">
        <v>69.180000000000007</v>
      </c>
      <c r="S124" s="382">
        <v>177.67</v>
      </c>
      <c r="T124" s="382">
        <v>337</v>
      </c>
      <c r="U124" s="382">
        <v>107.07</v>
      </c>
      <c r="V124" s="382">
        <v>271</v>
      </c>
      <c r="W124" s="382">
        <v>170.45</v>
      </c>
      <c r="X124" s="382">
        <v>130</v>
      </c>
      <c r="Y124" s="382">
        <v>0</v>
      </c>
      <c r="Z124" s="382">
        <v>1</v>
      </c>
      <c r="AA124" s="382">
        <v>1</v>
      </c>
      <c r="AB124" s="382">
        <v>19</v>
      </c>
      <c r="AC124" s="382">
        <v>3</v>
      </c>
      <c r="AD124" s="386">
        <v>5147</v>
      </c>
      <c r="AE124" s="386">
        <v>23</v>
      </c>
      <c r="AF124" s="386">
        <v>144</v>
      </c>
      <c r="AG124" s="386">
        <v>167</v>
      </c>
    </row>
    <row r="125" spans="1:33" x14ac:dyDescent="0.35">
      <c r="A125" s="381" t="s">
        <v>310</v>
      </c>
      <c r="B125" s="387" t="s">
        <v>311</v>
      </c>
      <c r="C125" s="383">
        <v>11632</v>
      </c>
      <c r="D125" s="383">
        <v>34</v>
      </c>
      <c r="E125" s="383">
        <v>1119</v>
      </c>
      <c r="F125" s="383">
        <v>499</v>
      </c>
      <c r="G125" s="383">
        <v>1070</v>
      </c>
      <c r="H125" s="383">
        <v>14354</v>
      </c>
      <c r="I125" s="382">
        <v>13284</v>
      </c>
      <c r="J125" s="382">
        <v>90</v>
      </c>
      <c r="K125" s="384">
        <v>128.31</v>
      </c>
      <c r="L125" s="384">
        <v>139.29</v>
      </c>
      <c r="M125" s="384">
        <v>12.51</v>
      </c>
      <c r="N125" s="384">
        <v>134.63999999999999</v>
      </c>
      <c r="O125" s="385">
        <v>9748</v>
      </c>
      <c r="P125" s="382">
        <v>119.9</v>
      </c>
      <c r="Q125" s="382">
        <v>115.27</v>
      </c>
      <c r="R125" s="382">
        <v>52.38</v>
      </c>
      <c r="S125" s="382">
        <v>163.59</v>
      </c>
      <c r="T125" s="382">
        <v>1188</v>
      </c>
      <c r="U125" s="382">
        <v>208.14</v>
      </c>
      <c r="V125" s="382">
        <v>1179</v>
      </c>
      <c r="W125" s="382">
        <v>205.34</v>
      </c>
      <c r="X125" s="382">
        <v>83</v>
      </c>
      <c r="Y125" s="382">
        <v>0</v>
      </c>
      <c r="Z125" s="382">
        <v>0</v>
      </c>
      <c r="AA125" s="382">
        <v>2</v>
      </c>
      <c r="AB125" s="382">
        <v>5</v>
      </c>
      <c r="AC125" s="382">
        <v>44</v>
      </c>
      <c r="AD125" s="386">
        <v>11223</v>
      </c>
      <c r="AE125" s="386">
        <v>74</v>
      </c>
      <c r="AF125" s="386">
        <v>164</v>
      </c>
      <c r="AG125" s="386">
        <v>238</v>
      </c>
    </row>
    <row r="126" spans="1:33" x14ac:dyDescent="0.35">
      <c r="A126" s="381" t="s">
        <v>312</v>
      </c>
      <c r="B126" s="387" t="s">
        <v>313</v>
      </c>
      <c r="C126" s="383">
        <v>3038</v>
      </c>
      <c r="D126" s="383">
        <v>0</v>
      </c>
      <c r="E126" s="383">
        <v>105</v>
      </c>
      <c r="F126" s="383">
        <v>290</v>
      </c>
      <c r="G126" s="383">
        <v>694</v>
      </c>
      <c r="H126" s="383">
        <v>4127</v>
      </c>
      <c r="I126" s="382">
        <v>3433</v>
      </c>
      <c r="J126" s="382">
        <v>0</v>
      </c>
      <c r="K126" s="384">
        <v>88.46</v>
      </c>
      <c r="L126" s="384">
        <v>88.3</v>
      </c>
      <c r="M126" s="384">
        <v>4.42</v>
      </c>
      <c r="N126" s="384">
        <v>91.37</v>
      </c>
      <c r="O126" s="385">
        <v>2431</v>
      </c>
      <c r="P126" s="382">
        <v>75.39</v>
      </c>
      <c r="Q126" s="382">
        <v>73.84</v>
      </c>
      <c r="R126" s="382">
        <v>41.39</v>
      </c>
      <c r="S126" s="382">
        <v>112.87</v>
      </c>
      <c r="T126" s="382">
        <v>359</v>
      </c>
      <c r="U126" s="382">
        <v>109.48</v>
      </c>
      <c r="V126" s="382">
        <v>501</v>
      </c>
      <c r="W126" s="382">
        <v>114.54</v>
      </c>
      <c r="X126" s="382">
        <v>12</v>
      </c>
      <c r="Y126" s="382">
        <v>0</v>
      </c>
      <c r="Z126" s="382">
        <v>1</v>
      </c>
      <c r="AA126" s="382">
        <v>0</v>
      </c>
      <c r="AB126" s="382">
        <v>70</v>
      </c>
      <c r="AC126" s="382">
        <v>4</v>
      </c>
      <c r="AD126" s="386">
        <v>3038</v>
      </c>
      <c r="AE126" s="386">
        <v>26</v>
      </c>
      <c r="AF126" s="386">
        <v>25</v>
      </c>
      <c r="AG126" s="386">
        <v>51</v>
      </c>
    </row>
    <row r="127" spans="1:33" x14ac:dyDescent="0.35">
      <c r="A127" s="381" t="s">
        <v>314</v>
      </c>
      <c r="B127" s="387" t="s">
        <v>315</v>
      </c>
      <c r="C127" s="383">
        <v>10228</v>
      </c>
      <c r="D127" s="383">
        <v>70</v>
      </c>
      <c r="E127" s="383">
        <v>1043</v>
      </c>
      <c r="F127" s="383">
        <v>823</v>
      </c>
      <c r="G127" s="383">
        <v>1582</v>
      </c>
      <c r="H127" s="383">
        <v>13746</v>
      </c>
      <c r="I127" s="382">
        <v>12164</v>
      </c>
      <c r="J127" s="382">
        <v>35</v>
      </c>
      <c r="K127" s="384">
        <v>118.22</v>
      </c>
      <c r="L127" s="384">
        <v>117.58</v>
      </c>
      <c r="M127" s="384">
        <v>12.1</v>
      </c>
      <c r="N127" s="384">
        <v>126.05</v>
      </c>
      <c r="O127" s="385">
        <v>8259</v>
      </c>
      <c r="P127" s="382">
        <v>114.1</v>
      </c>
      <c r="Q127" s="382">
        <v>102.4</v>
      </c>
      <c r="R127" s="382">
        <v>64.52</v>
      </c>
      <c r="S127" s="382">
        <v>172.61</v>
      </c>
      <c r="T127" s="382">
        <v>1257</v>
      </c>
      <c r="U127" s="382">
        <v>192.37</v>
      </c>
      <c r="V127" s="382">
        <v>671</v>
      </c>
      <c r="W127" s="382">
        <v>201.92</v>
      </c>
      <c r="X127" s="382">
        <v>32</v>
      </c>
      <c r="Y127" s="382">
        <v>0</v>
      </c>
      <c r="Z127" s="382">
        <v>0</v>
      </c>
      <c r="AA127" s="382">
        <v>12</v>
      </c>
      <c r="AB127" s="382">
        <v>11</v>
      </c>
      <c r="AC127" s="382">
        <v>62</v>
      </c>
      <c r="AD127" s="386">
        <v>9226</v>
      </c>
      <c r="AE127" s="386">
        <v>85</v>
      </c>
      <c r="AF127" s="386">
        <v>36</v>
      </c>
      <c r="AG127" s="386">
        <v>121</v>
      </c>
    </row>
    <row r="128" spans="1:33" x14ac:dyDescent="0.35">
      <c r="A128" s="381" t="s">
        <v>316</v>
      </c>
      <c r="B128" s="387" t="s">
        <v>317</v>
      </c>
      <c r="C128" s="383">
        <v>1562</v>
      </c>
      <c r="D128" s="383">
        <v>236</v>
      </c>
      <c r="E128" s="383">
        <v>207</v>
      </c>
      <c r="F128" s="383">
        <v>261</v>
      </c>
      <c r="G128" s="383">
        <v>409</v>
      </c>
      <c r="H128" s="383">
        <v>2675</v>
      </c>
      <c r="I128" s="382">
        <v>2266</v>
      </c>
      <c r="J128" s="382">
        <v>2</v>
      </c>
      <c r="K128" s="384">
        <v>100.09</v>
      </c>
      <c r="L128" s="384">
        <v>97.02</v>
      </c>
      <c r="M128" s="384">
        <v>7.78</v>
      </c>
      <c r="N128" s="384">
        <v>106.57</v>
      </c>
      <c r="O128" s="385">
        <v>1223</v>
      </c>
      <c r="P128" s="382">
        <v>89.83</v>
      </c>
      <c r="Q128" s="382">
        <v>87.9</v>
      </c>
      <c r="R128" s="382">
        <v>32.01</v>
      </c>
      <c r="S128" s="382">
        <v>121.13</v>
      </c>
      <c r="T128" s="382">
        <v>361</v>
      </c>
      <c r="U128" s="382">
        <v>150.47999999999999</v>
      </c>
      <c r="V128" s="382">
        <v>286</v>
      </c>
      <c r="W128" s="382">
        <v>109.65</v>
      </c>
      <c r="X128" s="382">
        <v>1</v>
      </c>
      <c r="Y128" s="382">
        <v>0</v>
      </c>
      <c r="Z128" s="382">
        <v>0</v>
      </c>
      <c r="AA128" s="382">
        <v>0</v>
      </c>
      <c r="AB128" s="382">
        <v>41</v>
      </c>
      <c r="AC128" s="382">
        <v>6</v>
      </c>
      <c r="AD128" s="386">
        <v>1559</v>
      </c>
      <c r="AE128" s="386">
        <v>33</v>
      </c>
      <c r="AF128" s="386">
        <v>152</v>
      </c>
      <c r="AG128" s="386">
        <v>185</v>
      </c>
    </row>
    <row r="129" spans="1:33" x14ac:dyDescent="0.35">
      <c r="A129" s="381" t="s">
        <v>318</v>
      </c>
      <c r="B129" s="387" t="s">
        <v>319</v>
      </c>
      <c r="C129" s="383">
        <v>2581</v>
      </c>
      <c r="D129" s="383">
        <v>4</v>
      </c>
      <c r="E129" s="383">
        <v>219</v>
      </c>
      <c r="F129" s="383">
        <v>388</v>
      </c>
      <c r="G129" s="383">
        <v>423</v>
      </c>
      <c r="H129" s="383">
        <v>3615</v>
      </c>
      <c r="I129" s="382">
        <v>3192</v>
      </c>
      <c r="J129" s="382">
        <v>4</v>
      </c>
      <c r="K129" s="384">
        <v>94.51</v>
      </c>
      <c r="L129" s="384">
        <v>92.04</v>
      </c>
      <c r="M129" s="384">
        <v>6.37</v>
      </c>
      <c r="N129" s="384">
        <v>98.75</v>
      </c>
      <c r="O129" s="385">
        <v>1693</v>
      </c>
      <c r="P129" s="382">
        <v>107.16</v>
      </c>
      <c r="Q129" s="382">
        <v>86.05</v>
      </c>
      <c r="R129" s="382">
        <v>48.11</v>
      </c>
      <c r="S129" s="382">
        <v>154.86000000000001</v>
      </c>
      <c r="T129" s="382">
        <v>470</v>
      </c>
      <c r="U129" s="382">
        <v>118.78</v>
      </c>
      <c r="V129" s="382">
        <v>743</v>
      </c>
      <c r="W129" s="382">
        <v>110.94</v>
      </c>
      <c r="X129" s="382">
        <v>11</v>
      </c>
      <c r="Y129" s="382">
        <v>0</v>
      </c>
      <c r="Z129" s="382">
        <v>1</v>
      </c>
      <c r="AA129" s="382">
        <v>8</v>
      </c>
      <c r="AB129" s="382">
        <v>54</v>
      </c>
      <c r="AC129" s="382">
        <v>4</v>
      </c>
      <c r="AD129" s="386">
        <v>2354</v>
      </c>
      <c r="AE129" s="386">
        <v>21</v>
      </c>
      <c r="AF129" s="386">
        <v>31</v>
      </c>
      <c r="AG129" s="386">
        <v>52</v>
      </c>
    </row>
    <row r="130" spans="1:33" x14ac:dyDescent="0.35">
      <c r="A130" s="381" t="s">
        <v>320</v>
      </c>
      <c r="B130" s="387" t="s">
        <v>321</v>
      </c>
      <c r="C130" s="383">
        <v>3441</v>
      </c>
      <c r="D130" s="383">
        <v>0</v>
      </c>
      <c r="E130" s="383">
        <v>355</v>
      </c>
      <c r="F130" s="383">
        <v>610</v>
      </c>
      <c r="G130" s="383">
        <v>1005</v>
      </c>
      <c r="H130" s="383">
        <v>5411</v>
      </c>
      <c r="I130" s="382">
        <v>4406</v>
      </c>
      <c r="J130" s="382">
        <v>16</v>
      </c>
      <c r="K130" s="384">
        <v>130.36000000000001</v>
      </c>
      <c r="L130" s="384">
        <v>125.58</v>
      </c>
      <c r="M130" s="384">
        <v>9.9700000000000006</v>
      </c>
      <c r="N130" s="384">
        <v>137.30000000000001</v>
      </c>
      <c r="O130" s="385">
        <v>2769</v>
      </c>
      <c r="P130" s="382">
        <v>103.24</v>
      </c>
      <c r="Q130" s="382">
        <v>97.24</v>
      </c>
      <c r="R130" s="382">
        <v>36.700000000000003</v>
      </c>
      <c r="S130" s="382">
        <v>132.1</v>
      </c>
      <c r="T130" s="382">
        <v>543</v>
      </c>
      <c r="U130" s="382">
        <v>192.34</v>
      </c>
      <c r="V130" s="382">
        <v>431</v>
      </c>
      <c r="W130" s="382">
        <v>188.09</v>
      </c>
      <c r="X130" s="382">
        <v>30</v>
      </c>
      <c r="Y130" s="382">
        <v>1</v>
      </c>
      <c r="Z130" s="382">
        <v>2</v>
      </c>
      <c r="AA130" s="382">
        <v>0</v>
      </c>
      <c r="AB130" s="382">
        <v>34</v>
      </c>
      <c r="AC130" s="382">
        <v>33</v>
      </c>
      <c r="AD130" s="386">
        <v>3372</v>
      </c>
      <c r="AE130" s="386">
        <v>12</v>
      </c>
      <c r="AF130" s="386">
        <v>10</v>
      </c>
      <c r="AG130" s="386">
        <v>22</v>
      </c>
    </row>
    <row r="131" spans="1:33" x14ac:dyDescent="0.35">
      <c r="A131" s="381" t="s">
        <v>322</v>
      </c>
      <c r="B131" s="387" t="s">
        <v>323</v>
      </c>
      <c r="C131" s="383">
        <v>3051</v>
      </c>
      <c r="D131" s="383">
        <v>0</v>
      </c>
      <c r="E131" s="383">
        <v>46</v>
      </c>
      <c r="F131" s="383">
        <v>321</v>
      </c>
      <c r="G131" s="383">
        <v>662</v>
      </c>
      <c r="H131" s="383">
        <v>4080</v>
      </c>
      <c r="I131" s="382">
        <v>3418</v>
      </c>
      <c r="J131" s="382">
        <v>1</v>
      </c>
      <c r="K131" s="384">
        <v>114.95</v>
      </c>
      <c r="L131" s="384">
        <v>110.97</v>
      </c>
      <c r="M131" s="384">
        <v>6.73</v>
      </c>
      <c r="N131" s="384">
        <v>117.75</v>
      </c>
      <c r="O131" s="385">
        <v>2390</v>
      </c>
      <c r="P131" s="382">
        <v>99.85</v>
      </c>
      <c r="Q131" s="382">
        <v>105.57</v>
      </c>
      <c r="R131" s="382">
        <v>36.409999999999997</v>
      </c>
      <c r="S131" s="382">
        <v>135.44999999999999</v>
      </c>
      <c r="T131" s="382">
        <v>313</v>
      </c>
      <c r="U131" s="382">
        <v>168.21</v>
      </c>
      <c r="V131" s="382">
        <v>625</v>
      </c>
      <c r="W131" s="382">
        <v>117.8</v>
      </c>
      <c r="X131" s="382">
        <v>1</v>
      </c>
      <c r="Y131" s="382">
        <v>0</v>
      </c>
      <c r="Z131" s="382">
        <v>1</v>
      </c>
      <c r="AA131" s="382">
        <v>0</v>
      </c>
      <c r="AB131" s="382">
        <v>44</v>
      </c>
      <c r="AC131" s="382">
        <v>18</v>
      </c>
      <c r="AD131" s="386">
        <v>3051</v>
      </c>
      <c r="AE131" s="386">
        <v>19</v>
      </c>
      <c r="AF131" s="386">
        <v>6</v>
      </c>
      <c r="AG131" s="386">
        <v>25</v>
      </c>
    </row>
    <row r="132" spans="1:33" x14ac:dyDescent="0.35">
      <c r="A132" s="381" t="s">
        <v>324</v>
      </c>
      <c r="B132" s="387" t="s">
        <v>325</v>
      </c>
      <c r="C132" s="383">
        <v>7630</v>
      </c>
      <c r="D132" s="383">
        <v>0</v>
      </c>
      <c r="E132" s="383">
        <v>159</v>
      </c>
      <c r="F132" s="383">
        <v>1985</v>
      </c>
      <c r="G132" s="383">
        <v>233</v>
      </c>
      <c r="H132" s="383">
        <v>10007</v>
      </c>
      <c r="I132" s="382">
        <v>9774</v>
      </c>
      <c r="J132" s="382">
        <v>0</v>
      </c>
      <c r="K132" s="384">
        <v>80.349999999999994</v>
      </c>
      <c r="L132" s="384">
        <v>79.290000000000006</v>
      </c>
      <c r="M132" s="384">
        <v>4.57</v>
      </c>
      <c r="N132" s="384">
        <v>82.2</v>
      </c>
      <c r="O132" s="385">
        <v>6536</v>
      </c>
      <c r="P132" s="382">
        <v>80.239999999999995</v>
      </c>
      <c r="Q132" s="382">
        <v>79.150000000000006</v>
      </c>
      <c r="R132" s="382">
        <v>36.96</v>
      </c>
      <c r="S132" s="382">
        <v>101.63</v>
      </c>
      <c r="T132" s="382">
        <v>2036</v>
      </c>
      <c r="U132" s="382">
        <v>92.35</v>
      </c>
      <c r="V132" s="382">
        <v>1033</v>
      </c>
      <c r="W132" s="382">
        <v>101.96</v>
      </c>
      <c r="X132" s="382">
        <v>70</v>
      </c>
      <c r="Y132" s="382">
        <v>0</v>
      </c>
      <c r="Z132" s="382">
        <v>40</v>
      </c>
      <c r="AA132" s="382">
        <v>3</v>
      </c>
      <c r="AB132" s="382">
        <v>4</v>
      </c>
      <c r="AC132" s="382">
        <v>2</v>
      </c>
      <c r="AD132" s="386">
        <v>7604</v>
      </c>
      <c r="AE132" s="386">
        <v>119</v>
      </c>
      <c r="AF132" s="386">
        <v>94</v>
      </c>
      <c r="AG132" s="386">
        <v>213</v>
      </c>
    </row>
    <row r="133" spans="1:33" x14ac:dyDescent="0.35">
      <c r="A133" s="381" t="s">
        <v>326</v>
      </c>
      <c r="B133" s="387" t="s">
        <v>327</v>
      </c>
      <c r="C133" s="383">
        <v>5132</v>
      </c>
      <c r="D133" s="383">
        <v>0</v>
      </c>
      <c r="E133" s="383">
        <v>298</v>
      </c>
      <c r="F133" s="383">
        <v>713</v>
      </c>
      <c r="G133" s="383">
        <v>191</v>
      </c>
      <c r="H133" s="383">
        <v>6334</v>
      </c>
      <c r="I133" s="382">
        <v>6143</v>
      </c>
      <c r="J133" s="382">
        <v>1</v>
      </c>
      <c r="K133" s="384">
        <v>86.23</v>
      </c>
      <c r="L133" s="384">
        <v>85.63</v>
      </c>
      <c r="M133" s="384">
        <v>7.16</v>
      </c>
      <c r="N133" s="384">
        <v>92.42</v>
      </c>
      <c r="O133" s="385">
        <v>4308</v>
      </c>
      <c r="P133" s="382">
        <v>71.38</v>
      </c>
      <c r="Q133" s="382">
        <v>70.89</v>
      </c>
      <c r="R133" s="382">
        <v>41.54</v>
      </c>
      <c r="S133" s="382">
        <v>112.92</v>
      </c>
      <c r="T133" s="382">
        <v>798</v>
      </c>
      <c r="U133" s="382">
        <v>111.26</v>
      </c>
      <c r="V133" s="382">
        <v>750</v>
      </c>
      <c r="W133" s="382">
        <v>150.9</v>
      </c>
      <c r="X133" s="382">
        <v>119</v>
      </c>
      <c r="Y133" s="382">
        <v>0</v>
      </c>
      <c r="Z133" s="382">
        <v>2</v>
      </c>
      <c r="AA133" s="382">
        <v>1</v>
      </c>
      <c r="AB133" s="382">
        <v>3</v>
      </c>
      <c r="AC133" s="382">
        <v>5</v>
      </c>
      <c r="AD133" s="386">
        <v>5062</v>
      </c>
      <c r="AE133" s="386">
        <v>21</v>
      </c>
      <c r="AF133" s="386">
        <v>45</v>
      </c>
      <c r="AG133" s="386">
        <v>66</v>
      </c>
    </row>
    <row r="134" spans="1:33" x14ac:dyDescent="0.35">
      <c r="A134" s="381" t="s">
        <v>328</v>
      </c>
      <c r="B134" s="387" t="s">
        <v>329</v>
      </c>
      <c r="C134" s="383">
        <v>4434</v>
      </c>
      <c r="D134" s="383">
        <v>0</v>
      </c>
      <c r="E134" s="383">
        <v>232</v>
      </c>
      <c r="F134" s="383">
        <v>1059</v>
      </c>
      <c r="G134" s="383">
        <v>399</v>
      </c>
      <c r="H134" s="383">
        <v>6124</v>
      </c>
      <c r="I134" s="382">
        <v>5725</v>
      </c>
      <c r="J134" s="382">
        <v>20</v>
      </c>
      <c r="K134" s="384">
        <v>104.24</v>
      </c>
      <c r="L134" s="384">
        <v>99.22</v>
      </c>
      <c r="M134" s="384">
        <v>9.9600000000000009</v>
      </c>
      <c r="N134" s="384">
        <v>108.88</v>
      </c>
      <c r="O134" s="385">
        <v>3524</v>
      </c>
      <c r="P134" s="382">
        <v>95</v>
      </c>
      <c r="Q134" s="382">
        <v>86.87</v>
      </c>
      <c r="R134" s="382">
        <v>21.19</v>
      </c>
      <c r="S134" s="382">
        <v>114.37</v>
      </c>
      <c r="T134" s="382">
        <v>1139</v>
      </c>
      <c r="U134" s="382">
        <v>143.08000000000001</v>
      </c>
      <c r="V134" s="382">
        <v>765</v>
      </c>
      <c r="W134" s="382">
        <v>162.5</v>
      </c>
      <c r="X134" s="382">
        <v>14</v>
      </c>
      <c r="Y134" s="382">
        <v>0</v>
      </c>
      <c r="Z134" s="382">
        <v>4</v>
      </c>
      <c r="AA134" s="382">
        <v>1</v>
      </c>
      <c r="AB134" s="382">
        <v>3</v>
      </c>
      <c r="AC134" s="382">
        <v>11</v>
      </c>
      <c r="AD134" s="386">
        <v>4383</v>
      </c>
      <c r="AE134" s="386">
        <v>33</v>
      </c>
      <c r="AF134" s="386">
        <v>8</v>
      </c>
      <c r="AG134" s="386">
        <v>41</v>
      </c>
    </row>
    <row r="135" spans="1:33" x14ac:dyDescent="0.35">
      <c r="A135" s="381" t="s">
        <v>330</v>
      </c>
      <c r="B135" s="387" t="s">
        <v>331</v>
      </c>
      <c r="C135" s="383">
        <v>3662</v>
      </c>
      <c r="D135" s="383">
        <v>354</v>
      </c>
      <c r="E135" s="383">
        <v>208</v>
      </c>
      <c r="F135" s="383">
        <v>497</v>
      </c>
      <c r="G135" s="383">
        <v>824</v>
      </c>
      <c r="H135" s="383">
        <v>5545</v>
      </c>
      <c r="I135" s="382">
        <v>4721</v>
      </c>
      <c r="J135" s="382">
        <v>4</v>
      </c>
      <c r="K135" s="384">
        <v>119.07</v>
      </c>
      <c r="L135" s="384">
        <v>115.21</v>
      </c>
      <c r="M135" s="384">
        <v>10.7</v>
      </c>
      <c r="N135" s="384">
        <v>127.03</v>
      </c>
      <c r="O135" s="385">
        <v>2499</v>
      </c>
      <c r="P135" s="382">
        <v>105.7</v>
      </c>
      <c r="Q135" s="382">
        <v>99.1</v>
      </c>
      <c r="R135" s="382">
        <v>40.299999999999997</v>
      </c>
      <c r="S135" s="382">
        <v>145.09</v>
      </c>
      <c r="T135" s="382">
        <v>616</v>
      </c>
      <c r="U135" s="382">
        <v>176.75</v>
      </c>
      <c r="V135" s="382">
        <v>1004</v>
      </c>
      <c r="W135" s="382">
        <v>218.45</v>
      </c>
      <c r="X135" s="382">
        <v>39</v>
      </c>
      <c r="Y135" s="382">
        <v>2</v>
      </c>
      <c r="Z135" s="382">
        <v>0</v>
      </c>
      <c r="AA135" s="382">
        <v>4</v>
      </c>
      <c r="AB135" s="382">
        <v>30</v>
      </c>
      <c r="AC135" s="382">
        <v>27</v>
      </c>
      <c r="AD135" s="386">
        <v>3605</v>
      </c>
      <c r="AE135" s="386">
        <v>94</v>
      </c>
      <c r="AF135" s="386">
        <v>25</v>
      </c>
      <c r="AG135" s="386">
        <v>119</v>
      </c>
    </row>
    <row r="136" spans="1:33" x14ac:dyDescent="0.35">
      <c r="A136" s="381" t="s">
        <v>332</v>
      </c>
      <c r="B136" s="387" t="s">
        <v>333</v>
      </c>
      <c r="C136" s="383">
        <v>9288</v>
      </c>
      <c r="D136" s="383">
        <v>0</v>
      </c>
      <c r="E136" s="383">
        <v>325</v>
      </c>
      <c r="F136" s="383">
        <v>1632</v>
      </c>
      <c r="G136" s="383">
        <v>848</v>
      </c>
      <c r="H136" s="383">
        <v>12093</v>
      </c>
      <c r="I136" s="382">
        <v>11245</v>
      </c>
      <c r="J136" s="382">
        <v>8</v>
      </c>
      <c r="K136" s="384">
        <v>88.27</v>
      </c>
      <c r="L136" s="384">
        <v>87.22</v>
      </c>
      <c r="M136" s="384">
        <v>4.12</v>
      </c>
      <c r="N136" s="384">
        <v>90.38</v>
      </c>
      <c r="O136" s="385">
        <v>8442</v>
      </c>
      <c r="P136" s="382">
        <v>83.37</v>
      </c>
      <c r="Q136" s="382">
        <v>81.55</v>
      </c>
      <c r="R136" s="382">
        <v>36.57</v>
      </c>
      <c r="S136" s="382">
        <v>111.28</v>
      </c>
      <c r="T136" s="382">
        <v>1883</v>
      </c>
      <c r="U136" s="382">
        <v>104.87</v>
      </c>
      <c r="V136" s="382">
        <v>797</v>
      </c>
      <c r="W136" s="382">
        <v>181.84</v>
      </c>
      <c r="X136" s="382">
        <v>20</v>
      </c>
      <c r="Y136" s="382">
        <v>0</v>
      </c>
      <c r="Z136" s="382">
        <v>62</v>
      </c>
      <c r="AA136" s="382">
        <v>21</v>
      </c>
      <c r="AB136" s="382">
        <v>34</v>
      </c>
      <c r="AC136" s="382">
        <v>7</v>
      </c>
      <c r="AD136" s="386">
        <v>9257</v>
      </c>
      <c r="AE136" s="386">
        <v>59</v>
      </c>
      <c r="AF136" s="386">
        <v>46</v>
      </c>
      <c r="AG136" s="386">
        <v>105</v>
      </c>
    </row>
    <row r="137" spans="1:33" x14ac:dyDescent="0.35">
      <c r="A137" s="381" t="s">
        <v>334</v>
      </c>
      <c r="B137" s="387" t="s">
        <v>335</v>
      </c>
      <c r="C137" s="383">
        <v>6412</v>
      </c>
      <c r="D137" s="383">
        <v>26</v>
      </c>
      <c r="E137" s="383">
        <v>151</v>
      </c>
      <c r="F137" s="383">
        <v>831</v>
      </c>
      <c r="G137" s="383">
        <v>510</v>
      </c>
      <c r="H137" s="383">
        <v>7930</v>
      </c>
      <c r="I137" s="382">
        <v>7420</v>
      </c>
      <c r="J137" s="382">
        <v>0</v>
      </c>
      <c r="K137" s="384">
        <v>118.46</v>
      </c>
      <c r="L137" s="384">
        <v>119.98</v>
      </c>
      <c r="M137" s="384">
        <v>8.3000000000000007</v>
      </c>
      <c r="N137" s="384">
        <v>122.79</v>
      </c>
      <c r="O137" s="385">
        <v>5448</v>
      </c>
      <c r="P137" s="382">
        <v>110.91</v>
      </c>
      <c r="Q137" s="382">
        <v>109.7</v>
      </c>
      <c r="R137" s="382">
        <v>31.06</v>
      </c>
      <c r="S137" s="382">
        <v>140.55000000000001</v>
      </c>
      <c r="T137" s="382">
        <v>946</v>
      </c>
      <c r="U137" s="382">
        <v>175.91</v>
      </c>
      <c r="V137" s="382">
        <v>787</v>
      </c>
      <c r="W137" s="382">
        <v>208.35</v>
      </c>
      <c r="X137" s="382">
        <v>4</v>
      </c>
      <c r="Y137" s="382">
        <v>0</v>
      </c>
      <c r="Z137" s="382">
        <v>3</v>
      </c>
      <c r="AA137" s="382">
        <v>11</v>
      </c>
      <c r="AB137" s="382">
        <v>24</v>
      </c>
      <c r="AC137" s="382">
        <v>5</v>
      </c>
      <c r="AD137" s="386">
        <v>6243</v>
      </c>
      <c r="AE137" s="386">
        <v>43</v>
      </c>
      <c r="AF137" s="386">
        <v>50</v>
      </c>
      <c r="AG137" s="386">
        <v>93</v>
      </c>
    </row>
    <row r="138" spans="1:33" x14ac:dyDescent="0.35">
      <c r="A138" s="381" t="s">
        <v>336</v>
      </c>
      <c r="B138" s="387" t="s">
        <v>337</v>
      </c>
      <c r="C138" s="383">
        <v>980</v>
      </c>
      <c r="D138" s="383">
        <v>1</v>
      </c>
      <c r="E138" s="383">
        <v>67</v>
      </c>
      <c r="F138" s="383">
        <v>337</v>
      </c>
      <c r="G138" s="383">
        <v>197</v>
      </c>
      <c r="H138" s="383">
        <v>1582</v>
      </c>
      <c r="I138" s="382">
        <v>1385</v>
      </c>
      <c r="J138" s="382">
        <v>0</v>
      </c>
      <c r="K138" s="384">
        <v>94.79</v>
      </c>
      <c r="L138" s="384">
        <v>91.99</v>
      </c>
      <c r="M138" s="384">
        <v>7.03</v>
      </c>
      <c r="N138" s="384">
        <v>98.43</v>
      </c>
      <c r="O138" s="385">
        <v>776</v>
      </c>
      <c r="P138" s="382">
        <v>89.18</v>
      </c>
      <c r="Q138" s="382">
        <v>78.849999999999994</v>
      </c>
      <c r="R138" s="382">
        <v>44.6</v>
      </c>
      <c r="S138" s="382">
        <v>133.31</v>
      </c>
      <c r="T138" s="382">
        <v>383</v>
      </c>
      <c r="U138" s="382">
        <v>107.46</v>
      </c>
      <c r="V138" s="382">
        <v>187</v>
      </c>
      <c r="W138" s="382">
        <v>0</v>
      </c>
      <c r="X138" s="382">
        <v>0</v>
      </c>
      <c r="Y138" s="382">
        <v>0</v>
      </c>
      <c r="Z138" s="382">
        <v>2</v>
      </c>
      <c r="AA138" s="382">
        <v>0</v>
      </c>
      <c r="AB138" s="382">
        <v>9</v>
      </c>
      <c r="AC138" s="382">
        <v>6</v>
      </c>
      <c r="AD138" s="386">
        <v>962</v>
      </c>
      <c r="AE138" s="386">
        <v>9</v>
      </c>
      <c r="AF138" s="386">
        <v>4</v>
      </c>
      <c r="AG138" s="386">
        <v>13</v>
      </c>
    </row>
    <row r="139" spans="1:33" x14ac:dyDescent="0.35">
      <c r="A139" s="381" t="s">
        <v>338</v>
      </c>
      <c r="B139" s="387" t="s">
        <v>339</v>
      </c>
      <c r="C139" s="383">
        <v>6523</v>
      </c>
      <c r="D139" s="383">
        <v>0</v>
      </c>
      <c r="E139" s="383">
        <v>565</v>
      </c>
      <c r="F139" s="383">
        <v>530</v>
      </c>
      <c r="G139" s="383">
        <v>1255</v>
      </c>
      <c r="H139" s="383">
        <v>8873</v>
      </c>
      <c r="I139" s="382">
        <v>7618</v>
      </c>
      <c r="J139" s="382">
        <v>62</v>
      </c>
      <c r="K139" s="384">
        <v>121.89</v>
      </c>
      <c r="L139" s="384">
        <v>121.07</v>
      </c>
      <c r="M139" s="384">
        <v>10.76</v>
      </c>
      <c r="N139" s="384">
        <v>129.27000000000001</v>
      </c>
      <c r="O139" s="385">
        <v>5400</v>
      </c>
      <c r="P139" s="382">
        <v>101.4</v>
      </c>
      <c r="Q139" s="382">
        <v>99.33</v>
      </c>
      <c r="R139" s="382">
        <v>40.880000000000003</v>
      </c>
      <c r="S139" s="382">
        <v>134.41999999999999</v>
      </c>
      <c r="T139" s="382">
        <v>832</v>
      </c>
      <c r="U139" s="382">
        <v>187.21</v>
      </c>
      <c r="V139" s="382">
        <v>874</v>
      </c>
      <c r="W139" s="382">
        <v>161.6</v>
      </c>
      <c r="X139" s="382">
        <v>51</v>
      </c>
      <c r="Y139" s="382">
        <v>0</v>
      </c>
      <c r="Z139" s="382">
        <v>2</v>
      </c>
      <c r="AA139" s="382">
        <v>2</v>
      </c>
      <c r="AB139" s="382">
        <v>40</v>
      </c>
      <c r="AC139" s="382">
        <v>33</v>
      </c>
      <c r="AD139" s="386">
        <v>6391</v>
      </c>
      <c r="AE139" s="386">
        <v>23</v>
      </c>
      <c r="AF139" s="386">
        <v>16</v>
      </c>
      <c r="AG139" s="386">
        <v>39</v>
      </c>
    </row>
    <row r="140" spans="1:33" x14ac:dyDescent="0.35">
      <c r="A140" s="381" t="s">
        <v>340</v>
      </c>
      <c r="B140" s="387" t="s">
        <v>341</v>
      </c>
      <c r="C140" s="383">
        <v>1907</v>
      </c>
      <c r="D140" s="383">
        <v>1</v>
      </c>
      <c r="E140" s="383">
        <v>124</v>
      </c>
      <c r="F140" s="383">
        <v>125</v>
      </c>
      <c r="G140" s="383">
        <v>369</v>
      </c>
      <c r="H140" s="383">
        <v>2526</v>
      </c>
      <c r="I140" s="382">
        <v>2157</v>
      </c>
      <c r="J140" s="382">
        <v>0</v>
      </c>
      <c r="K140" s="384">
        <v>89.59</v>
      </c>
      <c r="L140" s="384">
        <v>88.52</v>
      </c>
      <c r="M140" s="384">
        <v>5.85</v>
      </c>
      <c r="N140" s="384">
        <v>92.75</v>
      </c>
      <c r="O140" s="385">
        <v>1415</v>
      </c>
      <c r="P140" s="382">
        <v>99.37</v>
      </c>
      <c r="Q140" s="382">
        <v>84.79</v>
      </c>
      <c r="R140" s="382">
        <v>57.31</v>
      </c>
      <c r="S140" s="382">
        <v>156.68</v>
      </c>
      <c r="T140" s="382">
        <v>219</v>
      </c>
      <c r="U140" s="382">
        <v>104.97</v>
      </c>
      <c r="V140" s="382">
        <v>461</v>
      </c>
      <c r="W140" s="382">
        <v>0</v>
      </c>
      <c r="X140" s="382">
        <v>0</v>
      </c>
      <c r="Y140" s="382">
        <v>0</v>
      </c>
      <c r="Z140" s="382">
        <v>24</v>
      </c>
      <c r="AA140" s="382">
        <v>14</v>
      </c>
      <c r="AB140" s="382">
        <v>20</v>
      </c>
      <c r="AC140" s="382">
        <v>12</v>
      </c>
      <c r="AD140" s="386">
        <v>1907</v>
      </c>
      <c r="AE140" s="386">
        <v>40</v>
      </c>
      <c r="AF140" s="386">
        <v>9</v>
      </c>
      <c r="AG140" s="386">
        <v>49</v>
      </c>
    </row>
    <row r="141" spans="1:33" x14ac:dyDescent="0.35">
      <c r="A141" s="381" t="s">
        <v>342</v>
      </c>
      <c r="B141" s="387" t="s">
        <v>343</v>
      </c>
      <c r="C141" s="383">
        <v>6001</v>
      </c>
      <c r="D141" s="383">
        <v>0</v>
      </c>
      <c r="E141" s="383">
        <v>144</v>
      </c>
      <c r="F141" s="383">
        <v>1121</v>
      </c>
      <c r="G141" s="383">
        <v>958</v>
      </c>
      <c r="H141" s="383">
        <v>8224</v>
      </c>
      <c r="I141" s="382">
        <v>7266</v>
      </c>
      <c r="J141" s="382">
        <v>9</v>
      </c>
      <c r="K141" s="384">
        <v>109.73</v>
      </c>
      <c r="L141" s="384">
        <v>108.48</v>
      </c>
      <c r="M141" s="384">
        <v>4.4400000000000004</v>
      </c>
      <c r="N141" s="384">
        <v>112.44</v>
      </c>
      <c r="O141" s="385">
        <v>4648</v>
      </c>
      <c r="P141" s="382">
        <v>94.93</v>
      </c>
      <c r="Q141" s="382">
        <v>93.61</v>
      </c>
      <c r="R141" s="382">
        <v>27.96</v>
      </c>
      <c r="S141" s="382">
        <v>121.83</v>
      </c>
      <c r="T141" s="382">
        <v>1009</v>
      </c>
      <c r="U141" s="382">
        <v>164.89</v>
      </c>
      <c r="V141" s="382">
        <v>1300</v>
      </c>
      <c r="W141" s="382">
        <v>186.17</v>
      </c>
      <c r="X141" s="382">
        <v>163</v>
      </c>
      <c r="Y141" s="382">
        <v>31</v>
      </c>
      <c r="Z141" s="382">
        <v>6</v>
      </c>
      <c r="AA141" s="382">
        <v>10</v>
      </c>
      <c r="AB141" s="382">
        <v>175</v>
      </c>
      <c r="AC141" s="382">
        <v>23</v>
      </c>
      <c r="AD141" s="386">
        <v>5968</v>
      </c>
      <c r="AE141" s="386">
        <v>49</v>
      </c>
      <c r="AF141" s="386">
        <v>28</v>
      </c>
      <c r="AG141" s="386">
        <v>77</v>
      </c>
    </row>
    <row r="142" spans="1:33" x14ac:dyDescent="0.35">
      <c r="A142" s="381" t="s">
        <v>344</v>
      </c>
      <c r="B142" s="387" t="s">
        <v>345</v>
      </c>
      <c r="C142" s="383">
        <v>7867</v>
      </c>
      <c r="D142" s="383">
        <v>23</v>
      </c>
      <c r="E142" s="383">
        <v>513</v>
      </c>
      <c r="F142" s="383">
        <v>164</v>
      </c>
      <c r="G142" s="383">
        <v>2164</v>
      </c>
      <c r="H142" s="383">
        <v>10731</v>
      </c>
      <c r="I142" s="382">
        <v>8567</v>
      </c>
      <c r="J142" s="382">
        <v>32</v>
      </c>
      <c r="K142" s="384">
        <v>122.25</v>
      </c>
      <c r="L142" s="384">
        <v>122.76</v>
      </c>
      <c r="M142" s="384">
        <v>10.1</v>
      </c>
      <c r="N142" s="384">
        <v>130.18</v>
      </c>
      <c r="O142" s="385">
        <v>5835</v>
      </c>
      <c r="P142" s="382">
        <v>118.62</v>
      </c>
      <c r="Q142" s="382">
        <v>107.95</v>
      </c>
      <c r="R142" s="382">
        <v>93.4</v>
      </c>
      <c r="S142" s="382">
        <v>192.18</v>
      </c>
      <c r="T142" s="382">
        <v>339</v>
      </c>
      <c r="U142" s="382">
        <v>196.49</v>
      </c>
      <c r="V142" s="382">
        <v>1114</v>
      </c>
      <c r="W142" s="382">
        <v>232.56</v>
      </c>
      <c r="X142" s="382">
        <v>110</v>
      </c>
      <c r="Y142" s="382">
        <v>0</v>
      </c>
      <c r="Z142" s="382">
        <v>0</v>
      </c>
      <c r="AA142" s="382">
        <v>3</v>
      </c>
      <c r="AB142" s="382">
        <v>199</v>
      </c>
      <c r="AC142" s="382">
        <v>142</v>
      </c>
      <c r="AD142" s="386">
        <v>7290</v>
      </c>
      <c r="AE142" s="386">
        <v>23</v>
      </c>
      <c r="AF142" s="386">
        <v>67</v>
      </c>
      <c r="AG142" s="386">
        <v>90</v>
      </c>
    </row>
    <row r="143" spans="1:33" x14ac:dyDescent="0.35">
      <c r="A143" s="381" t="s">
        <v>346</v>
      </c>
      <c r="B143" s="387" t="s">
        <v>347</v>
      </c>
      <c r="C143" s="383">
        <v>8698</v>
      </c>
      <c r="D143" s="383">
        <v>19</v>
      </c>
      <c r="E143" s="383">
        <v>373</v>
      </c>
      <c r="F143" s="383">
        <v>1063</v>
      </c>
      <c r="G143" s="383">
        <v>868</v>
      </c>
      <c r="H143" s="383">
        <v>11021</v>
      </c>
      <c r="I143" s="382">
        <v>10153</v>
      </c>
      <c r="J143" s="382">
        <v>3</v>
      </c>
      <c r="K143" s="384">
        <v>93.75</v>
      </c>
      <c r="L143" s="384">
        <v>93.96</v>
      </c>
      <c r="M143" s="384">
        <v>4.6100000000000003</v>
      </c>
      <c r="N143" s="384">
        <v>95.83</v>
      </c>
      <c r="O143" s="385">
        <v>7822</v>
      </c>
      <c r="P143" s="382">
        <v>91.13</v>
      </c>
      <c r="Q143" s="382">
        <v>85.87</v>
      </c>
      <c r="R143" s="382">
        <v>46.36</v>
      </c>
      <c r="S143" s="382">
        <v>136.74</v>
      </c>
      <c r="T143" s="382">
        <v>1299</v>
      </c>
      <c r="U143" s="382">
        <v>130.71</v>
      </c>
      <c r="V143" s="382">
        <v>707</v>
      </c>
      <c r="W143" s="382">
        <v>194.16</v>
      </c>
      <c r="X143" s="382">
        <v>55</v>
      </c>
      <c r="Y143" s="382">
        <v>1</v>
      </c>
      <c r="Z143" s="382">
        <v>11</v>
      </c>
      <c r="AA143" s="382">
        <v>7</v>
      </c>
      <c r="AB143" s="382">
        <v>75</v>
      </c>
      <c r="AC143" s="382">
        <v>13</v>
      </c>
      <c r="AD143" s="386">
        <v>8698</v>
      </c>
      <c r="AE143" s="386">
        <v>64</v>
      </c>
      <c r="AF143" s="386">
        <v>57</v>
      </c>
      <c r="AG143" s="386">
        <v>121</v>
      </c>
    </row>
    <row r="144" spans="1:33" x14ac:dyDescent="0.35">
      <c r="A144" s="381" t="s">
        <v>348</v>
      </c>
      <c r="B144" s="387" t="s">
        <v>349</v>
      </c>
      <c r="C144" s="383">
        <v>3032</v>
      </c>
      <c r="D144" s="383">
        <v>0</v>
      </c>
      <c r="E144" s="383">
        <v>290</v>
      </c>
      <c r="F144" s="383">
        <v>1562</v>
      </c>
      <c r="G144" s="383">
        <v>59</v>
      </c>
      <c r="H144" s="383">
        <v>4943</v>
      </c>
      <c r="I144" s="382">
        <v>4884</v>
      </c>
      <c r="J144" s="382">
        <v>8</v>
      </c>
      <c r="K144" s="384">
        <v>75.760000000000005</v>
      </c>
      <c r="L144" s="384">
        <v>77.28</v>
      </c>
      <c r="M144" s="384">
        <v>2.2999999999999998</v>
      </c>
      <c r="N144" s="384">
        <v>76.98</v>
      </c>
      <c r="O144" s="385">
        <v>2922</v>
      </c>
      <c r="P144" s="382">
        <v>76.02</v>
      </c>
      <c r="Q144" s="382">
        <v>71.75</v>
      </c>
      <c r="R144" s="382">
        <v>22.93</v>
      </c>
      <c r="S144" s="382">
        <v>98.4</v>
      </c>
      <c r="T144" s="382">
        <v>1758</v>
      </c>
      <c r="U144" s="382">
        <v>89.82</v>
      </c>
      <c r="V144" s="382">
        <v>110</v>
      </c>
      <c r="W144" s="382">
        <v>245.64</v>
      </c>
      <c r="X144" s="382">
        <v>14</v>
      </c>
      <c r="Y144" s="382">
        <v>0</v>
      </c>
      <c r="Z144" s="382">
        <v>29</v>
      </c>
      <c r="AA144" s="382">
        <v>2</v>
      </c>
      <c r="AB144" s="382">
        <v>0</v>
      </c>
      <c r="AC144" s="382">
        <v>0</v>
      </c>
      <c r="AD144" s="386">
        <v>3032</v>
      </c>
      <c r="AE144" s="386">
        <v>26</v>
      </c>
      <c r="AF144" s="386">
        <v>3</v>
      </c>
      <c r="AG144" s="386">
        <v>29</v>
      </c>
    </row>
    <row r="145" spans="1:33" x14ac:dyDescent="0.35">
      <c r="A145" s="381" t="s">
        <v>350</v>
      </c>
      <c r="B145" s="387" t="s">
        <v>351</v>
      </c>
      <c r="C145" s="383">
        <v>3739</v>
      </c>
      <c r="D145" s="383">
        <v>0</v>
      </c>
      <c r="E145" s="383">
        <v>573</v>
      </c>
      <c r="F145" s="383">
        <v>711</v>
      </c>
      <c r="G145" s="383">
        <v>300</v>
      </c>
      <c r="H145" s="383">
        <v>5323</v>
      </c>
      <c r="I145" s="382">
        <v>5023</v>
      </c>
      <c r="J145" s="382">
        <v>0</v>
      </c>
      <c r="K145" s="384">
        <v>87.82</v>
      </c>
      <c r="L145" s="384">
        <v>88.06</v>
      </c>
      <c r="M145" s="384">
        <v>6.4</v>
      </c>
      <c r="N145" s="384">
        <v>92.67</v>
      </c>
      <c r="O145" s="385">
        <v>3011</v>
      </c>
      <c r="P145" s="382">
        <v>82.03</v>
      </c>
      <c r="Q145" s="382">
        <v>74.180000000000007</v>
      </c>
      <c r="R145" s="382">
        <v>59.17</v>
      </c>
      <c r="S145" s="382">
        <v>140.41</v>
      </c>
      <c r="T145" s="382">
        <v>1044</v>
      </c>
      <c r="U145" s="382">
        <v>98.15</v>
      </c>
      <c r="V145" s="382">
        <v>664</v>
      </c>
      <c r="W145" s="382">
        <v>100.03</v>
      </c>
      <c r="X145" s="382">
        <v>2</v>
      </c>
      <c r="Y145" s="382">
        <v>22</v>
      </c>
      <c r="Z145" s="382">
        <v>0</v>
      </c>
      <c r="AA145" s="382">
        <v>4</v>
      </c>
      <c r="AB145" s="382">
        <v>4</v>
      </c>
      <c r="AC145" s="382">
        <v>5</v>
      </c>
      <c r="AD145" s="386">
        <v>3625</v>
      </c>
      <c r="AE145" s="386">
        <v>19</v>
      </c>
      <c r="AF145" s="386">
        <v>13</v>
      </c>
      <c r="AG145" s="386">
        <v>32</v>
      </c>
    </row>
    <row r="146" spans="1:33" x14ac:dyDescent="0.35">
      <c r="A146" s="381" t="s">
        <v>352</v>
      </c>
      <c r="B146" s="387" t="s">
        <v>353</v>
      </c>
      <c r="C146" s="383">
        <v>6297</v>
      </c>
      <c r="D146" s="383">
        <v>0</v>
      </c>
      <c r="E146" s="383">
        <v>323</v>
      </c>
      <c r="F146" s="383">
        <v>638</v>
      </c>
      <c r="G146" s="383">
        <v>285</v>
      </c>
      <c r="H146" s="383">
        <v>7543</v>
      </c>
      <c r="I146" s="382">
        <v>7258</v>
      </c>
      <c r="J146" s="382">
        <v>80</v>
      </c>
      <c r="K146" s="384">
        <v>87.16</v>
      </c>
      <c r="L146" s="384">
        <v>85.33</v>
      </c>
      <c r="M146" s="384">
        <v>5.0999999999999996</v>
      </c>
      <c r="N146" s="384">
        <v>90.31</v>
      </c>
      <c r="O146" s="385">
        <v>5464</v>
      </c>
      <c r="P146" s="382">
        <v>76.760000000000005</v>
      </c>
      <c r="Q146" s="382">
        <v>76.510000000000005</v>
      </c>
      <c r="R146" s="382">
        <v>38.72</v>
      </c>
      <c r="S146" s="382">
        <v>113.45</v>
      </c>
      <c r="T146" s="382">
        <v>918</v>
      </c>
      <c r="U146" s="382">
        <v>120.29</v>
      </c>
      <c r="V146" s="382">
        <v>306</v>
      </c>
      <c r="W146" s="382">
        <v>94.74</v>
      </c>
      <c r="X146" s="382">
        <v>14</v>
      </c>
      <c r="Y146" s="382">
        <v>1</v>
      </c>
      <c r="Z146" s="382">
        <v>2</v>
      </c>
      <c r="AA146" s="382">
        <v>8</v>
      </c>
      <c r="AB146" s="382">
        <v>0</v>
      </c>
      <c r="AC146" s="382">
        <v>8</v>
      </c>
      <c r="AD146" s="386">
        <v>5848</v>
      </c>
      <c r="AE146" s="386">
        <v>12</v>
      </c>
      <c r="AF146" s="386">
        <v>17</v>
      </c>
      <c r="AG146" s="386">
        <v>29</v>
      </c>
    </row>
    <row r="147" spans="1:33" x14ac:dyDescent="0.35">
      <c r="A147" s="381" t="s">
        <v>354</v>
      </c>
      <c r="B147" s="387" t="s">
        <v>355</v>
      </c>
      <c r="C147" s="383">
        <v>54</v>
      </c>
      <c r="D147" s="383">
        <v>0</v>
      </c>
      <c r="E147" s="383">
        <v>0</v>
      </c>
      <c r="F147" s="383">
        <v>7</v>
      </c>
      <c r="G147" s="383">
        <v>0</v>
      </c>
      <c r="H147" s="383">
        <v>61</v>
      </c>
      <c r="I147" s="382">
        <v>61</v>
      </c>
      <c r="J147" s="382">
        <v>0</v>
      </c>
      <c r="K147" s="384">
        <v>98.41</v>
      </c>
      <c r="L147" s="384">
        <v>102.17</v>
      </c>
      <c r="M147" s="384">
        <v>2.8</v>
      </c>
      <c r="N147" s="384">
        <v>99.55</v>
      </c>
      <c r="O147" s="385">
        <v>27</v>
      </c>
      <c r="P147" s="382">
        <v>94.7</v>
      </c>
      <c r="Q147" s="382">
        <v>94.7</v>
      </c>
      <c r="R147" s="382">
        <v>19.010000000000002</v>
      </c>
      <c r="S147" s="382">
        <v>113.71</v>
      </c>
      <c r="T147" s="382">
        <v>7</v>
      </c>
      <c r="U147" s="382">
        <v>113.93</v>
      </c>
      <c r="V147" s="382">
        <v>2</v>
      </c>
      <c r="W147" s="382">
        <v>0</v>
      </c>
      <c r="X147" s="382">
        <v>0</v>
      </c>
      <c r="Y147" s="382">
        <v>0</v>
      </c>
      <c r="Z147" s="382">
        <v>0</v>
      </c>
      <c r="AA147" s="382">
        <v>0</v>
      </c>
      <c r="AB147" s="382">
        <v>0</v>
      </c>
      <c r="AC147" s="382">
        <v>0</v>
      </c>
      <c r="AD147" s="386">
        <v>27</v>
      </c>
      <c r="AE147" s="386">
        <v>0</v>
      </c>
      <c r="AF147" s="386">
        <v>0</v>
      </c>
      <c r="AG147" s="386">
        <v>0</v>
      </c>
    </row>
    <row r="148" spans="1:33" x14ac:dyDescent="0.35">
      <c r="A148" s="381" t="s">
        <v>356</v>
      </c>
      <c r="B148" s="387" t="s">
        <v>357</v>
      </c>
      <c r="C148" s="383">
        <v>14056</v>
      </c>
      <c r="D148" s="383">
        <v>339</v>
      </c>
      <c r="E148" s="383">
        <v>1137</v>
      </c>
      <c r="F148" s="383">
        <v>740</v>
      </c>
      <c r="G148" s="383">
        <v>1352</v>
      </c>
      <c r="H148" s="383">
        <v>17624</v>
      </c>
      <c r="I148" s="382">
        <v>16272</v>
      </c>
      <c r="J148" s="382">
        <v>99</v>
      </c>
      <c r="K148" s="384">
        <v>125.63</v>
      </c>
      <c r="L148" s="384">
        <v>133.16999999999999</v>
      </c>
      <c r="M148" s="384">
        <v>13.96</v>
      </c>
      <c r="N148" s="384">
        <v>136.61000000000001</v>
      </c>
      <c r="O148" s="385">
        <v>12264</v>
      </c>
      <c r="P148" s="382">
        <v>112.86</v>
      </c>
      <c r="Q148" s="382">
        <v>117.3</v>
      </c>
      <c r="R148" s="382">
        <v>70.489999999999995</v>
      </c>
      <c r="S148" s="382">
        <v>178.18</v>
      </c>
      <c r="T148" s="382">
        <v>1566</v>
      </c>
      <c r="U148" s="382">
        <v>185.06</v>
      </c>
      <c r="V148" s="382">
        <v>532</v>
      </c>
      <c r="W148" s="382">
        <v>177.92</v>
      </c>
      <c r="X148" s="382">
        <v>2</v>
      </c>
      <c r="Y148" s="382">
        <v>4</v>
      </c>
      <c r="Z148" s="382">
        <v>0</v>
      </c>
      <c r="AA148" s="382">
        <v>13</v>
      </c>
      <c r="AB148" s="382">
        <v>3</v>
      </c>
      <c r="AC148" s="382">
        <v>50</v>
      </c>
      <c r="AD148" s="386">
        <v>13045</v>
      </c>
      <c r="AE148" s="386">
        <v>103</v>
      </c>
      <c r="AF148" s="386">
        <v>115</v>
      </c>
      <c r="AG148" s="386">
        <v>218</v>
      </c>
    </row>
    <row r="149" spans="1:33" x14ac:dyDescent="0.35">
      <c r="A149" s="381" t="s">
        <v>358</v>
      </c>
      <c r="B149" s="387" t="s">
        <v>359</v>
      </c>
      <c r="C149" s="383">
        <v>10907</v>
      </c>
      <c r="D149" s="383">
        <v>142</v>
      </c>
      <c r="E149" s="383">
        <v>1034</v>
      </c>
      <c r="F149" s="383">
        <v>911</v>
      </c>
      <c r="G149" s="383">
        <v>570</v>
      </c>
      <c r="H149" s="383">
        <v>13564</v>
      </c>
      <c r="I149" s="382">
        <v>12994</v>
      </c>
      <c r="J149" s="382">
        <v>85</v>
      </c>
      <c r="K149" s="384">
        <v>125.09</v>
      </c>
      <c r="L149" s="384">
        <v>145.77000000000001</v>
      </c>
      <c r="M149" s="384">
        <v>12.61</v>
      </c>
      <c r="N149" s="384">
        <v>133.72</v>
      </c>
      <c r="O149" s="385">
        <v>9456</v>
      </c>
      <c r="P149" s="382">
        <v>117.18</v>
      </c>
      <c r="Q149" s="382">
        <v>122.15</v>
      </c>
      <c r="R149" s="382">
        <v>51.66</v>
      </c>
      <c r="S149" s="382">
        <v>154.18</v>
      </c>
      <c r="T149" s="382">
        <v>1532</v>
      </c>
      <c r="U149" s="382">
        <v>207.82</v>
      </c>
      <c r="V149" s="382">
        <v>619</v>
      </c>
      <c r="W149" s="382">
        <v>182.54</v>
      </c>
      <c r="X149" s="382">
        <v>32</v>
      </c>
      <c r="Y149" s="382">
        <v>0</v>
      </c>
      <c r="Z149" s="382">
        <v>0</v>
      </c>
      <c r="AA149" s="382">
        <v>13</v>
      </c>
      <c r="AB149" s="382">
        <v>0</v>
      </c>
      <c r="AC149" s="382">
        <v>19</v>
      </c>
      <c r="AD149" s="386">
        <v>10091</v>
      </c>
      <c r="AE149" s="386">
        <v>59</v>
      </c>
      <c r="AF149" s="386">
        <v>249</v>
      </c>
      <c r="AG149" s="386">
        <v>308</v>
      </c>
    </row>
    <row r="150" spans="1:33" x14ac:dyDescent="0.35">
      <c r="A150" s="381" t="s">
        <v>360</v>
      </c>
      <c r="B150" s="387" t="s">
        <v>361</v>
      </c>
      <c r="C150" s="383">
        <v>8487</v>
      </c>
      <c r="D150" s="383">
        <v>0</v>
      </c>
      <c r="E150" s="383">
        <v>277</v>
      </c>
      <c r="F150" s="383">
        <v>940</v>
      </c>
      <c r="G150" s="383">
        <v>226</v>
      </c>
      <c r="H150" s="383">
        <v>9930</v>
      </c>
      <c r="I150" s="382">
        <v>9704</v>
      </c>
      <c r="J150" s="382">
        <v>256</v>
      </c>
      <c r="K150" s="384">
        <v>82.31</v>
      </c>
      <c r="L150" s="384">
        <v>82.52</v>
      </c>
      <c r="M150" s="384">
        <v>4.3</v>
      </c>
      <c r="N150" s="384">
        <v>83.8</v>
      </c>
      <c r="O150" s="385">
        <v>7766</v>
      </c>
      <c r="P150" s="382">
        <v>85.01</v>
      </c>
      <c r="Q150" s="382">
        <v>78.459999999999994</v>
      </c>
      <c r="R150" s="382">
        <v>27.68</v>
      </c>
      <c r="S150" s="382">
        <v>110.84</v>
      </c>
      <c r="T150" s="382">
        <v>1165</v>
      </c>
      <c r="U150" s="382">
        <v>102.49</v>
      </c>
      <c r="V150" s="382">
        <v>676</v>
      </c>
      <c r="W150" s="382">
        <v>93.98</v>
      </c>
      <c r="X150" s="382">
        <v>10</v>
      </c>
      <c r="Y150" s="382">
        <v>38</v>
      </c>
      <c r="Z150" s="382">
        <v>15</v>
      </c>
      <c r="AA150" s="382">
        <v>6</v>
      </c>
      <c r="AB150" s="382">
        <v>12</v>
      </c>
      <c r="AC150" s="382">
        <v>8</v>
      </c>
      <c r="AD150" s="386">
        <v>8472</v>
      </c>
      <c r="AE150" s="386">
        <v>26</v>
      </c>
      <c r="AF150" s="386">
        <v>78</v>
      </c>
      <c r="AG150" s="386">
        <v>104</v>
      </c>
    </row>
    <row r="151" spans="1:33" x14ac:dyDescent="0.35">
      <c r="A151" s="381" t="s">
        <v>362</v>
      </c>
      <c r="B151" s="387" t="s">
        <v>363</v>
      </c>
      <c r="C151" s="383">
        <v>7324</v>
      </c>
      <c r="D151" s="383">
        <v>0</v>
      </c>
      <c r="E151" s="383">
        <v>871</v>
      </c>
      <c r="F151" s="383">
        <v>1161</v>
      </c>
      <c r="G151" s="383">
        <v>335</v>
      </c>
      <c r="H151" s="383">
        <v>9691</v>
      </c>
      <c r="I151" s="382">
        <v>9356</v>
      </c>
      <c r="J151" s="382">
        <v>4</v>
      </c>
      <c r="K151" s="384">
        <v>80.930000000000007</v>
      </c>
      <c r="L151" s="384">
        <v>79.77</v>
      </c>
      <c r="M151" s="384">
        <v>7.04</v>
      </c>
      <c r="N151" s="384">
        <v>86.51</v>
      </c>
      <c r="O151" s="385">
        <v>6177</v>
      </c>
      <c r="P151" s="382">
        <v>78.099999999999994</v>
      </c>
      <c r="Q151" s="382">
        <v>76.08</v>
      </c>
      <c r="R151" s="382">
        <v>51.76</v>
      </c>
      <c r="S151" s="382">
        <v>128.24</v>
      </c>
      <c r="T151" s="382">
        <v>1536</v>
      </c>
      <c r="U151" s="382">
        <v>94.43</v>
      </c>
      <c r="V151" s="382">
        <v>939</v>
      </c>
      <c r="W151" s="382">
        <v>231.92</v>
      </c>
      <c r="X151" s="382">
        <v>30</v>
      </c>
      <c r="Y151" s="382">
        <v>0</v>
      </c>
      <c r="Z151" s="382">
        <v>5</v>
      </c>
      <c r="AA151" s="382">
        <v>8</v>
      </c>
      <c r="AB151" s="382">
        <v>17</v>
      </c>
      <c r="AC151" s="382">
        <v>2</v>
      </c>
      <c r="AD151" s="386">
        <v>7103</v>
      </c>
      <c r="AE151" s="386">
        <v>68</v>
      </c>
      <c r="AF151" s="386">
        <v>40</v>
      </c>
      <c r="AG151" s="386">
        <v>108</v>
      </c>
    </row>
    <row r="152" spans="1:33" x14ac:dyDescent="0.35">
      <c r="A152" s="381" t="s">
        <v>364</v>
      </c>
      <c r="B152" s="387" t="s">
        <v>365</v>
      </c>
      <c r="C152" s="383">
        <v>2167</v>
      </c>
      <c r="D152" s="383">
        <v>88</v>
      </c>
      <c r="E152" s="383">
        <v>294</v>
      </c>
      <c r="F152" s="383">
        <v>218</v>
      </c>
      <c r="G152" s="383">
        <v>369</v>
      </c>
      <c r="H152" s="383">
        <v>3136</v>
      </c>
      <c r="I152" s="382">
        <v>2767</v>
      </c>
      <c r="J152" s="382">
        <v>14</v>
      </c>
      <c r="K152" s="384">
        <v>127</v>
      </c>
      <c r="L152" s="384">
        <v>128.53</v>
      </c>
      <c r="M152" s="384">
        <v>10.18</v>
      </c>
      <c r="N152" s="384">
        <v>135.81</v>
      </c>
      <c r="O152" s="385">
        <v>1561</v>
      </c>
      <c r="P152" s="382">
        <v>126.1</v>
      </c>
      <c r="Q152" s="382">
        <v>105.09</v>
      </c>
      <c r="R152" s="382">
        <v>41.99</v>
      </c>
      <c r="S152" s="382">
        <v>168.09</v>
      </c>
      <c r="T152" s="382">
        <v>323</v>
      </c>
      <c r="U152" s="382">
        <v>217.66</v>
      </c>
      <c r="V152" s="382">
        <v>335</v>
      </c>
      <c r="W152" s="382">
        <v>0</v>
      </c>
      <c r="X152" s="382">
        <v>0</v>
      </c>
      <c r="Y152" s="382">
        <v>0</v>
      </c>
      <c r="Z152" s="382">
        <v>1</v>
      </c>
      <c r="AA152" s="382">
        <v>0</v>
      </c>
      <c r="AB152" s="382">
        <v>28</v>
      </c>
      <c r="AC152" s="382">
        <v>10</v>
      </c>
      <c r="AD152" s="386">
        <v>1900</v>
      </c>
      <c r="AE152" s="386">
        <v>21</v>
      </c>
      <c r="AF152" s="386">
        <v>7</v>
      </c>
      <c r="AG152" s="386">
        <v>28</v>
      </c>
    </row>
    <row r="153" spans="1:33" x14ac:dyDescent="0.35">
      <c r="A153" s="381" t="s">
        <v>366</v>
      </c>
      <c r="B153" s="387" t="s">
        <v>367</v>
      </c>
      <c r="C153" s="383">
        <v>4251</v>
      </c>
      <c r="D153" s="383">
        <v>3</v>
      </c>
      <c r="E153" s="383">
        <v>435</v>
      </c>
      <c r="F153" s="383">
        <v>1304</v>
      </c>
      <c r="G153" s="383">
        <v>368</v>
      </c>
      <c r="H153" s="383">
        <v>6361</v>
      </c>
      <c r="I153" s="382">
        <v>5993</v>
      </c>
      <c r="J153" s="382">
        <v>6</v>
      </c>
      <c r="K153" s="384">
        <v>84.02</v>
      </c>
      <c r="L153" s="384">
        <v>81.489999999999995</v>
      </c>
      <c r="M153" s="384">
        <v>4.6100000000000003</v>
      </c>
      <c r="N153" s="384">
        <v>87.49</v>
      </c>
      <c r="O153" s="385">
        <v>3534</v>
      </c>
      <c r="P153" s="382">
        <v>79.14</v>
      </c>
      <c r="Q153" s="382">
        <v>76.14</v>
      </c>
      <c r="R153" s="382">
        <v>37.56</v>
      </c>
      <c r="S153" s="382">
        <v>116.08</v>
      </c>
      <c r="T153" s="382">
        <v>1520</v>
      </c>
      <c r="U153" s="382">
        <v>94.75</v>
      </c>
      <c r="V153" s="382">
        <v>550</v>
      </c>
      <c r="W153" s="382">
        <v>109.46</v>
      </c>
      <c r="X153" s="382">
        <v>31</v>
      </c>
      <c r="Y153" s="382">
        <v>0</v>
      </c>
      <c r="Z153" s="382">
        <v>5</v>
      </c>
      <c r="AA153" s="382">
        <v>5</v>
      </c>
      <c r="AB153" s="382">
        <v>39</v>
      </c>
      <c r="AC153" s="382">
        <v>10</v>
      </c>
      <c r="AD153" s="386">
        <v>4206</v>
      </c>
      <c r="AE153" s="386">
        <v>31</v>
      </c>
      <c r="AF153" s="386">
        <v>9</v>
      </c>
      <c r="AG153" s="386">
        <v>40</v>
      </c>
    </row>
    <row r="154" spans="1:33" x14ac:dyDescent="0.35">
      <c r="A154" s="381" t="s">
        <v>368</v>
      </c>
      <c r="B154" s="387" t="s">
        <v>369</v>
      </c>
      <c r="C154" s="383">
        <v>16143</v>
      </c>
      <c r="D154" s="383">
        <v>9</v>
      </c>
      <c r="E154" s="383">
        <v>689</v>
      </c>
      <c r="F154" s="383">
        <v>1440</v>
      </c>
      <c r="G154" s="383">
        <v>429</v>
      </c>
      <c r="H154" s="383">
        <v>18710</v>
      </c>
      <c r="I154" s="382">
        <v>18281</v>
      </c>
      <c r="J154" s="382">
        <v>2</v>
      </c>
      <c r="K154" s="384">
        <v>82.72</v>
      </c>
      <c r="L154" s="384">
        <v>82.62</v>
      </c>
      <c r="M154" s="384">
        <v>11.44</v>
      </c>
      <c r="N154" s="384">
        <v>85.44</v>
      </c>
      <c r="O154" s="385">
        <v>14666</v>
      </c>
      <c r="P154" s="382">
        <v>83.56</v>
      </c>
      <c r="Q154" s="382">
        <v>74.59</v>
      </c>
      <c r="R154" s="382">
        <v>30.09</v>
      </c>
      <c r="S154" s="382">
        <v>112.94</v>
      </c>
      <c r="T154" s="382">
        <v>1657</v>
      </c>
      <c r="U154" s="382">
        <v>104.52</v>
      </c>
      <c r="V154" s="382">
        <v>1203</v>
      </c>
      <c r="W154" s="382">
        <v>141.44999999999999</v>
      </c>
      <c r="X154" s="382">
        <v>322</v>
      </c>
      <c r="Y154" s="382">
        <v>17</v>
      </c>
      <c r="Z154" s="382">
        <v>101</v>
      </c>
      <c r="AA154" s="382">
        <v>0</v>
      </c>
      <c r="AB154" s="382">
        <v>59</v>
      </c>
      <c r="AC154" s="382">
        <v>4</v>
      </c>
      <c r="AD154" s="386">
        <v>15981</v>
      </c>
      <c r="AE154" s="386">
        <v>140</v>
      </c>
      <c r="AF154" s="386">
        <v>323</v>
      </c>
      <c r="AG154" s="386">
        <v>463</v>
      </c>
    </row>
    <row r="155" spans="1:33" x14ac:dyDescent="0.35">
      <c r="A155" s="381" t="s">
        <v>370</v>
      </c>
      <c r="B155" s="387" t="s">
        <v>371</v>
      </c>
      <c r="C155" s="383">
        <v>21339</v>
      </c>
      <c r="D155" s="383">
        <v>79</v>
      </c>
      <c r="E155" s="383">
        <v>1956</v>
      </c>
      <c r="F155" s="383">
        <v>1361</v>
      </c>
      <c r="G155" s="383">
        <v>2242</v>
      </c>
      <c r="H155" s="383">
        <v>26977</v>
      </c>
      <c r="I155" s="382">
        <v>24735</v>
      </c>
      <c r="J155" s="382">
        <v>48</v>
      </c>
      <c r="K155" s="384">
        <v>116.47</v>
      </c>
      <c r="L155" s="384">
        <v>123.53</v>
      </c>
      <c r="M155" s="384">
        <v>14.17</v>
      </c>
      <c r="N155" s="384">
        <v>128.24</v>
      </c>
      <c r="O155" s="385">
        <v>18669</v>
      </c>
      <c r="P155" s="382">
        <v>107.67</v>
      </c>
      <c r="Q155" s="382">
        <v>108.64</v>
      </c>
      <c r="R155" s="382">
        <v>49.28</v>
      </c>
      <c r="S155" s="382">
        <v>153.41999999999999</v>
      </c>
      <c r="T155" s="382">
        <v>2817</v>
      </c>
      <c r="U155" s="382">
        <v>195.59</v>
      </c>
      <c r="V155" s="382">
        <v>1316</v>
      </c>
      <c r="W155" s="382">
        <v>187.2</v>
      </c>
      <c r="X155" s="382">
        <v>67</v>
      </c>
      <c r="Y155" s="382">
        <v>45</v>
      </c>
      <c r="Z155" s="382">
        <v>4</v>
      </c>
      <c r="AA155" s="382">
        <v>28</v>
      </c>
      <c r="AB155" s="382">
        <v>109</v>
      </c>
      <c r="AC155" s="382">
        <v>80</v>
      </c>
      <c r="AD155" s="386">
        <v>20090</v>
      </c>
      <c r="AE155" s="386">
        <v>75</v>
      </c>
      <c r="AF155" s="386">
        <v>132</v>
      </c>
      <c r="AG155" s="386">
        <v>207</v>
      </c>
    </row>
    <row r="156" spans="1:33" x14ac:dyDescent="0.35">
      <c r="A156" s="381" t="s">
        <v>372</v>
      </c>
      <c r="B156" s="387" t="s">
        <v>373</v>
      </c>
      <c r="C156" s="383">
        <v>1992</v>
      </c>
      <c r="D156" s="383">
        <v>0</v>
      </c>
      <c r="E156" s="383">
        <v>383</v>
      </c>
      <c r="F156" s="383">
        <v>494</v>
      </c>
      <c r="G156" s="383">
        <v>264</v>
      </c>
      <c r="H156" s="383">
        <v>3133</v>
      </c>
      <c r="I156" s="382">
        <v>2869</v>
      </c>
      <c r="J156" s="382">
        <v>1</v>
      </c>
      <c r="K156" s="384">
        <v>82.96</v>
      </c>
      <c r="L156" s="384">
        <v>79.11</v>
      </c>
      <c r="M156" s="384">
        <v>6</v>
      </c>
      <c r="N156" s="384">
        <v>88.14</v>
      </c>
      <c r="O156" s="385">
        <v>1306</v>
      </c>
      <c r="P156" s="382">
        <v>88.74</v>
      </c>
      <c r="Q156" s="382">
        <v>73.290000000000006</v>
      </c>
      <c r="R156" s="382">
        <v>59.11</v>
      </c>
      <c r="S156" s="382">
        <v>145.93</v>
      </c>
      <c r="T156" s="382">
        <v>741</v>
      </c>
      <c r="U156" s="382">
        <v>102.31</v>
      </c>
      <c r="V156" s="382">
        <v>613</v>
      </c>
      <c r="W156" s="382">
        <v>132.01</v>
      </c>
      <c r="X156" s="382">
        <v>12</v>
      </c>
      <c r="Y156" s="382">
        <v>0</v>
      </c>
      <c r="Z156" s="382">
        <v>3</v>
      </c>
      <c r="AA156" s="382">
        <v>0</v>
      </c>
      <c r="AB156" s="382">
        <v>2</v>
      </c>
      <c r="AC156" s="382">
        <v>6</v>
      </c>
      <c r="AD156" s="386">
        <v>1946</v>
      </c>
      <c r="AE156" s="386">
        <v>14</v>
      </c>
      <c r="AF156" s="386">
        <v>13</v>
      </c>
      <c r="AG156" s="386">
        <v>27</v>
      </c>
    </row>
    <row r="157" spans="1:33" x14ac:dyDescent="0.35">
      <c r="A157" s="381" t="s">
        <v>374</v>
      </c>
      <c r="B157" s="387" t="s">
        <v>375</v>
      </c>
      <c r="C157" s="383">
        <v>13274</v>
      </c>
      <c r="D157" s="383">
        <v>8</v>
      </c>
      <c r="E157" s="383">
        <v>1310</v>
      </c>
      <c r="F157" s="383">
        <v>2728</v>
      </c>
      <c r="G157" s="383">
        <v>1426</v>
      </c>
      <c r="H157" s="383">
        <v>18746</v>
      </c>
      <c r="I157" s="382">
        <v>17320</v>
      </c>
      <c r="J157" s="382">
        <v>36</v>
      </c>
      <c r="K157" s="384">
        <v>82.44</v>
      </c>
      <c r="L157" s="384">
        <v>81.56</v>
      </c>
      <c r="M157" s="384">
        <v>7.02</v>
      </c>
      <c r="N157" s="384">
        <v>86.86</v>
      </c>
      <c r="O157" s="385">
        <v>11075</v>
      </c>
      <c r="P157" s="382">
        <v>93.37</v>
      </c>
      <c r="Q157" s="382">
        <v>76.14</v>
      </c>
      <c r="R157" s="382">
        <v>48.54</v>
      </c>
      <c r="S157" s="382">
        <v>139.9</v>
      </c>
      <c r="T157" s="382">
        <v>3196</v>
      </c>
      <c r="U157" s="382">
        <v>105.69</v>
      </c>
      <c r="V157" s="382">
        <v>1336</v>
      </c>
      <c r="W157" s="382">
        <v>109.35</v>
      </c>
      <c r="X157" s="382">
        <v>23</v>
      </c>
      <c r="Y157" s="382">
        <v>0</v>
      </c>
      <c r="Z157" s="382">
        <v>15</v>
      </c>
      <c r="AA157" s="382">
        <v>31</v>
      </c>
      <c r="AB157" s="382">
        <v>183</v>
      </c>
      <c r="AC157" s="382">
        <v>44</v>
      </c>
      <c r="AD157" s="386">
        <v>12903</v>
      </c>
      <c r="AE157" s="386">
        <v>103</v>
      </c>
      <c r="AF157" s="386">
        <v>54</v>
      </c>
      <c r="AG157" s="386">
        <v>157</v>
      </c>
    </row>
    <row r="158" spans="1:33" x14ac:dyDescent="0.35">
      <c r="A158" s="381" t="s">
        <v>376</v>
      </c>
      <c r="B158" s="387" t="s">
        <v>377</v>
      </c>
      <c r="C158" s="383">
        <v>8992</v>
      </c>
      <c r="D158" s="383">
        <v>0</v>
      </c>
      <c r="E158" s="383">
        <v>936</v>
      </c>
      <c r="F158" s="383">
        <v>972</v>
      </c>
      <c r="G158" s="383">
        <v>597</v>
      </c>
      <c r="H158" s="383">
        <v>11497</v>
      </c>
      <c r="I158" s="382">
        <v>10900</v>
      </c>
      <c r="J158" s="382">
        <v>388</v>
      </c>
      <c r="K158" s="384">
        <v>82.63</v>
      </c>
      <c r="L158" s="384">
        <v>81.290000000000006</v>
      </c>
      <c r="M158" s="384">
        <v>8.51</v>
      </c>
      <c r="N158" s="384">
        <v>88.44</v>
      </c>
      <c r="O158" s="385">
        <v>7039</v>
      </c>
      <c r="P158" s="382">
        <v>84.95</v>
      </c>
      <c r="Q158" s="382">
        <v>77.98</v>
      </c>
      <c r="R158" s="382">
        <v>66.86</v>
      </c>
      <c r="S158" s="382">
        <v>149.97999999999999</v>
      </c>
      <c r="T158" s="382">
        <v>1501</v>
      </c>
      <c r="U158" s="382">
        <v>109.19</v>
      </c>
      <c r="V158" s="382">
        <v>1067</v>
      </c>
      <c r="W158" s="382">
        <v>133.9</v>
      </c>
      <c r="X158" s="382">
        <v>86</v>
      </c>
      <c r="Y158" s="382">
        <v>1</v>
      </c>
      <c r="Z158" s="382">
        <v>146</v>
      </c>
      <c r="AA158" s="382">
        <v>23</v>
      </c>
      <c r="AB158" s="382">
        <v>86</v>
      </c>
      <c r="AC158" s="382">
        <v>9</v>
      </c>
      <c r="AD158" s="386">
        <v>8273</v>
      </c>
      <c r="AE158" s="386">
        <v>58</v>
      </c>
      <c r="AF158" s="386">
        <v>28</v>
      </c>
      <c r="AG158" s="386">
        <v>86</v>
      </c>
    </row>
    <row r="159" spans="1:33" x14ac:dyDescent="0.35">
      <c r="A159" s="381" t="s">
        <v>378</v>
      </c>
      <c r="B159" s="387" t="s">
        <v>379</v>
      </c>
      <c r="C159" s="383">
        <v>1047</v>
      </c>
      <c r="D159" s="383">
        <v>0</v>
      </c>
      <c r="E159" s="383">
        <v>164</v>
      </c>
      <c r="F159" s="383">
        <v>427</v>
      </c>
      <c r="G159" s="383">
        <v>301</v>
      </c>
      <c r="H159" s="383">
        <v>1939</v>
      </c>
      <c r="I159" s="382">
        <v>1638</v>
      </c>
      <c r="J159" s="382">
        <v>1</v>
      </c>
      <c r="K159" s="384">
        <v>92.61</v>
      </c>
      <c r="L159" s="384">
        <v>91.5</v>
      </c>
      <c r="M159" s="384">
        <v>8.1</v>
      </c>
      <c r="N159" s="384">
        <v>99.68</v>
      </c>
      <c r="O159" s="385">
        <v>862</v>
      </c>
      <c r="P159" s="382">
        <v>79.22</v>
      </c>
      <c r="Q159" s="382">
        <v>77.63</v>
      </c>
      <c r="R159" s="382">
        <v>54.53</v>
      </c>
      <c r="S159" s="382">
        <v>133.38</v>
      </c>
      <c r="T159" s="382">
        <v>300</v>
      </c>
      <c r="U159" s="382">
        <v>159.05000000000001</v>
      </c>
      <c r="V159" s="382">
        <v>160</v>
      </c>
      <c r="W159" s="382">
        <v>149.07</v>
      </c>
      <c r="X159" s="382">
        <v>9</v>
      </c>
      <c r="Y159" s="382">
        <v>0</v>
      </c>
      <c r="Z159" s="382">
        <v>0</v>
      </c>
      <c r="AA159" s="382">
        <v>2</v>
      </c>
      <c r="AB159" s="382">
        <v>15</v>
      </c>
      <c r="AC159" s="382">
        <v>7</v>
      </c>
      <c r="AD159" s="386">
        <v>1033</v>
      </c>
      <c r="AE159" s="386">
        <v>14</v>
      </c>
      <c r="AF159" s="386">
        <v>6</v>
      </c>
      <c r="AG159" s="386">
        <v>20</v>
      </c>
    </row>
    <row r="160" spans="1:33" x14ac:dyDescent="0.35">
      <c r="A160" s="381" t="s">
        <v>380</v>
      </c>
      <c r="B160" s="387" t="s">
        <v>381</v>
      </c>
      <c r="C160" s="383">
        <v>21108</v>
      </c>
      <c r="D160" s="383">
        <v>228</v>
      </c>
      <c r="E160" s="383">
        <v>1355</v>
      </c>
      <c r="F160" s="383">
        <v>631</v>
      </c>
      <c r="G160" s="383">
        <v>1856</v>
      </c>
      <c r="H160" s="383">
        <v>25178</v>
      </c>
      <c r="I160" s="382">
        <v>23322</v>
      </c>
      <c r="J160" s="382">
        <v>34</v>
      </c>
      <c r="K160" s="384">
        <v>107.96</v>
      </c>
      <c r="L160" s="384">
        <v>110.36</v>
      </c>
      <c r="M160" s="384">
        <v>11.77</v>
      </c>
      <c r="N160" s="384">
        <v>114.88</v>
      </c>
      <c r="O160" s="385">
        <v>18433</v>
      </c>
      <c r="P160" s="382">
        <v>104.31</v>
      </c>
      <c r="Q160" s="382">
        <v>102.15</v>
      </c>
      <c r="R160" s="382">
        <v>67.2</v>
      </c>
      <c r="S160" s="382">
        <v>165.76</v>
      </c>
      <c r="T160" s="382">
        <v>1612</v>
      </c>
      <c r="U160" s="382">
        <v>177.52</v>
      </c>
      <c r="V160" s="382">
        <v>1545</v>
      </c>
      <c r="W160" s="382">
        <v>261.63</v>
      </c>
      <c r="X160" s="382">
        <v>128</v>
      </c>
      <c r="Y160" s="382">
        <v>33</v>
      </c>
      <c r="Z160" s="382">
        <v>24</v>
      </c>
      <c r="AA160" s="382">
        <v>24</v>
      </c>
      <c r="AB160" s="382">
        <v>82</v>
      </c>
      <c r="AC160" s="382">
        <v>74</v>
      </c>
      <c r="AD160" s="386">
        <v>20108</v>
      </c>
      <c r="AE160" s="386">
        <v>196</v>
      </c>
      <c r="AF160" s="386">
        <v>94</v>
      </c>
      <c r="AG160" s="386">
        <v>290</v>
      </c>
    </row>
    <row r="161" spans="1:33" x14ac:dyDescent="0.35">
      <c r="A161" s="381" t="s">
        <v>382</v>
      </c>
      <c r="B161" s="387" t="s">
        <v>383</v>
      </c>
      <c r="C161" s="383">
        <v>5503</v>
      </c>
      <c r="D161" s="383">
        <v>15</v>
      </c>
      <c r="E161" s="383">
        <v>127</v>
      </c>
      <c r="F161" s="383">
        <v>269</v>
      </c>
      <c r="G161" s="383">
        <v>379</v>
      </c>
      <c r="H161" s="383">
        <v>6293</v>
      </c>
      <c r="I161" s="382">
        <v>5914</v>
      </c>
      <c r="J161" s="382">
        <v>1</v>
      </c>
      <c r="K161" s="384">
        <v>87.09</v>
      </c>
      <c r="L161" s="384">
        <v>83.55</v>
      </c>
      <c r="M161" s="384">
        <v>3.11</v>
      </c>
      <c r="N161" s="384">
        <v>89.36</v>
      </c>
      <c r="O161" s="385">
        <v>4997</v>
      </c>
      <c r="P161" s="382">
        <v>97.86</v>
      </c>
      <c r="Q161" s="382">
        <v>88.91</v>
      </c>
      <c r="R161" s="382">
        <v>35.31</v>
      </c>
      <c r="S161" s="382">
        <v>131.56</v>
      </c>
      <c r="T161" s="382">
        <v>396</v>
      </c>
      <c r="U161" s="382">
        <v>108.98</v>
      </c>
      <c r="V161" s="382">
        <v>496</v>
      </c>
      <c r="W161" s="382">
        <v>0</v>
      </c>
      <c r="X161" s="382">
        <v>0</v>
      </c>
      <c r="Y161" s="382">
        <v>0</v>
      </c>
      <c r="Z161" s="382">
        <v>26</v>
      </c>
      <c r="AA161" s="382">
        <v>3</v>
      </c>
      <c r="AB161" s="382">
        <v>42</v>
      </c>
      <c r="AC161" s="382">
        <v>8</v>
      </c>
      <c r="AD161" s="386">
        <v>5501</v>
      </c>
      <c r="AE161" s="386">
        <v>25</v>
      </c>
      <c r="AF161" s="386">
        <v>37</v>
      </c>
      <c r="AG161" s="386">
        <v>62</v>
      </c>
    </row>
    <row r="162" spans="1:33" x14ac:dyDescent="0.35">
      <c r="A162" s="381" t="s">
        <v>384</v>
      </c>
      <c r="B162" s="387" t="s">
        <v>385</v>
      </c>
      <c r="C162" s="383">
        <v>1331</v>
      </c>
      <c r="D162" s="383">
        <v>0</v>
      </c>
      <c r="E162" s="383">
        <v>478</v>
      </c>
      <c r="F162" s="383">
        <v>148</v>
      </c>
      <c r="G162" s="383">
        <v>264</v>
      </c>
      <c r="H162" s="383">
        <v>2221</v>
      </c>
      <c r="I162" s="382">
        <v>1957</v>
      </c>
      <c r="J162" s="382">
        <v>12</v>
      </c>
      <c r="K162" s="384">
        <v>79.400000000000006</v>
      </c>
      <c r="L162" s="384">
        <v>78.16</v>
      </c>
      <c r="M162" s="384">
        <v>8.76</v>
      </c>
      <c r="N162" s="384">
        <v>86.02</v>
      </c>
      <c r="O162" s="385">
        <v>1016</v>
      </c>
      <c r="P162" s="382">
        <v>90.02</v>
      </c>
      <c r="Q162" s="382">
        <v>79.989999999999995</v>
      </c>
      <c r="R162" s="382">
        <v>106.13</v>
      </c>
      <c r="S162" s="382">
        <v>196.16</v>
      </c>
      <c r="T162" s="382">
        <v>292</v>
      </c>
      <c r="U162" s="382">
        <v>96.72</v>
      </c>
      <c r="V162" s="382">
        <v>200</v>
      </c>
      <c r="W162" s="382">
        <v>280</v>
      </c>
      <c r="X162" s="382">
        <v>31</v>
      </c>
      <c r="Y162" s="382">
        <v>0</v>
      </c>
      <c r="Z162" s="382">
        <v>2</v>
      </c>
      <c r="AA162" s="382">
        <v>0</v>
      </c>
      <c r="AB162" s="382">
        <v>7</v>
      </c>
      <c r="AC162" s="382">
        <v>2</v>
      </c>
      <c r="AD162" s="386">
        <v>1298</v>
      </c>
      <c r="AE162" s="386">
        <v>9</v>
      </c>
      <c r="AF162" s="386">
        <v>6</v>
      </c>
      <c r="AG162" s="386">
        <v>15</v>
      </c>
    </row>
    <row r="163" spans="1:33" x14ac:dyDescent="0.35">
      <c r="A163" s="381" t="s">
        <v>386</v>
      </c>
      <c r="B163" s="387" t="s">
        <v>387</v>
      </c>
      <c r="C163" s="383">
        <v>52235</v>
      </c>
      <c r="D163" s="383">
        <v>24</v>
      </c>
      <c r="E163" s="383">
        <v>2500</v>
      </c>
      <c r="F163" s="383">
        <v>3780</v>
      </c>
      <c r="G163" s="383">
        <v>814</v>
      </c>
      <c r="H163" s="383">
        <v>59353</v>
      </c>
      <c r="I163" s="382">
        <v>58539</v>
      </c>
      <c r="J163" s="382">
        <v>100</v>
      </c>
      <c r="K163" s="384">
        <v>82.33</v>
      </c>
      <c r="L163" s="384">
        <v>81.760000000000005</v>
      </c>
      <c r="M163" s="384">
        <v>8.81</v>
      </c>
      <c r="N163" s="384">
        <v>84.71</v>
      </c>
      <c r="O163" s="385">
        <v>43764</v>
      </c>
      <c r="P163" s="382">
        <v>84.33</v>
      </c>
      <c r="Q163" s="382">
        <v>77.290000000000006</v>
      </c>
      <c r="R163" s="382">
        <v>46.45</v>
      </c>
      <c r="S163" s="382">
        <v>130.07</v>
      </c>
      <c r="T163" s="382">
        <v>4910</v>
      </c>
      <c r="U163" s="382">
        <v>100.4</v>
      </c>
      <c r="V163" s="382">
        <v>5737</v>
      </c>
      <c r="W163" s="382">
        <v>141.71</v>
      </c>
      <c r="X163" s="382">
        <v>111</v>
      </c>
      <c r="Y163" s="382">
        <v>8</v>
      </c>
      <c r="Z163" s="382">
        <v>194</v>
      </c>
      <c r="AA163" s="382">
        <v>45</v>
      </c>
      <c r="AB163" s="382">
        <v>95</v>
      </c>
      <c r="AC163" s="382">
        <v>20</v>
      </c>
      <c r="AD163" s="386">
        <v>49612</v>
      </c>
      <c r="AE163" s="386">
        <v>341</v>
      </c>
      <c r="AF163" s="386">
        <v>308</v>
      </c>
      <c r="AG163" s="386">
        <v>649</v>
      </c>
    </row>
    <row r="164" spans="1:33" x14ac:dyDescent="0.35">
      <c r="A164" s="381" t="s">
        <v>388</v>
      </c>
      <c r="B164" s="387" t="s">
        <v>389</v>
      </c>
      <c r="C164" s="383">
        <v>3847</v>
      </c>
      <c r="D164" s="383">
        <v>171</v>
      </c>
      <c r="E164" s="383">
        <v>343</v>
      </c>
      <c r="F164" s="383">
        <v>390</v>
      </c>
      <c r="G164" s="383">
        <v>246</v>
      </c>
      <c r="H164" s="383">
        <v>4997</v>
      </c>
      <c r="I164" s="382">
        <v>4751</v>
      </c>
      <c r="J164" s="382">
        <v>26</v>
      </c>
      <c r="K164" s="384">
        <v>99.37</v>
      </c>
      <c r="L164" s="384">
        <v>98.93</v>
      </c>
      <c r="M164" s="384">
        <v>5.85</v>
      </c>
      <c r="N164" s="384">
        <v>103.73</v>
      </c>
      <c r="O164" s="385">
        <v>2800</v>
      </c>
      <c r="P164" s="382">
        <v>99.01</v>
      </c>
      <c r="Q164" s="382">
        <v>97.71</v>
      </c>
      <c r="R164" s="382">
        <v>45.98</v>
      </c>
      <c r="S164" s="382">
        <v>143.07</v>
      </c>
      <c r="T164" s="382">
        <v>430</v>
      </c>
      <c r="U164" s="382">
        <v>138.68</v>
      </c>
      <c r="V164" s="382">
        <v>532</v>
      </c>
      <c r="W164" s="382">
        <v>171.7</v>
      </c>
      <c r="X164" s="382">
        <v>8</v>
      </c>
      <c r="Y164" s="382">
        <v>0</v>
      </c>
      <c r="Z164" s="382">
        <v>3</v>
      </c>
      <c r="AA164" s="382">
        <v>1</v>
      </c>
      <c r="AB164" s="382">
        <v>40</v>
      </c>
      <c r="AC164" s="382">
        <v>5</v>
      </c>
      <c r="AD164" s="386">
        <v>3464</v>
      </c>
      <c r="AE164" s="386">
        <v>22</v>
      </c>
      <c r="AF164" s="386">
        <v>8</v>
      </c>
      <c r="AG164" s="386">
        <v>30</v>
      </c>
    </row>
    <row r="165" spans="1:33" x14ac:dyDescent="0.35">
      <c r="A165" s="381" t="s">
        <v>390</v>
      </c>
      <c r="B165" s="387" t="s">
        <v>391</v>
      </c>
      <c r="C165" s="383">
        <v>7954</v>
      </c>
      <c r="D165" s="383">
        <v>0</v>
      </c>
      <c r="E165" s="383">
        <v>349</v>
      </c>
      <c r="F165" s="383">
        <v>1149</v>
      </c>
      <c r="G165" s="383">
        <v>1010</v>
      </c>
      <c r="H165" s="383">
        <v>10462</v>
      </c>
      <c r="I165" s="382">
        <v>9452</v>
      </c>
      <c r="J165" s="382">
        <v>1134</v>
      </c>
      <c r="K165" s="384">
        <v>94.84</v>
      </c>
      <c r="L165" s="384">
        <v>93.82</v>
      </c>
      <c r="M165" s="384">
        <v>5.86</v>
      </c>
      <c r="N165" s="384">
        <v>99.32</v>
      </c>
      <c r="O165" s="385">
        <v>6023</v>
      </c>
      <c r="P165" s="382">
        <v>87.64</v>
      </c>
      <c r="Q165" s="382">
        <v>85.22</v>
      </c>
      <c r="R165" s="382">
        <v>23.95</v>
      </c>
      <c r="S165" s="382">
        <v>109.56</v>
      </c>
      <c r="T165" s="382">
        <v>1307</v>
      </c>
      <c r="U165" s="382">
        <v>155.66</v>
      </c>
      <c r="V165" s="382">
        <v>1580</v>
      </c>
      <c r="W165" s="382">
        <v>199.48</v>
      </c>
      <c r="X165" s="382">
        <v>70</v>
      </c>
      <c r="Y165" s="382">
        <v>118</v>
      </c>
      <c r="Z165" s="382">
        <v>13</v>
      </c>
      <c r="AA165" s="382">
        <v>0</v>
      </c>
      <c r="AB165" s="382">
        <v>92</v>
      </c>
      <c r="AC165" s="382">
        <v>12</v>
      </c>
      <c r="AD165" s="386">
        <v>7508</v>
      </c>
      <c r="AE165" s="386">
        <v>79</v>
      </c>
      <c r="AF165" s="386">
        <v>16</v>
      </c>
      <c r="AG165" s="386">
        <v>95</v>
      </c>
    </row>
    <row r="166" spans="1:33" x14ac:dyDescent="0.35">
      <c r="A166" s="381" t="s">
        <v>392</v>
      </c>
      <c r="B166" s="387" t="s">
        <v>393</v>
      </c>
      <c r="C166" s="383">
        <v>2299</v>
      </c>
      <c r="D166" s="383">
        <v>0</v>
      </c>
      <c r="E166" s="383">
        <v>32</v>
      </c>
      <c r="F166" s="383">
        <v>810</v>
      </c>
      <c r="G166" s="383">
        <v>144</v>
      </c>
      <c r="H166" s="383">
        <v>3285</v>
      </c>
      <c r="I166" s="382">
        <v>3141</v>
      </c>
      <c r="J166" s="382">
        <v>0</v>
      </c>
      <c r="K166" s="384">
        <v>101.49</v>
      </c>
      <c r="L166" s="384">
        <v>100.72</v>
      </c>
      <c r="M166" s="384">
        <v>4.1500000000000004</v>
      </c>
      <c r="N166" s="384">
        <v>104.15</v>
      </c>
      <c r="O166" s="385">
        <v>1921</v>
      </c>
      <c r="P166" s="382">
        <v>85.92</v>
      </c>
      <c r="Q166" s="382">
        <v>85.26</v>
      </c>
      <c r="R166" s="382">
        <v>15.33</v>
      </c>
      <c r="S166" s="382">
        <v>101.03</v>
      </c>
      <c r="T166" s="382">
        <v>764</v>
      </c>
      <c r="U166" s="382">
        <v>138.02000000000001</v>
      </c>
      <c r="V166" s="382">
        <v>365</v>
      </c>
      <c r="W166" s="382">
        <v>111.65</v>
      </c>
      <c r="X166" s="382">
        <v>1</v>
      </c>
      <c r="Y166" s="382">
        <v>0</v>
      </c>
      <c r="Z166" s="382">
        <v>0</v>
      </c>
      <c r="AA166" s="382">
        <v>3</v>
      </c>
      <c r="AB166" s="382">
        <v>46</v>
      </c>
      <c r="AC166" s="382">
        <v>0</v>
      </c>
      <c r="AD166" s="386">
        <v>2299</v>
      </c>
      <c r="AE166" s="386">
        <v>20</v>
      </c>
      <c r="AF166" s="386">
        <v>9</v>
      </c>
      <c r="AG166" s="386">
        <v>29</v>
      </c>
    </row>
    <row r="167" spans="1:33" x14ac:dyDescent="0.35">
      <c r="A167" s="381" t="s">
        <v>394</v>
      </c>
      <c r="B167" s="387" t="s">
        <v>395</v>
      </c>
      <c r="C167" s="383">
        <v>4341</v>
      </c>
      <c r="D167" s="383">
        <v>0</v>
      </c>
      <c r="E167" s="383">
        <v>64</v>
      </c>
      <c r="F167" s="383">
        <v>594</v>
      </c>
      <c r="G167" s="383">
        <v>397</v>
      </c>
      <c r="H167" s="383">
        <v>5396</v>
      </c>
      <c r="I167" s="382">
        <v>4999</v>
      </c>
      <c r="J167" s="382">
        <v>3</v>
      </c>
      <c r="K167" s="384">
        <v>94.68</v>
      </c>
      <c r="L167" s="384">
        <v>94.46</v>
      </c>
      <c r="M167" s="384">
        <v>4</v>
      </c>
      <c r="N167" s="384">
        <v>98.33</v>
      </c>
      <c r="O167" s="385">
        <v>3952</v>
      </c>
      <c r="P167" s="382">
        <v>88.83</v>
      </c>
      <c r="Q167" s="382">
        <v>89.39</v>
      </c>
      <c r="R167" s="382">
        <v>28.63</v>
      </c>
      <c r="S167" s="382">
        <v>117.31</v>
      </c>
      <c r="T167" s="382">
        <v>598</v>
      </c>
      <c r="U167" s="382">
        <v>111.39</v>
      </c>
      <c r="V167" s="382">
        <v>318</v>
      </c>
      <c r="W167" s="382">
        <v>186.03</v>
      </c>
      <c r="X167" s="382">
        <v>60</v>
      </c>
      <c r="Y167" s="382">
        <v>0</v>
      </c>
      <c r="Z167" s="382">
        <v>19</v>
      </c>
      <c r="AA167" s="382">
        <v>0</v>
      </c>
      <c r="AB167" s="382">
        <v>10</v>
      </c>
      <c r="AC167" s="382">
        <v>1</v>
      </c>
      <c r="AD167" s="386">
        <v>4340</v>
      </c>
      <c r="AE167" s="386">
        <v>22</v>
      </c>
      <c r="AF167" s="386">
        <v>9</v>
      </c>
      <c r="AG167" s="386">
        <v>31</v>
      </c>
    </row>
    <row r="168" spans="1:33" x14ac:dyDescent="0.35">
      <c r="A168" s="381" t="s">
        <v>396</v>
      </c>
      <c r="B168" s="387" t="s">
        <v>397</v>
      </c>
      <c r="C168" s="383">
        <v>46193</v>
      </c>
      <c r="D168" s="383">
        <v>158</v>
      </c>
      <c r="E168" s="383">
        <v>1706</v>
      </c>
      <c r="F168" s="383">
        <v>3165</v>
      </c>
      <c r="G168" s="383">
        <v>1417</v>
      </c>
      <c r="H168" s="383">
        <v>52639</v>
      </c>
      <c r="I168" s="382">
        <v>51222</v>
      </c>
      <c r="J168" s="382">
        <v>29</v>
      </c>
      <c r="K168" s="384">
        <v>80.02</v>
      </c>
      <c r="L168" s="384">
        <v>80.83</v>
      </c>
      <c r="M168" s="384">
        <v>4.9800000000000004</v>
      </c>
      <c r="N168" s="384">
        <v>81.95</v>
      </c>
      <c r="O168" s="385">
        <v>42297</v>
      </c>
      <c r="P168" s="382">
        <v>78.760000000000005</v>
      </c>
      <c r="Q168" s="382">
        <v>73.13</v>
      </c>
      <c r="R168" s="382">
        <v>43.62</v>
      </c>
      <c r="S168" s="382">
        <v>119.83</v>
      </c>
      <c r="T168" s="382">
        <v>4511</v>
      </c>
      <c r="U168" s="382">
        <v>108.85</v>
      </c>
      <c r="V168" s="382">
        <v>3086</v>
      </c>
      <c r="W168" s="382">
        <v>118.58</v>
      </c>
      <c r="X168" s="382">
        <v>21</v>
      </c>
      <c r="Y168" s="382">
        <v>25</v>
      </c>
      <c r="Z168" s="382">
        <v>228</v>
      </c>
      <c r="AA168" s="382">
        <v>3</v>
      </c>
      <c r="AB168" s="382">
        <v>158</v>
      </c>
      <c r="AC168" s="382">
        <v>39</v>
      </c>
      <c r="AD168" s="386">
        <v>45675</v>
      </c>
      <c r="AE168" s="386">
        <v>375</v>
      </c>
      <c r="AF168" s="386">
        <v>141</v>
      </c>
      <c r="AG168" s="386">
        <v>516</v>
      </c>
    </row>
    <row r="169" spans="1:33" x14ac:dyDescent="0.35">
      <c r="A169" s="381" t="s">
        <v>398</v>
      </c>
      <c r="B169" s="387" t="s">
        <v>399</v>
      </c>
      <c r="C169" s="383">
        <v>1722</v>
      </c>
      <c r="D169" s="383">
        <v>0</v>
      </c>
      <c r="E169" s="383">
        <v>365</v>
      </c>
      <c r="F169" s="383">
        <v>232</v>
      </c>
      <c r="G169" s="383">
        <v>126</v>
      </c>
      <c r="H169" s="383">
        <v>2445</v>
      </c>
      <c r="I169" s="382">
        <v>2319</v>
      </c>
      <c r="J169" s="382">
        <v>1</v>
      </c>
      <c r="K169" s="384">
        <v>80.459999999999994</v>
      </c>
      <c r="L169" s="384">
        <v>79.540000000000006</v>
      </c>
      <c r="M169" s="384">
        <v>5.82</v>
      </c>
      <c r="N169" s="384">
        <v>83.34</v>
      </c>
      <c r="O169" s="385">
        <v>1629</v>
      </c>
      <c r="P169" s="382">
        <v>106.24</v>
      </c>
      <c r="Q169" s="382">
        <v>77.59</v>
      </c>
      <c r="R169" s="382">
        <v>91.88</v>
      </c>
      <c r="S169" s="382">
        <v>192.27</v>
      </c>
      <c r="T169" s="382">
        <v>408</v>
      </c>
      <c r="U169" s="382">
        <v>94.37</v>
      </c>
      <c r="V169" s="382">
        <v>88</v>
      </c>
      <c r="W169" s="382">
        <v>0</v>
      </c>
      <c r="X169" s="382">
        <v>0</v>
      </c>
      <c r="Y169" s="382">
        <v>0</v>
      </c>
      <c r="Z169" s="382">
        <v>5</v>
      </c>
      <c r="AA169" s="382">
        <v>17</v>
      </c>
      <c r="AB169" s="382">
        <v>6</v>
      </c>
      <c r="AC169" s="382">
        <v>2</v>
      </c>
      <c r="AD169" s="386">
        <v>1708</v>
      </c>
      <c r="AE169" s="386">
        <v>11</v>
      </c>
      <c r="AF169" s="386">
        <v>9</v>
      </c>
      <c r="AG169" s="386">
        <v>20</v>
      </c>
    </row>
    <row r="170" spans="1:33" x14ac:dyDescent="0.35">
      <c r="A170" s="381" t="s">
        <v>400</v>
      </c>
      <c r="B170" s="387" t="s">
        <v>401</v>
      </c>
      <c r="C170" s="383">
        <v>3942</v>
      </c>
      <c r="D170" s="383">
        <v>0</v>
      </c>
      <c r="E170" s="383">
        <v>365</v>
      </c>
      <c r="F170" s="383">
        <v>896</v>
      </c>
      <c r="G170" s="383">
        <v>1344</v>
      </c>
      <c r="H170" s="383">
        <v>6547</v>
      </c>
      <c r="I170" s="382">
        <v>5203</v>
      </c>
      <c r="J170" s="382">
        <v>30</v>
      </c>
      <c r="K170" s="384">
        <v>98.59</v>
      </c>
      <c r="L170" s="384">
        <v>96.24</v>
      </c>
      <c r="M170" s="384">
        <v>8.15</v>
      </c>
      <c r="N170" s="384">
        <v>105.23</v>
      </c>
      <c r="O170" s="385">
        <v>2845</v>
      </c>
      <c r="P170" s="382">
        <v>91.07</v>
      </c>
      <c r="Q170" s="382">
        <v>86.43</v>
      </c>
      <c r="R170" s="382">
        <v>38.04</v>
      </c>
      <c r="S170" s="382">
        <v>128.81</v>
      </c>
      <c r="T170" s="382">
        <v>1012</v>
      </c>
      <c r="U170" s="382">
        <v>128.72999999999999</v>
      </c>
      <c r="V170" s="382">
        <v>741</v>
      </c>
      <c r="W170" s="382">
        <v>180.2</v>
      </c>
      <c r="X170" s="382">
        <v>61</v>
      </c>
      <c r="Y170" s="382">
        <v>47</v>
      </c>
      <c r="Z170" s="382">
        <v>1</v>
      </c>
      <c r="AA170" s="382">
        <v>7</v>
      </c>
      <c r="AB170" s="382">
        <v>120</v>
      </c>
      <c r="AC170" s="382">
        <v>45</v>
      </c>
      <c r="AD170" s="386">
        <v>3558</v>
      </c>
      <c r="AE170" s="386">
        <v>38</v>
      </c>
      <c r="AF170" s="386">
        <v>22</v>
      </c>
      <c r="AG170" s="386">
        <v>60</v>
      </c>
    </row>
    <row r="171" spans="1:33" x14ac:dyDescent="0.35">
      <c r="A171" s="381" t="s">
        <v>402</v>
      </c>
      <c r="B171" s="387" t="s">
        <v>403</v>
      </c>
      <c r="C171" s="383">
        <v>598</v>
      </c>
      <c r="D171" s="383">
        <v>0</v>
      </c>
      <c r="E171" s="383">
        <v>39</v>
      </c>
      <c r="F171" s="383">
        <v>76</v>
      </c>
      <c r="G171" s="383">
        <v>202</v>
      </c>
      <c r="H171" s="383">
        <v>915</v>
      </c>
      <c r="I171" s="382">
        <v>713</v>
      </c>
      <c r="J171" s="382">
        <v>0</v>
      </c>
      <c r="K171" s="384">
        <v>90.32</v>
      </c>
      <c r="L171" s="384">
        <v>87.76</v>
      </c>
      <c r="M171" s="384">
        <v>3.06</v>
      </c>
      <c r="N171" s="384">
        <v>92.69</v>
      </c>
      <c r="O171" s="385">
        <v>413</v>
      </c>
      <c r="P171" s="382">
        <v>90.41</v>
      </c>
      <c r="Q171" s="382">
        <v>83.55</v>
      </c>
      <c r="R171" s="382">
        <v>73.790000000000006</v>
      </c>
      <c r="S171" s="382">
        <v>162.91999999999999</v>
      </c>
      <c r="T171" s="382">
        <v>115</v>
      </c>
      <c r="U171" s="382">
        <v>106.07</v>
      </c>
      <c r="V171" s="382">
        <v>167</v>
      </c>
      <c r="W171" s="382">
        <v>0</v>
      </c>
      <c r="X171" s="382">
        <v>0</v>
      </c>
      <c r="Y171" s="382">
        <v>0</v>
      </c>
      <c r="Z171" s="382">
        <v>3</v>
      </c>
      <c r="AA171" s="382">
        <v>0</v>
      </c>
      <c r="AB171" s="382">
        <v>12</v>
      </c>
      <c r="AC171" s="382">
        <v>3</v>
      </c>
      <c r="AD171" s="386">
        <v>597</v>
      </c>
      <c r="AE171" s="386">
        <v>35</v>
      </c>
      <c r="AF171" s="386">
        <v>2</v>
      </c>
      <c r="AG171" s="386">
        <v>37</v>
      </c>
    </row>
    <row r="172" spans="1:33" x14ac:dyDescent="0.35">
      <c r="A172" s="381" t="s">
        <v>404</v>
      </c>
      <c r="B172" s="387" t="s">
        <v>405</v>
      </c>
      <c r="C172" s="383">
        <v>5175</v>
      </c>
      <c r="D172" s="383">
        <v>0</v>
      </c>
      <c r="E172" s="383">
        <v>246</v>
      </c>
      <c r="F172" s="383">
        <v>1011</v>
      </c>
      <c r="G172" s="383">
        <v>527</v>
      </c>
      <c r="H172" s="383">
        <v>6959</v>
      </c>
      <c r="I172" s="382">
        <v>6432</v>
      </c>
      <c r="J172" s="382">
        <v>1</v>
      </c>
      <c r="K172" s="384">
        <v>90.58</v>
      </c>
      <c r="L172" s="384">
        <v>89.85</v>
      </c>
      <c r="M172" s="384">
        <v>4.3899999999999997</v>
      </c>
      <c r="N172" s="384">
        <v>92.79</v>
      </c>
      <c r="O172" s="385">
        <v>4325</v>
      </c>
      <c r="P172" s="382">
        <v>82.1</v>
      </c>
      <c r="Q172" s="382">
        <v>81.91</v>
      </c>
      <c r="R172" s="382">
        <v>29.57</v>
      </c>
      <c r="S172" s="382">
        <v>111.41</v>
      </c>
      <c r="T172" s="382">
        <v>1071</v>
      </c>
      <c r="U172" s="382">
        <v>113.41</v>
      </c>
      <c r="V172" s="382">
        <v>751</v>
      </c>
      <c r="W172" s="382">
        <v>112.53</v>
      </c>
      <c r="X172" s="382">
        <v>48</v>
      </c>
      <c r="Y172" s="382">
        <v>69</v>
      </c>
      <c r="Z172" s="382">
        <v>4</v>
      </c>
      <c r="AA172" s="382">
        <v>28</v>
      </c>
      <c r="AB172" s="382">
        <v>43</v>
      </c>
      <c r="AC172" s="382">
        <v>5</v>
      </c>
      <c r="AD172" s="386">
        <v>5081</v>
      </c>
      <c r="AE172" s="386">
        <v>15</v>
      </c>
      <c r="AF172" s="386">
        <v>31</v>
      </c>
      <c r="AG172" s="386">
        <v>46</v>
      </c>
    </row>
    <row r="173" spans="1:33" x14ac:dyDescent="0.35">
      <c r="A173" s="381" t="s">
        <v>406</v>
      </c>
      <c r="B173" s="387" t="s">
        <v>407</v>
      </c>
      <c r="C173" s="383">
        <v>10301</v>
      </c>
      <c r="D173" s="383">
        <v>11</v>
      </c>
      <c r="E173" s="383">
        <v>407</v>
      </c>
      <c r="F173" s="383">
        <v>796</v>
      </c>
      <c r="G173" s="383">
        <v>712</v>
      </c>
      <c r="H173" s="383">
        <v>12227</v>
      </c>
      <c r="I173" s="382">
        <v>11515</v>
      </c>
      <c r="J173" s="382">
        <v>51</v>
      </c>
      <c r="K173" s="384">
        <v>114.3</v>
      </c>
      <c r="L173" s="384">
        <v>112.66</v>
      </c>
      <c r="M173" s="384">
        <v>8.25</v>
      </c>
      <c r="N173" s="384">
        <v>119.53</v>
      </c>
      <c r="O173" s="385">
        <v>9092</v>
      </c>
      <c r="P173" s="382">
        <v>108.33</v>
      </c>
      <c r="Q173" s="382">
        <v>106.46</v>
      </c>
      <c r="R173" s="382">
        <v>37.86</v>
      </c>
      <c r="S173" s="382">
        <v>139.36000000000001</v>
      </c>
      <c r="T173" s="382">
        <v>903</v>
      </c>
      <c r="U173" s="382">
        <v>162.21</v>
      </c>
      <c r="V173" s="382">
        <v>1045</v>
      </c>
      <c r="W173" s="382">
        <v>254.61</v>
      </c>
      <c r="X173" s="382">
        <v>35</v>
      </c>
      <c r="Y173" s="382">
        <v>8</v>
      </c>
      <c r="Z173" s="382">
        <v>16</v>
      </c>
      <c r="AA173" s="382">
        <v>4</v>
      </c>
      <c r="AB173" s="382">
        <v>48</v>
      </c>
      <c r="AC173" s="382">
        <v>23</v>
      </c>
      <c r="AD173" s="386">
        <v>10212</v>
      </c>
      <c r="AE173" s="386">
        <v>31</v>
      </c>
      <c r="AF173" s="386">
        <v>75</v>
      </c>
      <c r="AG173" s="386">
        <v>106</v>
      </c>
    </row>
    <row r="174" spans="1:33" x14ac:dyDescent="0.35">
      <c r="A174" s="381" t="s">
        <v>408</v>
      </c>
      <c r="B174" s="387" t="s">
        <v>409</v>
      </c>
      <c r="C174" s="383">
        <v>1196</v>
      </c>
      <c r="D174" s="383">
        <v>0</v>
      </c>
      <c r="E174" s="383">
        <v>54</v>
      </c>
      <c r="F174" s="383">
        <v>283</v>
      </c>
      <c r="G174" s="383">
        <v>276</v>
      </c>
      <c r="H174" s="383">
        <v>1809</v>
      </c>
      <c r="I174" s="382">
        <v>1533</v>
      </c>
      <c r="J174" s="382">
        <v>1</v>
      </c>
      <c r="K174" s="384">
        <v>87.38</v>
      </c>
      <c r="L174" s="384">
        <v>84.47</v>
      </c>
      <c r="M174" s="384">
        <v>4.62</v>
      </c>
      <c r="N174" s="384">
        <v>91.34</v>
      </c>
      <c r="O174" s="385">
        <v>811</v>
      </c>
      <c r="P174" s="382">
        <v>77.709999999999994</v>
      </c>
      <c r="Q174" s="382">
        <v>75.61</v>
      </c>
      <c r="R174" s="382">
        <v>17.809999999999999</v>
      </c>
      <c r="S174" s="382">
        <v>94.92</v>
      </c>
      <c r="T174" s="382">
        <v>149</v>
      </c>
      <c r="U174" s="382">
        <v>123.57</v>
      </c>
      <c r="V174" s="382">
        <v>274</v>
      </c>
      <c r="W174" s="382">
        <v>0</v>
      </c>
      <c r="X174" s="382">
        <v>0</v>
      </c>
      <c r="Y174" s="382">
        <v>0</v>
      </c>
      <c r="Z174" s="382">
        <v>0</v>
      </c>
      <c r="AA174" s="382">
        <v>1</v>
      </c>
      <c r="AB174" s="382">
        <v>43</v>
      </c>
      <c r="AC174" s="382">
        <v>7</v>
      </c>
      <c r="AD174" s="386">
        <v>1078</v>
      </c>
      <c r="AE174" s="386">
        <v>16</v>
      </c>
      <c r="AF174" s="386">
        <v>0</v>
      </c>
      <c r="AG174" s="386">
        <v>16</v>
      </c>
    </row>
    <row r="175" spans="1:33" x14ac:dyDescent="0.35">
      <c r="A175" s="381" t="s">
        <v>410</v>
      </c>
      <c r="B175" s="387" t="s">
        <v>411</v>
      </c>
      <c r="C175" s="383">
        <v>1465</v>
      </c>
      <c r="D175" s="383">
        <v>0</v>
      </c>
      <c r="E175" s="383">
        <v>107</v>
      </c>
      <c r="F175" s="383">
        <v>210</v>
      </c>
      <c r="G175" s="383">
        <v>353</v>
      </c>
      <c r="H175" s="383">
        <v>2135</v>
      </c>
      <c r="I175" s="382">
        <v>1782</v>
      </c>
      <c r="J175" s="382">
        <v>3</v>
      </c>
      <c r="K175" s="384">
        <v>92.23</v>
      </c>
      <c r="L175" s="384">
        <v>91.99</v>
      </c>
      <c r="M175" s="384">
        <v>3.94</v>
      </c>
      <c r="N175" s="384">
        <v>95.09</v>
      </c>
      <c r="O175" s="385">
        <v>904</v>
      </c>
      <c r="P175" s="382">
        <v>85.3</v>
      </c>
      <c r="Q175" s="382">
        <v>79.27</v>
      </c>
      <c r="R175" s="382">
        <v>35.86</v>
      </c>
      <c r="S175" s="382">
        <v>120.91</v>
      </c>
      <c r="T175" s="382">
        <v>291</v>
      </c>
      <c r="U175" s="382">
        <v>111.34</v>
      </c>
      <c r="V175" s="382">
        <v>506</v>
      </c>
      <c r="W175" s="382">
        <v>113.33</v>
      </c>
      <c r="X175" s="382">
        <v>1</v>
      </c>
      <c r="Y175" s="382">
        <v>0</v>
      </c>
      <c r="Z175" s="382">
        <v>0</v>
      </c>
      <c r="AA175" s="382">
        <v>0</v>
      </c>
      <c r="AB175" s="382">
        <v>18</v>
      </c>
      <c r="AC175" s="382">
        <v>3</v>
      </c>
      <c r="AD175" s="386">
        <v>1465</v>
      </c>
      <c r="AE175" s="386">
        <v>8</v>
      </c>
      <c r="AF175" s="386">
        <v>3</v>
      </c>
      <c r="AG175" s="386">
        <v>11</v>
      </c>
    </row>
    <row r="176" spans="1:33" x14ac:dyDescent="0.35">
      <c r="A176" s="381" t="s">
        <v>412</v>
      </c>
      <c r="B176" s="387" t="s">
        <v>413</v>
      </c>
      <c r="C176" s="383">
        <v>5947</v>
      </c>
      <c r="D176" s="383">
        <v>3</v>
      </c>
      <c r="E176" s="383">
        <v>137</v>
      </c>
      <c r="F176" s="383">
        <v>809</v>
      </c>
      <c r="G176" s="383">
        <v>728</v>
      </c>
      <c r="H176" s="383">
        <v>7624</v>
      </c>
      <c r="I176" s="382">
        <v>6896</v>
      </c>
      <c r="J176" s="382">
        <v>2</v>
      </c>
      <c r="K176" s="384">
        <v>114.62</v>
      </c>
      <c r="L176" s="384">
        <v>109.68</v>
      </c>
      <c r="M176" s="384">
        <v>5.93</v>
      </c>
      <c r="N176" s="384">
        <v>119.01</v>
      </c>
      <c r="O176" s="385">
        <v>4123</v>
      </c>
      <c r="P176" s="382">
        <v>100.81</v>
      </c>
      <c r="Q176" s="382">
        <v>99.63</v>
      </c>
      <c r="R176" s="382">
        <v>50.13</v>
      </c>
      <c r="S176" s="382">
        <v>149.56</v>
      </c>
      <c r="T176" s="382">
        <v>797</v>
      </c>
      <c r="U176" s="382">
        <v>164.83</v>
      </c>
      <c r="V176" s="382">
        <v>1475</v>
      </c>
      <c r="W176" s="382">
        <v>174.45</v>
      </c>
      <c r="X176" s="382">
        <v>9</v>
      </c>
      <c r="Y176" s="382">
        <v>73</v>
      </c>
      <c r="Z176" s="382">
        <v>3</v>
      </c>
      <c r="AA176" s="382">
        <v>2</v>
      </c>
      <c r="AB176" s="382">
        <v>52</v>
      </c>
      <c r="AC176" s="382">
        <v>10</v>
      </c>
      <c r="AD176" s="386">
        <v>5646</v>
      </c>
      <c r="AE176" s="386">
        <v>67</v>
      </c>
      <c r="AF176" s="386">
        <v>18</v>
      </c>
      <c r="AG176" s="386">
        <v>85</v>
      </c>
    </row>
    <row r="177" spans="1:33" x14ac:dyDescent="0.35">
      <c r="A177" s="381" t="s">
        <v>414</v>
      </c>
      <c r="B177" s="387" t="s">
        <v>415</v>
      </c>
      <c r="C177" s="383">
        <v>13142</v>
      </c>
      <c r="D177" s="383">
        <v>2</v>
      </c>
      <c r="E177" s="383">
        <v>548</v>
      </c>
      <c r="F177" s="383">
        <v>1440</v>
      </c>
      <c r="G177" s="383">
        <v>266</v>
      </c>
      <c r="H177" s="383">
        <v>15398</v>
      </c>
      <c r="I177" s="382">
        <v>15132</v>
      </c>
      <c r="J177" s="382">
        <v>11</v>
      </c>
      <c r="K177" s="384">
        <v>84.36</v>
      </c>
      <c r="L177" s="384">
        <v>81.16</v>
      </c>
      <c r="M177" s="384">
        <v>9.3800000000000008</v>
      </c>
      <c r="N177" s="384">
        <v>87.17</v>
      </c>
      <c r="O177" s="385">
        <v>12381</v>
      </c>
      <c r="P177" s="382">
        <v>86.17</v>
      </c>
      <c r="Q177" s="382">
        <v>78.45</v>
      </c>
      <c r="R177" s="382">
        <v>57.55</v>
      </c>
      <c r="S177" s="382">
        <v>130.66999999999999</v>
      </c>
      <c r="T177" s="382">
        <v>1870</v>
      </c>
      <c r="U177" s="382">
        <v>94.43</v>
      </c>
      <c r="V177" s="382">
        <v>639</v>
      </c>
      <c r="W177" s="382">
        <v>155.27000000000001</v>
      </c>
      <c r="X177" s="382">
        <v>101</v>
      </c>
      <c r="Y177" s="382">
        <v>0</v>
      </c>
      <c r="Z177" s="382">
        <v>61</v>
      </c>
      <c r="AA177" s="382">
        <v>1</v>
      </c>
      <c r="AB177" s="382">
        <v>17</v>
      </c>
      <c r="AC177" s="382">
        <v>2</v>
      </c>
      <c r="AD177" s="386">
        <v>13112</v>
      </c>
      <c r="AE177" s="386">
        <v>188</v>
      </c>
      <c r="AF177" s="386">
        <v>253</v>
      </c>
      <c r="AG177" s="386">
        <v>441</v>
      </c>
    </row>
    <row r="178" spans="1:33" x14ac:dyDescent="0.35">
      <c r="A178" s="381" t="s">
        <v>416</v>
      </c>
      <c r="B178" s="387" t="s">
        <v>417</v>
      </c>
      <c r="C178" s="383">
        <v>8510</v>
      </c>
      <c r="D178" s="383">
        <v>81</v>
      </c>
      <c r="E178" s="383">
        <v>480</v>
      </c>
      <c r="F178" s="383">
        <v>585</v>
      </c>
      <c r="G178" s="383">
        <v>5605</v>
      </c>
      <c r="H178" s="383">
        <v>15261</v>
      </c>
      <c r="I178" s="382">
        <v>9656</v>
      </c>
      <c r="J178" s="382">
        <v>16</v>
      </c>
      <c r="K178" s="384">
        <v>97.84</v>
      </c>
      <c r="L178" s="384">
        <v>95.01</v>
      </c>
      <c r="M178" s="384">
        <v>6.84</v>
      </c>
      <c r="N178" s="384">
        <v>102.36</v>
      </c>
      <c r="O178" s="385">
        <v>6429</v>
      </c>
      <c r="P178" s="382">
        <v>103.38</v>
      </c>
      <c r="Q178" s="382">
        <v>98.24</v>
      </c>
      <c r="R178" s="382">
        <v>44.25</v>
      </c>
      <c r="S178" s="382">
        <v>146.21</v>
      </c>
      <c r="T178" s="382">
        <v>867</v>
      </c>
      <c r="U178" s="382">
        <v>138.19999999999999</v>
      </c>
      <c r="V178" s="382">
        <v>1370</v>
      </c>
      <c r="W178" s="382">
        <v>129.15</v>
      </c>
      <c r="X178" s="382">
        <v>4</v>
      </c>
      <c r="Y178" s="382">
        <v>0</v>
      </c>
      <c r="Z178" s="382">
        <v>1</v>
      </c>
      <c r="AA178" s="382">
        <v>3</v>
      </c>
      <c r="AB178" s="382">
        <v>178</v>
      </c>
      <c r="AC178" s="382">
        <v>54</v>
      </c>
      <c r="AD178" s="386">
        <v>8191</v>
      </c>
      <c r="AE178" s="386">
        <v>56</v>
      </c>
      <c r="AF178" s="386">
        <v>39</v>
      </c>
      <c r="AG178" s="386">
        <v>95</v>
      </c>
    </row>
    <row r="179" spans="1:33" x14ac:dyDescent="0.35">
      <c r="A179" s="381" t="s">
        <v>418</v>
      </c>
      <c r="B179" s="387" t="s">
        <v>419</v>
      </c>
      <c r="C179" s="383">
        <v>3491</v>
      </c>
      <c r="D179" s="383">
        <v>11</v>
      </c>
      <c r="E179" s="383">
        <v>219</v>
      </c>
      <c r="F179" s="383">
        <v>682</v>
      </c>
      <c r="G179" s="383">
        <v>298</v>
      </c>
      <c r="H179" s="383">
        <v>4701</v>
      </c>
      <c r="I179" s="382">
        <v>4403</v>
      </c>
      <c r="J179" s="382">
        <v>0</v>
      </c>
      <c r="K179" s="384">
        <v>110.92</v>
      </c>
      <c r="L179" s="384">
        <v>112.43</v>
      </c>
      <c r="M179" s="384">
        <v>4.66</v>
      </c>
      <c r="N179" s="384">
        <v>114.18</v>
      </c>
      <c r="O179" s="385">
        <v>2996</v>
      </c>
      <c r="P179" s="382">
        <v>99.06</v>
      </c>
      <c r="Q179" s="382">
        <v>99.67</v>
      </c>
      <c r="R179" s="382">
        <v>40.21</v>
      </c>
      <c r="S179" s="382">
        <v>138.11000000000001</v>
      </c>
      <c r="T179" s="382">
        <v>726</v>
      </c>
      <c r="U179" s="382">
        <v>155.9</v>
      </c>
      <c r="V179" s="382">
        <v>470</v>
      </c>
      <c r="W179" s="382">
        <v>0</v>
      </c>
      <c r="X179" s="382">
        <v>0</v>
      </c>
      <c r="Y179" s="382">
        <v>0</v>
      </c>
      <c r="Z179" s="382">
        <v>2</v>
      </c>
      <c r="AA179" s="382">
        <v>1</v>
      </c>
      <c r="AB179" s="382">
        <v>3</v>
      </c>
      <c r="AC179" s="382">
        <v>5</v>
      </c>
      <c r="AD179" s="386">
        <v>3488</v>
      </c>
      <c r="AE179" s="386">
        <v>36</v>
      </c>
      <c r="AF179" s="386">
        <v>43</v>
      </c>
      <c r="AG179" s="386">
        <v>79</v>
      </c>
    </row>
    <row r="180" spans="1:33" x14ac:dyDescent="0.35">
      <c r="A180" s="381" t="s">
        <v>420</v>
      </c>
      <c r="B180" s="387" t="s">
        <v>421</v>
      </c>
      <c r="C180" s="383">
        <v>2812</v>
      </c>
      <c r="D180" s="383">
        <v>8</v>
      </c>
      <c r="E180" s="383">
        <v>290</v>
      </c>
      <c r="F180" s="383">
        <v>323</v>
      </c>
      <c r="G180" s="383">
        <v>371</v>
      </c>
      <c r="H180" s="383">
        <v>3804</v>
      </c>
      <c r="I180" s="382">
        <v>3433</v>
      </c>
      <c r="J180" s="382">
        <v>0</v>
      </c>
      <c r="K180" s="384">
        <v>110.73</v>
      </c>
      <c r="L180" s="384">
        <v>108.61</v>
      </c>
      <c r="M180" s="384">
        <v>4.1100000000000003</v>
      </c>
      <c r="N180" s="384">
        <v>113.96</v>
      </c>
      <c r="O180" s="385">
        <v>2377</v>
      </c>
      <c r="P180" s="382">
        <v>100.92</v>
      </c>
      <c r="Q180" s="382">
        <v>92.62</v>
      </c>
      <c r="R180" s="382">
        <v>31.16</v>
      </c>
      <c r="S180" s="382">
        <v>130.35</v>
      </c>
      <c r="T180" s="382">
        <v>485</v>
      </c>
      <c r="U180" s="382">
        <v>141.09</v>
      </c>
      <c r="V180" s="382">
        <v>269</v>
      </c>
      <c r="W180" s="382">
        <v>138.77000000000001</v>
      </c>
      <c r="X180" s="382">
        <v>4</v>
      </c>
      <c r="Y180" s="382">
        <v>6</v>
      </c>
      <c r="Z180" s="382">
        <v>0</v>
      </c>
      <c r="AA180" s="382">
        <v>2</v>
      </c>
      <c r="AB180" s="382">
        <v>12</v>
      </c>
      <c r="AC180" s="382">
        <v>7</v>
      </c>
      <c r="AD180" s="386">
        <v>2720</v>
      </c>
      <c r="AE180" s="386">
        <v>8</v>
      </c>
      <c r="AF180" s="386">
        <v>6</v>
      </c>
      <c r="AG180" s="386">
        <v>14</v>
      </c>
    </row>
    <row r="181" spans="1:33" x14ac:dyDescent="0.35">
      <c r="A181" s="381" t="s">
        <v>422</v>
      </c>
      <c r="B181" s="387" t="s">
        <v>423</v>
      </c>
      <c r="C181" s="383">
        <v>1952</v>
      </c>
      <c r="D181" s="383">
        <v>0</v>
      </c>
      <c r="E181" s="383">
        <v>317</v>
      </c>
      <c r="F181" s="383">
        <v>263</v>
      </c>
      <c r="G181" s="383">
        <v>334</v>
      </c>
      <c r="H181" s="383">
        <v>2866</v>
      </c>
      <c r="I181" s="382">
        <v>2532</v>
      </c>
      <c r="J181" s="382">
        <v>0</v>
      </c>
      <c r="K181" s="384">
        <v>85.74</v>
      </c>
      <c r="L181" s="384">
        <v>82.69</v>
      </c>
      <c r="M181" s="384">
        <v>4.04</v>
      </c>
      <c r="N181" s="384">
        <v>88.02</v>
      </c>
      <c r="O181" s="385">
        <v>1571</v>
      </c>
      <c r="P181" s="382">
        <v>105.19</v>
      </c>
      <c r="Q181" s="382">
        <v>77.73</v>
      </c>
      <c r="R181" s="382">
        <v>69.67</v>
      </c>
      <c r="S181" s="382">
        <v>174.86</v>
      </c>
      <c r="T181" s="382">
        <v>435</v>
      </c>
      <c r="U181" s="382">
        <v>93.6</v>
      </c>
      <c r="V181" s="382">
        <v>310</v>
      </c>
      <c r="W181" s="382">
        <v>0</v>
      </c>
      <c r="X181" s="382">
        <v>0</v>
      </c>
      <c r="Y181" s="382">
        <v>0</v>
      </c>
      <c r="Z181" s="382">
        <v>7</v>
      </c>
      <c r="AA181" s="382">
        <v>13</v>
      </c>
      <c r="AB181" s="382">
        <v>52</v>
      </c>
      <c r="AC181" s="382">
        <v>6</v>
      </c>
      <c r="AD181" s="386">
        <v>1952</v>
      </c>
      <c r="AE181" s="386">
        <v>12</v>
      </c>
      <c r="AF181" s="386">
        <v>67</v>
      </c>
      <c r="AG181" s="386">
        <v>79</v>
      </c>
    </row>
    <row r="182" spans="1:33" x14ac:dyDescent="0.35">
      <c r="A182" s="381" t="s">
        <v>424</v>
      </c>
      <c r="B182" s="387" t="s">
        <v>425</v>
      </c>
      <c r="C182" s="383">
        <v>7324</v>
      </c>
      <c r="D182" s="383">
        <v>137</v>
      </c>
      <c r="E182" s="383">
        <v>1397</v>
      </c>
      <c r="F182" s="383">
        <v>1515</v>
      </c>
      <c r="G182" s="383">
        <v>331</v>
      </c>
      <c r="H182" s="383">
        <v>10704</v>
      </c>
      <c r="I182" s="382">
        <v>10373</v>
      </c>
      <c r="J182" s="382">
        <v>39</v>
      </c>
      <c r="K182" s="384">
        <v>76.77</v>
      </c>
      <c r="L182" s="384">
        <v>74.83</v>
      </c>
      <c r="M182" s="384">
        <v>9.6199999999999992</v>
      </c>
      <c r="N182" s="384">
        <v>84.83</v>
      </c>
      <c r="O182" s="385">
        <v>5748</v>
      </c>
      <c r="P182" s="382">
        <v>83.52</v>
      </c>
      <c r="Q182" s="382">
        <v>72.67</v>
      </c>
      <c r="R182" s="382">
        <v>64.3</v>
      </c>
      <c r="S182" s="382">
        <v>145.76</v>
      </c>
      <c r="T182" s="382">
        <v>2157</v>
      </c>
      <c r="U182" s="382">
        <v>98.92</v>
      </c>
      <c r="V182" s="382">
        <v>1175</v>
      </c>
      <c r="W182" s="382">
        <v>186.62</v>
      </c>
      <c r="X182" s="382">
        <v>363</v>
      </c>
      <c r="Y182" s="382">
        <v>248</v>
      </c>
      <c r="Z182" s="382">
        <v>9</v>
      </c>
      <c r="AA182" s="382">
        <v>4</v>
      </c>
      <c r="AB182" s="382">
        <v>4</v>
      </c>
      <c r="AC182" s="382">
        <v>8</v>
      </c>
      <c r="AD182" s="386">
        <v>6752</v>
      </c>
      <c r="AE182" s="386">
        <v>66</v>
      </c>
      <c r="AF182" s="386">
        <v>62</v>
      </c>
      <c r="AG182" s="386">
        <v>128</v>
      </c>
    </row>
    <row r="183" spans="1:33" x14ac:dyDescent="0.35">
      <c r="A183" s="381" t="s">
        <v>426</v>
      </c>
      <c r="B183" s="387" t="s">
        <v>427</v>
      </c>
      <c r="C183" s="383">
        <v>8777</v>
      </c>
      <c r="D183" s="383">
        <v>9</v>
      </c>
      <c r="E183" s="383">
        <v>122</v>
      </c>
      <c r="F183" s="383">
        <v>876</v>
      </c>
      <c r="G183" s="383">
        <v>232</v>
      </c>
      <c r="H183" s="383">
        <v>10016</v>
      </c>
      <c r="I183" s="382">
        <v>9784</v>
      </c>
      <c r="J183" s="382">
        <v>15</v>
      </c>
      <c r="K183" s="384">
        <v>76.25</v>
      </c>
      <c r="L183" s="384">
        <v>78.56</v>
      </c>
      <c r="M183" s="384">
        <v>4.17</v>
      </c>
      <c r="N183" s="384">
        <v>80.180000000000007</v>
      </c>
      <c r="O183" s="385">
        <v>8195</v>
      </c>
      <c r="P183" s="382">
        <v>75.180000000000007</v>
      </c>
      <c r="Q183" s="382">
        <v>77.61</v>
      </c>
      <c r="R183" s="382">
        <v>26.39</v>
      </c>
      <c r="S183" s="382">
        <v>101.57</v>
      </c>
      <c r="T183" s="382">
        <v>815</v>
      </c>
      <c r="U183" s="382">
        <v>96.06</v>
      </c>
      <c r="V183" s="382">
        <v>544</v>
      </c>
      <c r="W183" s="382">
        <v>223.73</v>
      </c>
      <c r="X183" s="382">
        <v>98</v>
      </c>
      <c r="Y183" s="382">
        <v>26</v>
      </c>
      <c r="Z183" s="382">
        <v>53</v>
      </c>
      <c r="AA183" s="382">
        <v>41</v>
      </c>
      <c r="AB183" s="382">
        <v>9</v>
      </c>
      <c r="AC183" s="382">
        <v>7</v>
      </c>
      <c r="AD183" s="386">
        <v>8777</v>
      </c>
      <c r="AE183" s="386">
        <v>34</v>
      </c>
      <c r="AF183" s="386">
        <v>180</v>
      </c>
      <c r="AG183" s="386">
        <v>214</v>
      </c>
    </row>
    <row r="184" spans="1:33" x14ac:dyDescent="0.35">
      <c r="A184" s="381" t="s">
        <v>428</v>
      </c>
      <c r="B184" s="387" t="s">
        <v>429</v>
      </c>
      <c r="C184" s="383">
        <v>12341</v>
      </c>
      <c r="D184" s="383">
        <v>22</v>
      </c>
      <c r="E184" s="383">
        <v>797</v>
      </c>
      <c r="F184" s="383">
        <v>950</v>
      </c>
      <c r="G184" s="383">
        <v>2483</v>
      </c>
      <c r="H184" s="383">
        <v>16593</v>
      </c>
      <c r="I184" s="382">
        <v>14110</v>
      </c>
      <c r="J184" s="382">
        <v>53</v>
      </c>
      <c r="K184" s="384">
        <v>121.7</v>
      </c>
      <c r="L184" s="384">
        <v>115.4</v>
      </c>
      <c r="M184" s="384">
        <v>11.85</v>
      </c>
      <c r="N184" s="384">
        <v>128.1</v>
      </c>
      <c r="O184" s="385">
        <v>9527</v>
      </c>
      <c r="P184" s="382">
        <v>102.78</v>
      </c>
      <c r="Q184" s="382">
        <v>98.08</v>
      </c>
      <c r="R184" s="382">
        <v>41.73</v>
      </c>
      <c r="S184" s="382">
        <v>141.44</v>
      </c>
      <c r="T184" s="382">
        <v>1559</v>
      </c>
      <c r="U184" s="382">
        <v>198.86</v>
      </c>
      <c r="V184" s="382">
        <v>1167</v>
      </c>
      <c r="W184" s="382">
        <v>175.92</v>
      </c>
      <c r="X184" s="382">
        <v>12</v>
      </c>
      <c r="Y184" s="382">
        <v>4</v>
      </c>
      <c r="Z184" s="382">
        <v>0</v>
      </c>
      <c r="AA184" s="382">
        <v>27</v>
      </c>
      <c r="AB184" s="382">
        <v>173</v>
      </c>
      <c r="AC184" s="382">
        <v>92</v>
      </c>
      <c r="AD184" s="386">
        <v>11571</v>
      </c>
      <c r="AE184" s="386">
        <v>140</v>
      </c>
      <c r="AF184" s="386">
        <v>35</v>
      </c>
      <c r="AG184" s="386">
        <v>175</v>
      </c>
    </row>
    <row r="185" spans="1:33" x14ac:dyDescent="0.35">
      <c r="A185" s="381" t="s">
        <v>430</v>
      </c>
      <c r="B185" s="387" t="s">
        <v>431</v>
      </c>
      <c r="C185" s="383">
        <v>3938</v>
      </c>
      <c r="D185" s="383">
        <v>0</v>
      </c>
      <c r="E185" s="383">
        <v>75</v>
      </c>
      <c r="F185" s="383">
        <v>799</v>
      </c>
      <c r="G185" s="383">
        <v>392</v>
      </c>
      <c r="H185" s="383">
        <v>5204</v>
      </c>
      <c r="I185" s="382">
        <v>4812</v>
      </c>
      <c r="J185" s="382">
        <v>18</v>
      </c>
      <c r="K185" s="384">
        <v>83.54</v>
      </c>
      <c r="L185" s="384">
        <v>82.84</v>
      </c>
      <c r="M185" s="384">
        <v>4.0199999999999996</v>
      </c>
      <c r="N185" s="384">
        <v>86.14</v>
      </c>
      <c r="O185" s="385">
        <v>3413</v>
      </c>
      <c r="P185" s="382">
        <v>74.87</v>
      </c>
      <c r="Q185" s="382">
        <v>73.67</v>
      </c>
      <c r="R185" s="382">
        <v>19.59</v>
      </c>
      <c r="S185" s="382">
        <v>93.99</v>
      </c>
      <c r="T185" s="382">
        <v>757</v>
      </c>
      <c r="U185" s="382">
        <v>113.68</v>
      </c>
      <c r="V185" s="382">
        <v>493</v>
      </c>
      <c r="W185" s="382">
        <v>132.93</v>
      </c>
      <c r="X185" s="382">
        <v>28</v>
      </c>
      <c r="Y185" s="382">
        <v>0</v>
      </c>
      <c r="Z185" s="382">
        <v>10</v>
      </c>
      <c r="AA185" s="382">
        <v>14</v>
      </c>
      <c r="AB185" s="382">
        <v>32</v>
      </c>
      <c r="AC185" s="382">
        <v>4</v>
      </c>
      <c r="AD185" s="386">
        <v>3938</v>
      </c>
      <c r="AE185" s="386">
        <v>5</v>
      </c>
      <c r="AF185" s="386">
        <v>20</v>
      </c>
      <c r="AG185" s="386">
        <v>25</v>
      </c>
    </row>
    <row r="186" spans="1:33" x14ac:dyDescent="0.35">
      <c r="A186" s="381" t="s">
        <v>432</v>
      </c>
      <c r="B186" s="387" t="s">
        <v>433</v>
      </c>
      <c r="C186" s="383">
        <v>892</v>
      </c>
      <c r="D186" s="383">
        <v>0</v>
      </c>
      <c r="E186" s="383">
        <v>84</v>
      </c>
      <c r="F186" s="383">
        <v>119</v>
      </c>
      <c r="G186" s="383">
        <v>138</v>
      </c>
      <c r="H186" s="383">
        <v>1233</v>
      </c>
      <c r="I186" s="382">
        <v>1095</v>
      </c>
      <c r="J186" s="382">
        <v>1</v>
      </c>
      <c r="K186" s="384">
        <v>88.62</v>
      </c>
      <c r="L186" s="384">
        <v>86.6</v>
      </c>
      <c r="M186" s="384">
        <v>3.78</v>
      </c>
      <c r="N186" s="384">
        <v>90.33</v>
      </c>
      <c r="O186" s="385">
        <v>531</v>
      </c>
      <c r="P186" s="382">
        <v>100.28</v>
      </c>
      <c r="Q186" s="382">
        <v>87.6</v>
      </c>
      <c r="R186" s="382">
        <v>38.799999999999997</v>
      </c>
      <c r="S186" s="382">
        <v>135.99</v>
      </c>
      <c r="T186" s="382">
        <v>201</v>
      </c>
      <c r="U186" s="382">
        <v>96.52</v>
      </c>
      <c r="V186" s="382">
        <v>336</v>
      </c>
      <c r="W186" s="382">
        <v>0</v>
      </c>
      <c r="X186" s="382">
        <v>0</v>
      </c>
      <c r="Y186" s="382">
        <v>77</v>
      </c>
      <c r="Z186" s="382">
        <v>4</v>
      </c>
      <c r="AA186" s="382">
        <v>1</v>
      </c>
      <c r="AB186" s="382">
        <v>10</v>
      </c>
      <c r="AC186" s="382">
        <v>6</v>
      </c>
      <c r="AD186" s="386">
        <v>697</v>
      </c>
      <c r="AE186" s="386">
        <v>4</v>
      </c>
      <c r="AF186" s="386">
        <v>3</v>
      </c>
      <c r="AG186" s="386">
        <v>7</v>
      </c>
    </row>
    <row r="187" spans="1:33" x14ac:dyDescent="0.35">
      <c r="A187" s="381" t="s">
        <v>434</v>
      </c>
      <c r="B187" s="387" t="s">
        <v>435</v>
      </c>
      <c r="C187" s="383">
        <v>7960</v>
      </c>
      <c r="D187" s="383">
        <v>0</v>
      </c>
      <c r="E187" s="383">
        <v>373</v>
      </c>
      <c r="F187" s="383">
        <v>1143</v>
      </c>
      <c r="G187" s="383">
        <v>249</v>
      </c>
      <c r="H187" s="383">
        <v>9725</v>
      </c>
      <c r="I187" s="382">
        <v>9476</v>
      </c>
      <c r="J187" s="382">
        <v>0</v>
      </c>
      <c r="K187" s="384">
        <v>76.94</v>
      </c>
      <c r="L187" s="384">
        <v>76.95</v>
      </c>
      <c r="M187" s="384">
        <v>2.5</v>
      </c>
      <c r="N187" s="384">
        <v>79.28</v>
      </c>
      <c r="O187" s="385">
        <v>7891</v>
      </c>
      <c r="P187" s="382">
        <v>90.99</v>
      </c>
      <c r="Q187" s="382">
        <v>74.34</v>
      </c>
      <c r="R187" s="382">
        <v>31.84</v>
      </c>
      <c r="S187" s="382">
        <v>122.81</v>
      </c>
      <c r="T187" s="382">
        <v>1387</v>
      </c>
      <c r="U187" s="382">
        <v>90.86</v>
      </c>
      <c r="V187" s="382">
        <v>53</v>
      </c>
      <c r="W187" s="382">
        <v>0</v>
      </c>
      <c r="X187" s="382">
        <v>0</v>
      </c>
      <c r="Y187" s="382">
        <v>0</v>
      </c>
      <c r="Z187" s="382">
        <v>22</v>
      </c>
      <c r="AA187" s="382">
        <v>21</v>
      </c>
      <c r="AB187" s="382">
        <v>24</v>
      </c>
      <c r="AC187" s="382">
        <v>3</v>
      </c>
      <c r="AD187" s="386">
        <v>7958</v>
      </c>
      <c r="AE187" s="386">
        <v>72</v>
      </c>
      <c r="AF187" s="386">
        <v>126</v>
      </c>
      <c r="AG187" s="386">
        <v>198</v>
      </c>
    </row>
    <row r="188" spans="1:33" x14ac:dyDescent="0.35">
      <c r="A188" s="381" t="s">
        <v>436</v>
      </c>
      <c r="B188" s="387" t="s">
        <v>437</v>
      </c>
      <c r="C188" s="383">
        <v>9395</v>
      </c>
      <c r="D188" s="383">
        <v>0</v>
      </c>
      <c r="E188" s="383">
        <v>250</v>
      </c>
      <c r="F188" s="383">
        <v>964</v>
      </c>
      <c r="G188" s="383">
        <v>564</v>
      </c>
      <c r="H188" s="383">
        <v>11173</v>
      </c>
      <c r="I188" s="382">
        <v>10609</v>
      </c>
      <c r="J188" s="382">
        <v>464</v>
      </c>
      <c r="K188" s="384">
        <v>107.26</v>
      </c>
      <c r="L188" s="384">
        <v>113.64</v>
      </c>
      <c r="M188" s="384">
        <v>4.83</v>
      </c>
      <c r="N188" s="384">
        <v>108.79</v>
      </c>
      <c r="O188" s="385">
        <v>9085</v>
      </c>
      <c r="P188" s="382">
        <v>95.55</v>
      </c>
      <c r="Q188" s="382">
        <v>95.89</v>
      </c>
      <c r="R188" s="382">
        <v>19.45</v>
      </c>
      <c r="S188" s="382">
        <v>114.66</v>
      </c>
      <c r="T188" s="382">
        <v>1192</v>
      </c>
      <c r="U188" s="382">
        <v>136.49</v>
      </c>
      <c r="V188" s="382">
        <v>237</v>
      </c>
      <c r="W188" s="382">
        <v>0</v>
      </c>
      <c r="X188" s="382">
        <v>0</v>
      </c>
      <c r="Y188" s="382">
        <v>0</v>
      </c>
      <c r="Z188" s="382">
        <v>20</v>
      </c>
      <c r="AA188" s="382">
        <v>0</v>
      </c>
      <c r="AB188" s="382">
        <v>12</v>
      </c>
      <c r="AC188" s="382">
        <v>8</v>
      </c>
      <c r="AD188" s="386">
        <v>9343</v>
      </c>
      <c r="AE188" s="386">
        <v>29</v>
      </c>
      <c r="AF188" s="386">
        <v>20</v>
      </c>
      <c r="AG188" s="386">
        <v>49</v>
      </c>
    </row>
    <row r="189" spans="1:33" x14ac:dyDescent="0.35">
      <c r="A189" s="381" t="s">
        <v>438</v>
      </c>
      <c r="B189" s="387" t="s">
        <v>439</v>
      </c>
      <c r="C189" s="383">
        <v>1157</v>
      </c>
      <c r="D189" s="383">
        <v>0</v>
      </c>
      <c r="E189" s="383">
        <v>126</v>
      </c>
      <c r="F189" s="383">
        <v>98</v>
      </c>
      <c r="G189" s="383">
        <v>449</v>
      </c>
      <c r="H189" s="383">
        <v>1830</v>
      </c>
      <c r="I189" s="382">
        <v>1381</v>
      </c>
      <c r="J189" s="382">
        <v>0</v>
      </c>
      <c r="K189" s="384">
        <v>86.54</v>
      </c>
      <c r="L189" s="384">
        <v>85.86</v>
      </c>
      <c r="M189" s="384">
        <v>4.41</v>
      </c>
      <c r="N189" s="384">
        <v>90.11</v>
      </c>
      <c r="O189" s="385">
        <v>772</v>
      </c>
      <c r="P189" s="382">
        <v>105.95</v>
      </c>
      <c r="Q189" s="382">
        <v>84.1</v>
      </c>
      <c r="R189" s="382">
        <v>69.06</v>
      </c>
      <c r="S189" s="382">
        <v>175.01</v>
      </c>
      <c r="T189" s="382">
        <v>210</v>
      </c>
      <c r="U189" s="382">
        <v>99.81</v>
      </c>
      <c r="V189" s="382">
        <v>274</v>
      </c>
      <c r="W189" s="382">
        <v>114.26</v>
      </c>
      <c r="X189" s="382">
        <v>1</v>
      </c>
      <c r="Y189" s="382">
        <v>0</v>
      </c>
      <c r="Z189" s="382">
        <v>3</v>
      </c>
      <c r="AA189" s="382">
        <v>1</v>
      </c>
      <c r="AB189" s="382">
        <v>76</v>
      </c>
      <c r="AC189" s="382">
        <v>8</v>
      </c>
      <c r="AD189" s="386">
        <v>1074</v>
      </c>
      <c r="AE189" s="386">
        <v>6</v>
      </c>
      <c r="AF189" s="386">
        <v>0</v>
      </c>
      <c r="AG189" s="386">
        <v>6</v>
      </c>
    </row>
    <row r="190" spans="1:33" x14ac:dyDescent="0.35">
      <c r="A190" s="381" t="s">
        <v>440</v>
      </c>
      <c r="B190" s="387" t="s">
        <v>441</v>
      </c>
      <c r="C190" s="383">
        <v>10848</v>
      </c>
      <c r="D190" s="383">
        <v>2</v>
      </c>
      <c r="E190" s="383">
        <v>237</v>
      </c>
      <c r="F190" s="383">
        <v>317</v>
      </c>
      <c r="G190" s="383">
        <v>80</v>
      </c>
      <c r="H190" s="383">
        <v>11484</v>
      </c>
      <c r="I190" s="382">
        <v>11404</v>
      </c>
      <c r="J190" s="382">
        <v>4</v>
      </c>
      <c r="K190" s="384">
        <v>78.41</v>
      </c>
      <c r="L190" s="384">
        <v>78.319999999999993</v>
      </c>
      <c r="M190" s="384">
        <v>3.14</v>
      </c>
      <c r="N190" s="384">
        <v>79.98</v>
      </c>
      <c r="O190" s="385">
        <v>10354</v>
      </c>
      <c r="P190" s="382">
        <v>99</v>
      </c>
      <c r="Q190" s="382">
        <v>81.19</v>
      </c>
      <c r="R190" s="382">
        <v>59.69</v>
      </c>
      <c r="S190" s="382">
        <v>154.72</v>
      </c>
      <c r="T190" s="382">
        <v>496</v>
      </c>
      <c r="U190" s="382">
        <v>95.18</v>
      </c>
      <c r="V190" s="382">
        <v>451</v>
      </c>
      <c r="W190" s="382">
        <v>203.18</v>
      </c>
      <c r="X190" s="382">
        <v>50</v>
      </c>
      <c r="Y190" s="382">
        <v>0</v>
      </c>
      <c r="Z190" s="382">
        <v>44</v>
      </c>
      <c r="AA190" s="382">
        <v>0</v>
      </c>
      <c r="AB190" s="382">
        <v>3</v>
      </c>
      <c r="AC190" s="382">
        <v>1</v>
      </c>
      <c r="AD190" s="386">
        <v>10809</v>
      </c>
      <c r="AE190" s="386">
        <v>123</v>
      </c>
      <c r="AF190" s="386">
        <v>20</v>
      </c>
      <c r="AG190" s="386">
        <v>143</v>
      </c>
    </row>
    <row r="191" spans="1:33" x14ac:dyDescent="0.35">
      <c r="A191" s="381" t="s">
        <v>442</v>
      </c>
      <c r="B191" s="387" t="s">
        <v>443</v>
      </c>
      <c r="C191" s="383">
        <v>5475</v>
      </c>
      <c r="D191" s="383">
        <v>0</v>
      </c>
      <c r="E191" s="383">
        <v>156</v>
      </c>
      <c r="F191" s="383">
        <v>654</v>
      </c>
      <c r="G191" s="383">
        <v>201</v>
      </c>
      <c r="H191" s="383">
        <v>6486</v>
      </c>
      <c r="I191" s="382">
        <v>6285</v>
      </c>
      <c r="J191" s="382">
        <v>2</v>
      </c>
      <c r="K191" s="384">
        <v>87.03</v>
      </c>
      <c r="L191" s="384">
        <v>86.25</v>
      </c>
      <c r="M191" s="384">
        <v>2.37</v>
      </c>
      <c r="N191" s="384">
        <v>88.7</v>
      </c>
      <c r="O191" s="385">
        <v>4806</v>
      </c>
      <c r="P191" s="382">
        <v>83</v>
      </c>
      <c r="Q191" s="382">
        <v>74.27</v>
      </c>
      <c r="R191" s="382">
        <v>22.25</v>
      </c>
      <c r="S191" s="382">
        <v>103.95</v>
      </c>
      <c r="T191" s="382">
        <v>775</v>
      </c>
      <c r="U191" s="382">
        <v>103.99</v>
      </c>
      <c r="V191" s="382">
        <v>652</v>
      </c>
      <c r="W191" s="382">
        <v>155.12</v>
      </c>
      <c r="X191" s="382">
        <v>30</v>
      </c>
      <c r="Y191" s="382">
        <v>0</v>
      </c>
      <c r="Z191" s="382">
        <v>7</v>
      </c>
      <c r="AA191" s="382">
        <v>45</v>
      </c>
      <c r="AB191" s="382">
        <v>12</v>
      </c>
      <c r="AC191" s="382">
        <v>3</v>
      </c>
      <c r="AD191" s="386">
        <v>5464</v>
      </c>
      <c r="AE191" s="386">
        <v>17</v>
      </c>
      <c r="AF191" s="386">
        <v>40</v>
      </c>
      <c r="AG191" s="386">
        <v>57</v>
      </c>
    </row>
    <row r="192" spans="1:33" x14ac:dyDescent="0.35">
      <c r="A192" s="388" t="s">
        <v>814</v>
      </c>
      <c r="B192" s="388" t="s">
        <v>812</v>
      </c>
      <c r="C192" s="382">
        <v>13718</v>
      </c>
      <c r="D192" s="382">
        <v>198</v>
      </c>
      <c r="E192" s="382">
        <v>744</v>
      </c>
      <c r="F192" s="382">
        <v>1003</v>
      </c>
      <c r="G192" s="382">
        <v>1546</v>
      </c>
      <c r="H192" s="382">
        <v>17209</v>
      </c>
      <c r="I192" s="382">
        <v>15663</v>
      </c>
      <c r="J192" s="382">
        <v>2</v>
      </c>
      <c r="K192" s="382">
        <v>88.22</v>
      </c>
      <c r="L192" s="382">
        <v>88.45</v>
      </c>
      <c r="M192" s="382">
        <v>6.49</v>
      </c>
      <c r="N192" s="382">
        <v>91.18</v>
      </c>
      <c r="O192" s="382">
        <v>11789</v>
      </c>
      <c r="P192" s="382">
        <v>89.48</v>
      </c>
      <c r="Q192" s="382">
        <v>81.239999999999995</v>
      </c>
      <c r="R192" s="382">
        <v>48.39</v>
      </c>
      <c r="S192" s="382">
        <v>135.53</v>
      </c>
      <c r="T192" s="382">
        <v>1629</v>
      </c>
      <c r="U192" s="382">
        <v>104.06</v>
      </c>
      <c r="V192" s="382">
        <v>1542</v>
      </c>
      <c r="W192" s="382">
        <v>158.22</v>
      </c>
      <c r="X192" s="382">
        <v>7</v>
      </c>
      <c r="Y192" s="382">
        <v>0</v>
      </c>
      <c r="Z192" s="382">
        <v>56</v>
      </c>
      <c r="AA192" s="382">
        <v>15</v>
      </c>
      <c r="AB192" s="382">
        <v>106</v>
      </c>
      <c r="AC192" s="382">
        <v>15</v>
      </c>
      <c r="AD192" s="382">
        <v>13634</v>
      </c>
      <c r="AE192" s="382">
        <v>95</v>
      </c>
      <c r="AF192" s="382">
        <v>73</v>
      </c>
      <c r="AG192" s="382">
        <v>168</v>
      </c>
    </row>
    <row r="193" spans="1:33" x14ac:dyDescent="0.35">
      <c r="A193" s="381" t="s">
        <v>444</v>
      </c>
      <c r="B193" s="387" t="s">
        <v>445</v>
      </c>
      <c r="C193" s="383">
        <v>8372</v>
      </c>
      <c r="D193" s="383">
        <v>66</v>
      </c>
      <c r="E193" s="383">
        <v>350</v>
      </c>
      <c r="F193" s="383">
        <v>632</v>
      </c>
      <c r="G193" s="383">
        <v>553</v>
      </c>
      <c r="H193" s="383">
        <v>9973</v>
      </c>
      <c r="I193" s="382">
        <v>9420</v>
      </c>
      <c r="J193" s="382">
        <v>13</v>
      </c>
      <c r="K193" s="384">
        <v>92.59</v>
      </c>
      <c r="L193" s="384">
        <v>92.26</v>
      </c>
      <c r="M193" s="384">
        <v>5.75</v>
      </c>
      <c r="N193" s="384">
        <v>98.16</v>
      </c>
      <c r="O193" s="385">
        <v>7340</v>
      </c>
      <c r="P193" s="382">
        <v>99.01</v>
      </c>
      <c r="Q193" s="382">
        <v>90.77</v>
      </c>
      <c r="R193" s="382">
        <v>66.87</v>
      </c>
      <c r="S193" s="382">
        <v>165.54</v>
      </c>
      <c r="T193" s="382">
        <v>800</v>
      </c>
      <c r="U193" s="382">
        <v>124.11</v>
      </c>
      <c r="V193" s="382">
        <v>907</v>
      </c>
      <c r="W193" s="382">
        <v>179.77</v>
      </c>
      <c r="X193" s="382">
        <v>48</v>
      </c>
      <c r="Y193" s="382">
        <v>0</v>
      </c>
      <c r="Z193" s="382">
        <v>21</v>
      </c>
      <c r="AA193" s="382">
        <v>3</v>
      </c>
      <c r="AB193" s="382">
        <v>41</v>
      </c>
      <c r="AC193" s="382">
        <v>9</v>
      </c>
      <c r="AD193" s="386">
        <v>8255</v>
      </c>
      <c r="AE193" s="386">
        <v>39</v>
      </c>
      <c r="AF193" s="386">
        <v>76</v>
      </c>
      <c r="AG193" s="386">
        <v>115</v>
      </c>
    </row>
    <row r="194" spans="1:33" x14ac:dyDescent="0.35">
      <c r="A194" s="381" t="s">
        <v>446</v>
      </c>
      <c r="B194" s="387" t="s">
        <v>447</v>
      </c>
      <c r="C194" s="383">
        <v>4343</v>
      </c>
      <c r="D194" s="383">
        <v>0</v>
      </c>
      <c r="E194" s="383">
        <v>523</v>
      </c>
      <c r="F194" s="383">
        <v>1279</v>
      </c>
      <c r="G194" s="383">
        <v>374</v>
      </c>
      <c r="H194" s="383">
        <v>6519</v>
      </c>
      <c r="I194" s="382">
        <v>6145</v>
      </c>
      <c r="J194" s="382">
        <v>0</v>
      </c>
      <c r="K194" s="384">
        <v>80.400000000000006</v>
      </c>
      <c r="L194" s="384">
        <v>76.98</v>
      </c>
      <c r="M194" s="384">
        <v>8.0399999999999991</v>
      </c>
      <c r="N194" s="384">
        <v>86.81</v>
      </c>
      <c r="O194" s="385">
        <v>3242</v>
      </c>
      <c r="P194" s="382">
        <v>90.77</v>
      </c>
      <c r="Q194" s="382">
        <v>75.239999999999995</v>
      </c>
      <c r="R194" s="382">
        <v>50.91</v>
      </c>
      <c r="S194" s="382">
        <v>141.11000000000001</v>
      </c>
      <c r="T194" s="382">
        <v>1540</v>
      </c>
      <c r="U194" s="382">
        <v>99.26</v>
      </c>
      <c r="V194" s="382">
        <v>900</v>
      </c>
      <c r="W194" s="382">
        <v>158.26</v>
      </c>
      <c r="X194" s="382">
        <v>131</v>
      </c>
      <c r="Y194" s="382">
        <v>0</v>
      </c>
      <c r="Z194" s="382">
        <v>0</v>
      </c>
      <c r="AA194" s="382">
        <v>2</v>
      </c>
      <c r="AB194" s="382">
        <v>48</v>
      </c>
      <c r="AC194" s="382">
        <v>4</v>
      </c>
      <c r="AD194" s="386">
        <v>4163</v>
      </c>
      <c r="AE194" s="386">
        <v>53</v>
      </c>
      <c r="AF194" s="386">
        <v>20</v>
      </c>
      <c r="AG194" s="386">
        <v>73</v>
      </c>
    </row>
    <row r="195" spans="1:33" x14ac:dyDescent="0.35">
      <c r="A195" s="381" t="s">
        <v>448</v>
      </c>
      <c r="B195" s="387" t="s">
        <v>449</v>
      </c>
      <c r="C195" s="383">
        <v>1076</v>
      </c>
      <c r="D195" s="383">
        <v>0</v>
      </c>
      <c r="E195" s="383">
        <v>13</v>
      </c>
      <c r="F195" s="383">
        <v>46</v>
      </c>
      <c r="G195" s="383">
        <v>235</v>
      </c>
      <c r="H195" s="383">
        <v>1370</v>
      </c>
      <c r="I195" s="382">
        <v>1135</v>
      </c>
      <c r="J195" s="382">
        <v>0</v>
      </c>
      <c r="K195" s="384">
        <v>96.13</v>
      </c>
      <c r="L195" s="384">
        <v>94.31</v>
      </c>
      <c r="M195" s="384">
        <v>5.59</v>
      </c>
      <c r="N195" s="384">
        <v>99.31</v>
      </c>
      <c r="O195" s="385">
        <v>846</v>
      </c>
      <c r="P195" s="382">
        <v>86.8</v>
      </c>
      <c r="Q195" s="382">
        <v>85.87</v>
      </c>
      <c r="R195" s="382">
        <v>28.05</v>
      </c>
      <c r="S195" s="382">
        <v>111.61</v>
      </c>
      <c r="T195" s="382">
        <v>52</v>
      </c>
      <c r="U195" s="382">
        <v>110.45</v>
      </c>
      <c r="V195" s="382">
        <v>227</v>
      </c>
      <c r="W195" s="382">
        <v>0</v>
      </c>
      <c r="X195" s="382">
        <v>0</v>
      </c>
      <c r="Y195" s="382">
        <v>0</v>
      </c>
      <c r="Z195" s="382">
        <v>3</v>
      </c>
      <c r="AA195" s="382">
        <v>0</v>
      </c>
      <c r="AB195" s="382">
        <v>3</v>
      </c>
      <c r="AC195" s="382">
        <v>3</v>
      </c>
      <c r="AD195" s="386">
        <v>1072</v>
      </c>
      <c r="AE195" s="386">
        <v>6</v>
      </c>
      <c r="AF195" s="386">
        <v>1</v>
      </c>
      <c r="AG195" s="386">
        <v>7</v>
      </c>
    </row>
    <row r="196" spans="1:33" x14ac:dyDescent="0.35">
      <c r="A196" s="381" t="s">
        <v>450</v>
      </c>
      <c r="B196" s="387" t="s">
        <v>451</v>
      </c>
      <c r="C196" s="383">
        <v>1989</v>
      </c>
      <c r="D196" s="383">
        <v>2</v>
      </c>
      <c r="E196" s="383">
        <v>61</v>
      </c>
      <c r="F196" s="383">
        <v>113</v>
      </c>
      <c r="G196" s="383">
        <v>447</v>
      </c>
      <c r="H196" s="383">
        <v>2612</v>
      </c>
      <c r="I196" s="382">
        <v>2165</v>
      </c>
      <c r="J196" s="382">
        <v>0</v>
      </c>
      <c r="K196" s="384">
        <v>86.08</v>
      </c>
      <c r="L196" s="384">
        <v>85.72</v>
      </c>
      <c r="M196" s="384">
        <v>6.42</v>
      </c>
      <c r="N196" s="384">
        <v>91.47</v>
      </c>
      <c r="O196" s="385">
        <v>1420</v>
      </c>
      <c r="P196" s="382">
        <v>88.18</v>
      </c>
      <c r="Q196" s="382">
        <v>95.24</v>
      </c>
      <c r="R196" s="382">
        <v>59.21</v>
      </c>
      <c r="S196" s="382">
        <v>145.08000000000001</v>
      </c>
      <c r="T196" s="382">
        <v>154</v>
      </c>
      <c r="U196" s="382">
        <v>101.39</v>
      </c>
      <c r="V196" s="382">
        <v>550</v>
      </c>
      <c r="W196" s="382">
        <v>0</v>
      </c>
      <c r="X196" s="382">
        <v>0</v>
      </c>
      <c r="Y196" s="382">
        <v>0</v>
      </c>
      <c r="Z196" s="382">
        <v>1</v>
      </c>
      <c r="AA196" s="382">
        <v>0</v>
      </c>
      <c r="AB196" s="382">
        <v>5</v>
      </c>
      <c r="AC196" s="382">
        <v>7</v>
      </c>
      <c r="AD196" s="386">
        <v>1989</v>
      </c>
      <c r="AE196" s="386">
        <v>21</v>
      </c>
      <c r="AF196" s="386">
        <v>11</v>
      </c>
      <c r="AG196" s="386">
        <v>32</v>
      </c>
    </row>
    <row r="197" spans="1:33" x14ac:dyDescent="0.35">
      <c r="A197" s="381" t="s">
        <v>452</v>
      </c>
      <c r="B197" s="387" t="s">
        <v>453</v>
      </c>
      <c r="C197" s="383">
        <v>14608</v>
      </c>
      <c r="D197" s="383">
        <v>8</v>
      </c>
      <c r="E197" s="383">
        <v>402</v>
      </c>
      <c r="F197" s="383">
        <v>2870</v>
      </c>
      <c r="G197" s="383">
        <v>528</v>
      </c>
      <c r="H197" s="383">
        <v>18416</v>
      </c>
      <c r="I197" s="382">
        <v>17888</v>
      </c>
      <c r="J197" s="382">
        <v>0</v>
      </c>
      <c r="K197" s="384">
        <v>73.97</v>
      </c>
      <c r="L197" s="384">
        <v>71.400000000000006</v>
      </c>
      <c r="M197" s="384">
        <v>2.37</v>
      </c>
      <c r="N197" s="384">
        <v>75.14</v>
      </c>
      <c r="O197" s="385">
        <v>13057</v>
      </c>
      <c r="P197" s="382">
        <v>75.08</v>
      </c>
      <c r="Q197" s="382">
        <v>66.540000000000006</v>
      </c>
      <c r="R197" s="382">
        <v>27.16</v>
      </c>
      <c r="S197" s="382">
        <v>98.35</v>
      </c>
      <c r="T197" s="382">
        <v>3126</v>
      </c>
      <c r="U197" s="382">
        <v>96.99</v>
      </c>
      <c r="V197" s="382">
        <v>1292</v>
      </c>
      <c r="W197" s="382">
        <v>135.13999999999999</v>
      </c>
      <c r="X197" s="382">
        <v>80</v>
      </c>
      <c r="Y197" s="382">
        <v>0</v>
      </c>
      <c r="Z197" s="382">
        <v>47</v>
      </c>
      <c r="AA197" s="382">
        <v>1</v>
      </c>
      <c r="AB197" s="382">
        <v>71</v>
      </c>
      <c r="AC197" s="382">
        <v>6</v>
      </c>
      <c r="AD197" s="386">
        <v>14350</v>
      </c>
      <c r="AE197" s="386">
        <v>209</v>
      </c>
      <c r="AF197" s="386">
        <v>96</v>
      </c>
      <c r="AG197" s="386">
        <v>305</v>
      </c>
    </row>
    <row r="198" spans="1:33" x14ac:dyDescent="0.35">
      <c r="A198" s="381" t="s">
        <v>454</v>
      </c>
      <c r="B198" s="387" t="s">
        <v>455</v>
      </c>
      <c r="C198" s="383">
        <v>4052</v>
      </c>
      <c r="D198" s="383">
        <v>0</v>
      </c>
      <c r="E198" s="383">
        <v>519</v>
      </c>
      <c r="F198" s="383">
        <v>1172</v>
      </c>
      <c r="G198" s="383">
        <v>275</v>
      </c>
      <c r="H198" s="383">
        <v>6018</v>
      </c>
      <c r="I198" s="382">
        <v>5743</v>
      </c>
      <c r="J198" s="382">
        <v>0</v>
      </c>
      <c r="K198" s="384">
        <v>87.2</v>
      </c>
      <c r="L198" s="384">
        <v>86.85</v>
      </c>
      <c r="M198" s="384">
        <v>6.61</v>
      </c>
      <c r="N198" s="384">
        <v>92.52</v>
      </c>
      <c r="O198" s="385">
        <v>3486</v>
      </c>
      <c r="P198" s="382">
        <v>89.15</v>
      </c>
      <c r="Q198" s="382">
        <v>80.56</v>
      </c>
      <c r="R198" s="382">
        <v>43.84</v>
      </c>
      <c r="S198" s="382">
        <v>131.36000000000001</v>
      </c>
      <c r="T198" s="382">
        <v>996</v>
      </c>
      <c r="U198" s="382">
        <v>105.89</v>
      </c>
      <c r="V198" s="382">
        <v>471</v>
      </c>
      <c r="W198" s="382">
        <v>227.05</v>
      </c>
      <c r="X198" s="382">
        <v>2</v>
      </c>
      <c r="Y198" s="382">
        <v>42</v>
      </c>
      <c r="Z198" s="382">
        <v>0</v>
      </c>
      <c r="AA198" s="382">
        <v>3</v>
      </c>
      <c r="AB198" s="382">
        <v>11</v>
      </c>
      <c r="AC198" s="382">
        <v>8</v>
      </c>
      <c r="AD198" s="386">
        <v>4037</v>
      </c>
      <c r="AE198" s="386">
        <v>25</v>
      </c>
      <c r="AF198" s="386">
        <v>60</v>
      </c>
      <c r="AG198" s="386">
        <v>85</v>
      </c>
    </row>
    <row r="199" spans="1:33" x14ac:dyDescent="0.35">
      <c r="A199" s="381" t="s">
        <v>456</v>
      </c>
      <c r="B199" s="387" t="s">
        <v>457</v>
      </c>
      <c r="C199" s="383">
        <v>6684</v>
      </c>
      <c r="D199" s="383">
        <v>150</v>
      </c>
      <c r="E199" s="383">
        <v>1266</v>
      </c>
      <c r="F199" s="383">
        <v>2245</v>
      </c>
      <c r="G199" s="383">
        <v>301</v>
      </c>
      <c r="H199" s="383">
        <v>10646</v>
      </c>
      <c r="I199" s="382">
        <v>10345</v>
      </c>
      <c r="J199" s="382">
        <v>25</v>
      </c>
      <c r="K199" s="384">
        <v>83.68</v>
      </c>
      <c r="L199" s="384">
        <v>80.87</v>
      </c>
      <c r="M199" s="384">
        <v>6.54</v>
      </c>
      <c r="N199" s="384">
        <v>87.96</v>
      </c>
      <c r="O199" s="385">
        <v>5756</v>
      </c>
      <c r="P199" s="382">
        <v>83.51</v>
      </c>
      <c r="Q199" s="382">
        <v>77.02</v>
      </c>
      <c r="R199" s="382">
        <v>77.290000000000006</v>
      </c>
      <c r="S199" s="382">
        <v>158.88999999999999</v>
      </c>
      <c r="T199" s="382">
        <v>2874</v>
      </c>
      <c r="U199" s="382">
        <v>101.93</v>
      </c>
      <c r="V199" s="382">
        <v>488</v>
      </c>
      <c r="W199" s="382">
        <v>188.44</v>
      </c>
      <c r="X199" s="382">
        <v>178</v>
      </c>
      <c r="Y199" s="382">
        <v>0</v>
      </c>
      <c r="Z199" s="382">
        <v>62</v>
      </c>
      <c r="AA199" s="382">
        <v>29</v>
      </c>
      <c r="AB199" s="382">
        <v>0</v>
      </c>
      <c r="AC199" s="382">
        <v>13</v>
      </c>
      <c r="AD199" s="386">
        <v>6612</v>
      </c>
      <c r="AE199" s="386">
        <v>39</v>
      </c>
      <c r="AF199" s="386">
        <v>34</v>
      </c>
      <c r="AG199" s="386">
        <v>73</v>
      </c>
    </row>
    <row r="200" spans="1:33" x14ac:dyDescent="0.35">
      <c r="A200" s="381" t="s">
        <v>458</v>
      </c>
      <c r="B200" s="387" t="s">
        <v>459</v>
      </c>
      <c r="C200" s="383">
        <v>2252</v>
      </c>
      <c r="D200" s="383">
        <v>0</v>
      </c>
      <c r="E200" s="383">
        <v>230</v>
      </c>
      <c r="F200" s="383">
        <v>332</v>
      </c>
      <c r="G200" s="383">
        <v>387</v>
      </c>
      <c r="H200" s="383">
        <v>3201</v>
      </c>
      <c r="I200" s="382">
        <v>2814</v>
      </c>
      <c r="J200" s="382">
        <v>10</v>
      </c>
      <c r="K200" s="384">
        <v>94.45</v>
      </c>
      <c r="L200" s="384">
        <v>92.29</v>
      </c>
      <c r="M200" s="384">
        <v>7.4</v>
      </c>
      <c r="N200" s="384">
        <v>100.6</v>
      </c>
      <c r="O200" s="385">
        <v>1668</v>
      </c>
      <c r="P200" s="382">
        <v>113.09</v>
      </c>
      <c r="Q200" s="382">
        <v>85.89</v>
      </c>
      <c r="R200" s="382">
        <v>55.67</v>
      </c>
      <c r="S200" s="382">
        <v>167.2</v>
      </c>
      <c r="T200" s="382">
        <v>429</v>
      </c>
      <c r="U200" s="382">
        <v>113.95</v>
      </c>
      <c r="V200" s="382">
        <v>566</v>
      </c>
      <c r="W200" s="382">
        <v>181.03</v>
      </c>
      <c r="X200" s="382">
        <v>60</v>
      </c>
      <c r="Y200" s="382">
        <v>0</v>
      </c>
      <c r="Z200" s="382">
        <v>12</v>
      </c>
      <c r="AA200" s="382">
        <v>0</v>
      </c>
      <c r="AB200" s="382">
        <v>39</v>
      </c>
      <c r="AC200" s="382">
        <v>13</v>
      </c>
      <c r="AD200" s="386">
        <v>2252</v>
      </c>
      <c r="AE200" s="386">
        <v>24</v>
      </c>
      <c r="AF200" s="386">
        <v>13</v>
      </c>
      <c r="AG200" s="386">
        <v>37</v>
      </c>
    </row>
    <row r="201" spans="1:33" x14ac:dyDescent="0.35">
      <c r="A201" s="381" t="s">
        <v>460</v>
      </c>
      <c r="B201" s="387" t="s">
        <v>461</v>
      </c>
      <c r="C201" s="383">
        <v>516</v>
      </c>
      <c r="D201" s="383">
        <v>0</v>
      </c>
      <c r="E201" s="383">
        <v>64</v>
      </c>
      <c r="F201" s="383">
        <v>95</v>
      </c>
      <c r="G201" s="383">
        <v>117</v>
      </c>
      <c r="H201" s="383">
        <v>792</v>
      </c>
      <c r="I201" s="382">
        <v>675</v>
      </c>
      <c r="J201" s="382">
        <v>1</v>
      </c>
      <c r="K201" s="384">
        <v>90.2</v>
      </c>
      <c r="L201" s="384">
        <v>88.66</v>
      </c>
      <c r="M201" s="384">
        <v>5.18</v>
      </c>
      <c r="N201" s="384">
        <v>93.08</v>
      </c>
      <c r="O201" s="385">
        <v>281</v>
      </c>
      <c r="P201" s="382">
        <v>109.73</v>
      </c>
      <c r="Q201" s="382">
        <v>84.65</v>
      </c>
      <c r="R201" s="382">
        <v>46.12</v>
      </c>
      <c r="S201" s="382">
        <v>155.85</v>
      </c>
      <c r="T201" s="382">
        <v>141</v>
      </c>
      <c r="U201" s="382">
        <v>108.07</v>
      </c>
      <c r="V201" s="382">
        <v>142</v>
      </c>
      <c r="W201" s="382">
        <v>0</v>
      </c>
      <c r="X201" s="382">
        <v>0</v>
      </c>
      <c r="Y201" s="382">
        <v>0</v>
      </c>
      <c r="Z201" s="382">
        <v>1</v>
      </c>
      <c r="AA201" s="382">
        <v>0</v>
      </c>
      <c r="AB201" s="382">
        <v>5</v>
      </c>
      <c r="AC201" s="382">
        <v>2</v>
      </c>
      <c r="AD201" s="386">
        <v>481</v>
      </c>
      <c r="AE201" s="386">
        <v>4</v>
      </c>
      <c r="AF201" s="386">
        <v>2</v>
      </c>
      <c r="AG201" s="386">
        <v>6</v>
      </c>
    </row>
    <row r="202" spans="1:33" x14ac:dyDescent="0.35">
      <c r="A202" s="381" t="s">
        <v>462</v>
      </c>
      <c r="B202" s="387" t="s">
        <v>463</v>
      </c>
      <c r="C202" s="383">
        <v>17187</v>
      </c>
      <c r="D202" s="383">
        <v>2</v>
      </c>
      <c r="E202" s="383">
        <v>568</v>
      </c>
      <c r="F202" s="383">
        <v>749</v>
      </c>
      <c r="G202" s="383">
        <v>269</v>
      </c>
      <c r="H202" s="383">
        <v>18775</v>
      </c>
      <c r="I202" s="382">
        <v>18506</v>
      </c>
      <c r="J202" s="382">
        <v>106</v>
      </c>
      <c r="K202" s="384">
        <v>76.099999999999994</v>
      </c>
      <c r="L202" s="384">
        <v>75.989999999999995</v>
      </c>
      <c r="M202" s="384">
        <v>4.54</v>
      </c>
      <c r="N202" s="384">
        <v>78.45</v>
      </c>
      <c r="O202" s="385">
        <v>15183</v>
      </c>
      <c r="P202" s="382">
        <v>77.02</v>
      </c>
      <c r="Q202" s="382">
        <v>75.23</v>
      </c>
      <c r="R202" s="382">
        <v>28.94</v>
      </c>
      <c r="S202" s="382">
        <v>103.32</v>
      </c>
      <c r="T202" s="382">
        <v>1260</v>
      </c>
      <c r="U202" s="382">
        <v>96.69</v>
      </c>
      <c r="V202" s="382">
        <v>1403</v>
      </c>
      <c r="W202" s="382">
        <v>0</v>
      </c>
      <c r="X202" s="382">
        <v>0</v>
      </c>
      <c r="Y202" s="382">
        <v>0</v>
      </c>
      <c r="Z202" s="382">
        <v>86</v>
      </c>
      <c r="AA202" s="382">
        <v>4</v>
      </c>
      <c r="AB202" s="382">
        <v>31</v>
      </c>
      <c r="AC202" s="382">
        <v>2</v>
      </c>
      <c r="AD202" s="386">
        <v>16536</v>
      </c>
      <c r="AE202" s="386">
        <v>47</v>
      </c>
      <c r="AF202" s="386">
        <v>101</v>
      </c>
      <c r="AG202" s="386">
        <v>148</v>
      </c>
    </row>
    <row r="203" spans="1:33" x14ac:dyDescent="0.35">
      <c r="A203" s="381" t="s">
        <v>464</v>
      </c>
      <c r="B203" s="387" t="s">
        <v>465</v>
      </c>
      <c r="C203" s="383">
        <v>3093</v>
      </c>
      <c r="D203" s="383">
        <v>2</v>
      </c>
      <c r="E203" s="383">
        <v>459</v>
      </c>
      <c r="F203" s="383">
        <v>858</v>
      </c>
      <c r="G203" s="383">
        <v>682</v>
      </c>
      <c r="H203" s="383">
        <v>5094</v>
      </c>
      <c r="I203" s="382">
        <v>4412</v>
      </c>
      <c r="J203" s="382">
        <v>7</v>
      </c>
      <c r="K203" s="384">
        <v>112.45</v>
      </c>
      <c r="L203" s="384">
        <v>107.93</v>
      </c>
      <c r="M203" s="384">
        <v>7</v>
      </c>
      <c r="N203" s="384">
        <v>117.84</v>
      </c>
      <c r="O203" s="385">
        <v>2932</v>
      </c>
      <c r="P203" s="382">
        <v>103.96</v>
      </c>
      <c r="Q203" s="382">
        <v>93.42</v>
      </c>
      <c r="R203" s="382">
        <v>48.12</v>
      </c>
      <c r="S203" s="382">
        <v>151.22999999999999</v>
      </c>
      <c r="T203" s="382">
        <v>1262</v>
      </c>
      <c r="U203" s="382">
        <v>165.92</v>
      </c>
      <c r="V203" s="382">
        <v>76</v>
      </c>
      <c r="W203" s="382">
        <v>0</v>
      </c>
      <c r="X203" s="382">
        <v>0</v>
      </c>
      <c r="Y203" s="382">
        <v>0</v>
      </c>
      <c r="Z203" s="382">
        <v>1</v>
      </c>
      <c r="AA203" s="382">
        <v>97</v>
      </c>
      <c r="AB203" s="382">
        <v>20</v>
      </c>
      <c r="AC203" s="382">
        <v>11</v>
      </c>
      <c r="AD203" s="386">
        <v>3021</v>
      </c>
      <c r="AE203" s="386">
        <v>16</v>
      </c>
      <c r="AF203" s="386">
        <v>57</v>
      </c>
      <c r="AG203" s="386">
        <v>73</v>
      </c>
    </row>
    <row r="204" spans="1:33" x14ac:dyDescent="0.35">
      <c r="A204" s="381" t="s">
        <v>466</v>
      </c>
      <c r="B204" s="387" t="s">
        <v>467</v>
      </c>
      <c r="C204" s="383">
        <v>4224</v>
      </c>
      <c r="D204" s="383">
        <v>0</v>
      </c>
      <c r="E204" s="383">
        <v>237</v>
      </c>
      <c r="F204" s="383">
        <v>198</v>
      </c>
      <c r="G204" s="383">
        <v>12</v>
      </c>
      <c r="H204" s="383">
        <v>4671</v>
      </c>
      <c r="I204" s="382">
        <v>4659</v>
      </c>
      <c r="J204" s="382">
        <v>5</v>
      </c>
      <c r="K204" s="384">
        <v>72.459999999999994</v>
      </c>
      <c r="L204" s="384">
        <v>69.77</v>
      </c>
      <c r="M204" s="384">
        <v>1.79</v>
      </c>
      <c r="N204" s="384">
        <v>74.069999999999993</v>
      </c>
      <c r="O204" s="385">
        <v>3742</v>
      </c>
      <c r="P204" s="382">
        <v>94.82</v>
      </c>
      <c r="Q204" s="382">
        <v>75.849999999999994</v>
      </c>
      <c r="R204" s="382">
        <v>48.05</v>
      </c>
      <c r="S204" s="382">
        <v>142.56</v>
      </c>
      <c r="T204" s="382">
        <v>311</v>
      </c>
      <c r="U204" s="382">
        <v>92.68</v>
      </c>
      <c r="V204" s="382">
        <v>467</v>
      </c>
      <c r="W204" s="382">
        <v>179.9</v>
      </c>
      <c r="X204" s="382">
        <v>24</v>
      </c>
      <c r="Y204" s="382">
        <v>0</v>
      </c>
      <c r="Z204" s="382">
        <v>17</v>
      </c>
      <c r="AA204" s="382">
        <v>10</v>
      </c>
      <c r="AB204" s="382">
        <v>5</v>
      </c>
      <c r="AC204" s="382">
        <v>0</v>
      </c>
      <c r="AD204" s="386">
        <v>4220</v>
      </c>
      <c r="AE204" s="386">
        <v>47</v>
      </c>
      <c r="AF204" s="386">
        <v>21</v>
      </c>
      <c r="AG204" s="386">
        <v>68</v>
      </c>
    </row>
    <row r="205" spans="1:33" x14ac:dyDescent="0.35">
      <c r="A205" s="381" t="s">
        <v>468</v>
      </c>
      <c r="B205" s="387" t="s">
        <v>469</v>
      </c>
      <c r="C205" s="383">
        <v>13094</v>
      </c>
      <c r="D205" s="383">
        <v>29</v>
      </c>
      <c r="E205" s="383">
        <v>595</v>
      </c>
      <c r="F205" s="383">
        <v>2293</v>
      </c>
      <c r="G205" s="383">
        <v>1016</v>
      </c>
      <c r="H205" s="383">
        <v>17027</v>
      </c>
      <c r="I205" s="382">
        <v>16011</v>
      </c>
      <c r="J205" s="382">
        <v>8</v>
      </c>
      <c r="K205" s="384">
        <v>85.02</v>
      </c>
      <c r="L205" s="384">
        <v>85.33</v>
      </c>
      <c r="M205" s="384">
        <v>6.09</v>
      </c>
      <c r="N205" s="384">
        <v>88.08</v>
      </c>
      <c r="O205" s="385">
        <v>11204</v>
      </c>
      <c r="P205" s="382">
        <v>90.92</v>
      </c>
      <c r="Q205" s="382">
        <v>85.36</v>
      </c>
      <c r="R205" s="382">
        <v>36.44</v>
      </c>
      <c r="S205" s="382">
        <v>125.78</v>
      </c>
      <c r="T205" s="382">
        <v>2557</v>
      </c>
      <c r="U205" s="382">
        <v>105.73</v>
      </c>
      <c r="V205" s="382">
        <v>1616</v>
      </c>
      <c r="W205" s="382">
        <v>199.76</v>
      </c>
      <c r="X205" s="382">
        <v>87</v>
      </c>
      <c r="Y205" s="382">
        <v>0</v>
      </c>
      <c r="Z205" s="382">
        <v>50</v>
      </c>
      <c r="AA205" s="382">
        <v>2</v>
      </c>
      <c r="AB205" s="382">
        <v>75</v>
      </c>
      <c r="AC205" s="382">
        <v>23</v>
      </c>
      <c r="AD205" s="386">
        <v>13094</v>
      </c>
      <c r="AE205" s="386">
        <v>79</v>
      </c>
      <c r="AF205" s="386">
        <v>37</v>
      </c>
      <c r="AG205" s="386">
        <v>116</v>
      </c>
    </row>
    <row r="206" spans="1:33" x14ac:dyDescent="0.35">
      <c r="A206" s="381" t="s">
        <v>470</v>
      </c>
      <c r="B206" s="387" t="s">
        <v>471</v>
      </c>
      <c r="C206" s="383">
        <v>19323</v>
      </c>
      <c r="D206" s="383">
        <v>0</v>
      </c>
      <c r="E206" s="383">
        <v>2442</v>
      </c>
      <c r="F206" s="383">
        <v>1063</v>
      </c>
      <c r="G206" s="383">
        <v>1207</v>
      </c>
      <c r="H206" s="383">
        <v>24035</v>
      </c>
      <c r="I206" s="382">
        <v>22828</v>
      </c>
      <c r="J206" s="382">
        <v>231</v>
      </c>
      <c r="K206" s="384">
        <v>74.33</v>
      </c>
      <c r="L206" s="384">
        <v>73.87</v>
      </c>
      <c r="M206" s="384">
        <v>6.79</v>
      </c>
      <c r="N206" s="384">
        <v>78.569999999999993</v>
      </c>
      <c r="O206" s="385">
        <v>14550</v>
      </c>
      <c r="P206" s="382">
        <v>70.88</v>
      </c>
      <c r="Q206" s="382">
        <v>69.16</v>
      </c>
      <c r="R206" s="382">
        <v>27.77</v>
      </c>
      <c r="S206" s="382">
        <v>96.51</v>
      </c>
      <c r="T206" s="382">
        <v>2967</v>
      </c>
      <c r="U206" s="382">
        <v>105.35</v>
      </c>
      <c r="V206" s="382">
        <v>4134</v>
      </c>
      <c r="W206" s="382">
        <v>101.28</v>
      </c>
      <c r="X206" s="382">
        <v>435</v>
      </c>
      <c r="Y206" s="382">
        <v>0</v>
      </c>
      <c r="Z206" s="382">
        <v>59</v>
      </c>
      <c r="AA206" s="382">
        <v>41</v>
      </c>
      <c r="AB206" s="382">
        <v>78</v>
      </c>
      <c r="AC206" s="382">
        <v>36</v>
      </c>
      <c r="AD206" s="386">
        <v>18743</v>
      </c>
      <c r="AE206" s="386">
        <v>143</v>
      </c>
      <c r="AF206" s="386">
        <v>407</v>
      </c>
      <c r="AG206" s="386">
        <v>550</v>
      </c>
    </row>
    <row r="207" spans="1:33" x14ac:dyDescent="0.35">
      <c r="A207" s="381" t="s">
        <v>472</v>
      </c>
      <c r="B207" s="387" t="s">
        <v>473</v>
      </c>
      <c r="C207" s="383">
        <v>4854</v>
      </c>
      <c r="D207" s="383">
        <v>36</v>
      </c>
      <c r="E207" s="383">
        <v>445</v>
      </c>
      <c r="F207" s="383">
        <v>1062</v>
      </c>
      <c r="G207" s="383">
        <v>650</v>
      </c>
      <c r="H207" s="383">
        <v>7047</v>
      </c>
      <c r="I207" s="382">
        <v>6397</v>
      </c>
      <c r="J207" s="382">
        <v>8</v>
      </c>
      <c r="K207" s="384">
        <v>97.53</v>
      </c>
      <c r="L207" s="384">
        <v>94.16</v>
      </c>
      <c r="M207" s="384">
        <v>9.2799999999999994</v>
      </c>
      <c r="N207" s="384">
        <v>104.82</v>
      </c>
      <c r="O207" s="385">
        <v>3746</v>
      </c>
      <c r="P207" s="382">
        <v>86.12</v>
      </c>
      <c r="Q207" s="382">
        <v>76.61</v>
      </c>
      <c r="R207" s="382">
        <v>28.58</v>
      </c>
      <c r="S207" s="382">
        <v>114</v>
      </c>
      <c r="T207" s="382">
        <v>570</v>
      </c>
      <c r="U207" s="382">
        <v>128.24</v>
      </c>
      <c r="V207" s="382">
        <v>823</v>
      </c>
      <c r="W207" s="382">
        <v>176.02</v>
      </c>
      <c r="X207" s="382">
        <v>275</v>
      </c>
      <c r="Y207" s="382">
        <v>2</v>
      </c>
      <c r="Z207" s="382">
        <v>2</v>
      </c>
      <c r="AA207" s="382">
        <v>1</v>
      </c>
      <c r="AB207" s="382">
        <v>15</v>
      </c>
      <c r="AC207" s="382">
        <v>27</v>
      </c>
      <c r="AD207" s="386">
        <v>4762</v>
      </c>
      <c r="AE207" s="386">
        <v>33</v>
      </c>
      <c r="AF207" s="386">
        <v>15</v>
      </c>
      <c r="AG207" s="386">
        <v>48</v>
      </c>
    </row>
    <row r="208" spans="1:33" x14ac:dyDescent="0.35">
      <c r="A208" s="381" t="s">
        <v>474</v>
      </c>
      <c r="B208" s="387" t="s">
        <v>475</v>
      </c>
      <c r="C208" s="383">
        <v>10203</v>
      </c>
      <c r="D208" s="383">
        <v>6</v>
      </c>
      <c r="E208" s="383">
        <v>585</v>
      </c>
      <c r="F208" s="383">
        <v>911</v>
      </c>
      <c r="G208" s="383">
        <v>515</v>
      </c>
      <c r="H208" s="383">
        <v>12220</v>
      </c>
      <c r="I208" s="382">
        <v>11705</v>
      </c>
      <c r="J208" s="382">
        <v>28</v>
      </c>
      <c r="K208" s="384">
        <v>77.489999999999995</v>
      </c>
      <c r="L208" s="384">
        <v>77.02</v>
      </c>
      <c r="M208" s="384">
        <v>6.63</v>
      </c>
      <c r="N208" s="384">
        <v>81.05</v>
      </c>
      <c r="O208" s="385">
        <v>9103</v>
      </c>
      <c r="P208" s="382">
        <v>80.290000000000006</v>
      </c>
      <c r="Q208" s="382">
        <v>70.69</v>
      </c>
      <c r="R208" s="382">
        <v>50.44</v>
      </c>
      <c r="S208" s="382">
        <v>125.04</v>
      </c>
      <c r="T208" s="382">
        <v>1411</v>
      </c>
      <c r="U208" s="382">
        <v>101.14</v>
      </c>
      <c r="V208" s="382">
        <v>1069</v>
      </c>
      <c r="W208" s="382">
        <v>0</v>
      </c>
      <c r="X208" s="382">
        <v>0</v>
      </c>
      <c r="Y208" s="382">
        <v>0</v>
      </c>
      <c r="Z208" s="382">
        <v>43</v>
      </c>
      <c r="AA208" s="382">
        <v>32</v>
      </c>
      <c r="AB208" s="382">
        <v>14</v>
      </c>
      <c r="AC208" s="382">
        <v>7</v>
      </c>
      <c r="AD208" s="386">
        <v>10181</v>
      </c>
      <c r="AE208" s="386">
        <v>70</v>
      </c>
      <c r="AF208" s="386">
        <v>131</v>
      </c>
      <c r="AG208" s="386">
        <v>201</v>
      </c>
    </row>
    <row r="209" spans="1:33" x14ac:dyDescent="0.35">
      <c r="A209" s="381" t="s">
        <v>476</v>
      </c>
      <c r="B209" s="387" t="s">
        <v>477</v>
      </c>
      <c r="C209" s="383">
        <v>3698</v>
      </c>
      <c r="D209" s="383">
        <v>47</v>
      </c>
      <c r="E209" s="383">
        <v>309</v>
      </c>
      <c r="F209" s="383">
        <v>493</v>
      </c>
      <c r="G209" s="383">
        <v>937</v>
      </c>
      <c r="H209" s="383">
        <v>5484</v>
      </c>
      <c r="I209" s="382">
        <v>4547</v>
      </c>
      <c r="J209" s="382">
        <v>13</v>
      </c>
      <c r="K209" s="384">
        <v>116.31</v>
      </c>
      <c r="L209" s="384">
        <v>113.99</v>
      </c>
      <c r="M209" s="384">
        <v>9.56</v>
      </c>
      <c r="N209" s="384">
        <v>125.33</v>
      </c>
      <c r="O209" s="385">
        <v>2857</v>
      </c>
      <c r="P209" s="382">
        <v>107.27</v>
      </c>
      <c r="Q209" s="382">
        <v>99.65</v>
      </c>
      <c r="R209" s="382">
        <v>76.78</v>
      </c>
      <c r="S209" s="382">
        <v>180.7</v>
      </c>
      <c r="T209" s="382">
        <v>641</v>
      </c>
      <c r="U209" s="382">
        <v>176.25</v>
      </c>
      <c r="V209" s="382">
        <v>490</v>
      </c>
      <c r="W209" s="382">
        <v>145.15</v>
      </c>
      <c r="X209" s="382">
        <v>33</v>
      </c>
      <c r="Y209" s="382">
        <v>0</v>
      </c>
      <c r="Z209" s="382">
        <v>1</v>
      </c>
      <c r="AA209" s="382">
        <v>9</v>
      </c>
      <c r="AB209" s="382">
        <v>19</v>
      </c>
      <c r="AC209" s="382">
        <v>42</v>
      </c>
      <c r="AD209" s="386">
        <v>3574</v>
      </c>
      <c r="AE209" s="386">
        <v>24</v>
      </c>
      <c r="AF209" s="386">
        <v>11</v>
      </c>
      <c r="AG209" s="386">
        <v>35</v>
      </c>
    </row>
    <row r="210" spans="1:33" x14ac:dyDescent="0.35">
      <c r="A210" s="381" t="s">
        <v>478</v>
      </c>
      <c r="B210" s="387" t="s">
        <v>479</v>
      </c>
      <c r="C210" s="383">
        <v>3493</v>
      </c>
      <c r="D210" s="383">
        <v>0</v>
      </c>
      <c r="E210" s="383">
        <v>332</v>
      </c>
      <c r="F210" s="383">
        <v>1096</v>
      </c>
      <c r="G210" s="383">
        <v>824</v>
      </c>
      <c r="H210" s="383">
        <v>5745</v>
      </c>
      <c r="I210" s="382">
        <v>4921</v>
      </c>
      <c r="J210" s="382">
        <v>1</v>
      </c>
      <c r="K210" s="384">
        <v>122.43</v>
      </c>
      <c r="L210" s="384">
        <v>120.73</v>
      </c>
      <c r="M210" s="384">
        <v>11.52</v>
      </c>
      <c r="N210" s="384">
        <v>129.11000000000001</v>
      </c>
      <c r="O210" s="385">
        <v>2860</v>
      </c>
      <c r="P210" s="382">
        <v>103.02</v>
      </c>
      <c r="Q210" s="382">
        <v>99.71</v>
      </c>
      <c r="R210" s="382">
        <v>39.25</v>
      </c>
      <c r="S210" s="382">
        <v>141.13</v>
      </c>
      <c r="T210" s="382">
        <v>1243</v>
      </c>
      <c r="U210" s="382">
        <v>186.69</v>
      </c>
      <c r="V210" s="382">
        <v>360</v>
      </c>
      <c r="W210" s="382">
        <v>95.98</v>
      </c>
      <c r="X210" s="382">
        <v>53</v>
      </c>
      <c r="Y210" s="382">
        <v>12</v>
      </c>
      <c r="Z210" s="382">
        <v>1</v>
      </c>
      <c r="AA210" s="382">
        <v>1</v>
      </c>
      <c r="AB210" s="382">
        <v>146</v>
      </c>
      <c r="AC210" s="382">
        <v>21</v>
      </c>
      <c r="AD210" s="386">
        <v>3370</v>
      </c>
      <c r="AE210" s="386">
        <v>23</v>
      </c>
      <c r="AF210" s="386">
        <v>8</v>
      </c>
      <c r="AG210" s="386">
        <v>31</v>
      </c>
    </row>
    <row r="211" spans="1:33" x14ac:dyDescent="0.35">
      <c r="A211" s="381" t="s">
        <v>480</v>
      </c>
      <c r="B211" s="387" t="s">
        <v>481</v>
      </c>
      <c r="C211" s="383">
        <v>11388</v>
      </c>
      <c r="D211" s="383">
        <v>0</v>
      </c>
      <c r="E211" s="383">
        <v>214</v>
      </c>
      <c r="F211" s="383">
        <v>629</v>
      </c>
      <c r="G211" s="383">
        <v>292</v>
      </c>
      <c r="H211" s="383">
        <v>12523</v>
      </c>
      <c r="I211" s="382">
        <v>12231</v>
      </c>
      <c r="J211" s="382">
        <v>71</v>
      </c>
      <c r="K211" s="384">
        <v>85.8</v>
      </c>
      <c r="L211" s="384">
        <v>85.98</v>
      </c>
      <c r="M211" s="384">
        <v>5.21</v>
      </c>
      <c r="N211" s="384">
        <v>88.46</v>
      </c>
      <c r="O211" s="385">
        <v>10840</v>
      </c>
      <c r="P211" s="382">
        <v>83.88</v>
      </c>
      <c r="Q211" s="382">
        <v>76.650000000000006</v>
      </c>
      <c r="R211" s="382">
        <v>51.55</v>
      </c>
      <c r="S211" s="382">
        <v>135.34</v>
      </c>
      <c r="T211" s="382">
        <v>642</v>
      </c>
      <c r="U211" s="382">
        <v>103.48</v>
      </c>
      <c r="V211" s="382">
        <v>347</v>
      </c>
      <c r="W211" s="382">
        <v>137.53</v>
      </c>
      <c r="X211" s="382">
        <v>153</v>
      </c>
      <c r="Y211" s="382">
        <v>0</v>
      </c>
      <c r="Z211" s="382">
        <v>45</v>
      </c>
      <c r="AA211" s="382">
        <v>0</v>
      </c>
      <c r="AB211" s="382">
        <v>42</v>
      </c>
      <c r="AC211" s="382">
        <v>6</v>
      </c>
      <c r="AD211" s="386">
        <v>11385</v>
      </c>
      <c r="AE211" s="386">
        <v>95</v>
      </c>
      <c r="AF211" s="386">
        <v>90</v>
      </c>
      <c r="AG211" s="386">
        <v>185</v>
      </c>
    </row>
    <row r="212" spans="1:33" x14ac:dyDescent="0.35">
      <c r="A212" s="381" t="s">
        <v>482</v>
      </c>
      <c r="B212" s="387" t="s">
        <v>483</v>
      </c>
      <c r="C212" s="383">
        <v>1871</v>
      </c>
      <c r="D212" s="383">
        <v>0</v>
      </c>
      <c r="E212" s="383">
        <v>158</v>
      </c>
      <c r="F212" s="383">
        <v>181</v>
      </c>
      <c r="G212" s="383">
        <v>244</v>
      </c>
      <c r="H212" s="383">
        <v>2454</v>
      </c>
      <c r="I212" s="382">
        <v>2210</v>
      </c>
      <c r="J212" s="382">
        <v>0</v>
      </c>
      <c r="K212" s="384">
        <v>89.38</v>
      </c>
      <c r="L212" s="384">
        <v>87.84</v>
      </c>
      <c r="M212" s="384">
        <v>4.8600000000000003</v>
      </c>
      <c r="N212" s="384">
        <v>93.51</v>
      </c>
      <c r="O212" s="385">
        <v>1465</v>
      </c>
      <c r="P212" s="382">
        <v>102.67</v>
      </c>
      <c r="Q212" s="382">
        <v>98.38</v>
      </c>
      <c r="R212" s="382">
        <v>60.22</v>
      </c>
      <c r="S212" s="382">
        <v>161.88999999999999</v>
      </c>
      <c r="T212" s="382">
        <v>242</v>
      </c>
      <c r="U212" s="382">
        <v>117.71</v>
      </c>
      <c r="V212" s="382">
        <v>197</v>
      </c>
      <c r="W212" s="382">
        <v>209.51</v>
      </c>
      <c r="X212" s="382">
        <v>44</v>
      </c>
      <c r="Y212" s="382">
        <v>0</v>
      </c>
      <c r="Z212" s="382">
        <v>5</v>
      </c>
      <c r="AA212" s="382">
        <v>1</v>
      </c>
      <c r="AB212" s="382">
        <v>23</v>
      </c>
      <c r="AC212" s="382">
        <v>3</v>
      </c>
      <c r="AD212" s="386">
        <v>1706</v>
      </c>
      <c r="AE212" s="386">
        <v>11</v>
      </c>
      <c r="AF212" s="386">
        <v>1</v>
      </c>
      <c r="AG212" s="386">
        <v>12</v>
      </c>
    </row>
    <row r="213" spans="1:33" x14ac:dyDescent="0.35">
      <c r="A213" s="381" t="s">
        <v>484</v>
      </c>
      <c r="B213" s="387" t="s">
        <v>485</v>
      </c>
      <c r="C213" s="383">
        <v>6168</v>
      </c>
      <c r="D213" s="383">
        <v>0</v>
      </c>
      <c r="E213" s="383">
        <v>390</v>
      </c>
      <c r="F213" s="383">
        <v>532</v>
      </c>
      <c r="G213" s="383">
        <v>828</v>
      </c>
      <c r="H213" s="383">
        <v>7918</v>
      </c>
      <c r="I213" s="382">
        <v>7090</v>
      </c>
      <c r="J213" s="382">
        <v>5</v>
      </c>
      <c r="K213" s="384">
        <v>116.83</v>
      </c>
      <c r="L213" s="384">
        <v>117</v>
      </c>
      <c r="M213" s="384">
        <v>4.67</v>
      </c>
      <c r="N213" s="384">
        <v>121.26</v>
      </c>
      <c r="O213" s="385">
        <v>5145</v>
      </c>
      <c r="P213" s="382">
        <v>112.27</v>
      </c>
      <c r="Q213" s="382">
        <v>99.91</v>
      </c>
      <c r="R213" s="382">
        <v>31.05</v>
      </c>
      <c r="S213" s="382">
        <v>142.21</v>
      </c>
      <c r="T213" s="382">
        <v>643</v>
      </c>
      <c r="U213" s="382">
        <v>150.65</v>
      </c>
      <c r="V213" s="382">
        <v>907</v>
      </c>
      <c r="W213" s="382">
        <v>213.4</v>
      </c>
      <c r="X213" s="382">
        <v>63</v>
      </c>
      <c r="Y213" s="382">
        <v>10</v>
      </c>
      <c r="Z213" s="382">
        <v>14</v>
      </c>
      <c r="AA213" s="382">
        <v>2</v>
      </c>
      <c r="AB213" s="382">
        <v>36</v>
      </c>
      <c r="AC213" s="382">
        <v>28</v>
      </c>
      <c r="AD213" s="386">
        <v>6168</v>
      </c>
      <c r="AE213" s="386">
        <v>20</v>
      </c>
      <c r="AF213" s="386">
        <v>34</v>
      </c>
      <c r="AG213" s="386">
        <v>54</v>
      </c>
    </row>
    <row r="214" spans="1:33" x14ac:dyDescent="0.35">
      <c r="A214" s="381" t="s">
        <v>486</v>
      </c>
      <c r="B214" s="387" t="s">
        <v>487</v>
      </c>
      <c r="C214" s="383">
        <v>1303</v>
      </c>
      <c r="D214" s="383">
        <v>0</v>
      </c>
      <c r="E214" s="383">
        <v>87</v>
      </c>
      <c r="F214" s="383">
        <v>749</v>
      </c>
      <c r="G214" s="383">
        <v>377</v>
      </c>
      <c r="H214" s="383">
        <v>2516</v>
      </c>
      <c r="I214" s="382">
        <v>2139</v>
      </c>
      <c r="J214" s="382">
        <v>35</v>
      </c>
      <c r="K214" s="384">
        <v>83.87</v>
      </c>
      <c r="L214" s="384">
        <v>83.44</v>
      </c>
      <c r="M214" s="384">
        <v>3.65</v>
      </c>
      <c r="N214" s="384">
        <v>86.39</v>
      </c>
      <c r="O214" s="385">
        <v>957</v>
      </c>
      <c r="P214" s="382">
        <v>72.87</v>
      </c>
      <c r="Q214" s="382">
        <v>69.41</v>
      </c>
      <c r="R214" s="382">
        <v>19.03</v>
      </c>
      <c r="S214" s="382">
        <v>91.31</v>
      </c>
      <c r="T214" s="382">
        <v>777</v>
      </c>
      <c r="U214" s="382">
        <v>102.28</v>
      </c>
      <c r="V214" s="382">
        <v>342</v>
      </c>
      <c r="W214" s="382">
        <v>132.18</v>
      </c>
      <c r="X214" s="382">
        <v>12</v>
      </c>
      <c r="Y214" s="382">
        <v>10</v>
      </c>
      <c r="Z214" s="382">
        <v>6</v>
      </c>
      <c r="AA214" s="382">
        <v>0</v>
      </c>
      <c r="AB214" s="382">
        <v>13</v>
      </c>
      <c r="AC214" s="382">
        <v>11</v>
      </c>
      <c r="AD214" s="386">
        <v>1303</v>
      </c>
      <c r="AE214" s="386">
        <v>18</v>
      </c>
      <c r="AF214" s="386">
        <v>13</v>
      </c>
      <c r="AG214" s="386">
        <v>31</v>
      </c>
    </row>
    <row r="215" spans="1:33" x14ac:dyDescent="0.35">
      <c r="A215" s="381" t="s">
        <v>488</v>
      </c>
      <c r="B215" s="387" t="s">
        <v>489</v>
      </c>
      <c r="C215" s="383">
        <v>8784</v>
      </c>
      <c r="D215" s="383">
        <v>5</v>
      </c>
      <c r="E215" s="383">
        <v>310</v>
      </c>
      <c r="F215" s="383">
        <v>820</v>
      </c>
      <c r="G215" s="383">
        <v>465</v>
      </c>
      <c r="H215" s="383">
        <v>10384</v>
      </c>
      <c r="I215" s="382">
        <v>9919</v>
      </c>
      <c r="J215" s="382">
        <v>7</v>
      </c>
      <c r="K215" s="384">
        <v>120.06</v>
      </c>
      <c r="L215" s="384">
        <v>131.77000000000001</v>
      </c>
      <c r="M215" s="384">
        <v>10.42</v>
      </c>
      <c r="N215" s="384">
        <v>127.31</v>
      </c>
      <c r="O215" s="385">
        <v>7831</v>
      </c>
      <c r="P215" s="382">
        <v>118.45</v>
      </c>
      <c r="Q215" s="382">
        <v>117.59</v>
      </c>
      <c r="R215" s="382">
        <v>50.92</v>
      </c>
      <c r="S215" s="382">
        <v>165.42</v>
      </c>
      <c r="T215" s="382">
        <v>1047</v>
      </c>
      <c r="U215" s="382">
        <v>195.26</v>
      </c>
      <c r="V215" s="382">
        <v>831</v>
      </c>
      <c r="W215" s="382">
        <v>0</v>
      </c>
      <c r="X215" s="382">
        <v>0</v>
      </c>
      <c r="Y215" s="382">
        <v>0</v>
      </c>
      <c r="Z215" s="382">
        <v>6</v>
      </c>
      <c r="AA215" s="382">
        <v>13</v>
      </c>
      <c r="AB215" s="382">
        <v>7</v>
      </c>
      <c r="AC215" s="382">
        <v>16</v>
      </c>
      <c r="AD215" s="386">
        <v>8755</v>
      </c>
      <c r="AE215" s="386">
        <v>21</v>
      </c>
      <c r="AF215" s="386">
        <v>43</v>
      </c>
      <c r="AG215" s="386">
        <v>64</v>
      </c>
    </row>
    <row r="216" spans="1:33" x14ac:dyDescent="0.35">
      <c r="A216" s="381" t="s">
        <v>490</v>
      </c>
      <c r="B216" s="387" t="s">
        <v>491</v>
      </c>
      <c r="C216" s="383">
        <v>733</v>
      </c>
      <c r="D216" s="383">
        <v>0</v>
      </c>
      <c r="E216" s="383">
        <v>118</v>
      </c>
      <c r="F216" s="383">
        <v>96</v>
      </c>
      <c r="G216" s="383">
        <v>57</v>
      </c>
      <c r="H216" s="383">
        <v>1004</v>
      </c>
      <c r="I216" s="382">
        <v>947</v>
      </c>
      <c r="J216" s="382">
        <v>3</v>
      </c>
      <c r="K216" s="384">
        <v>89.91</v>
      </c>
      <c r="L216" s="384">
        <v>86.11</v>
      </c>
      <c r="M216" s="384">
        <v>3.85</v>
      </c>
      <c r="N216" s="384">
        <v>92.83</v>
      </c>
      <c r="O216" s="385">
        <v>531</v>
      </c>
      <c r="P216" s="382">
        <v>98.37</v>
      </c>
      <c r="Q216" s="382">
        <v>93.63</v>
      </c>
      <c r="R216" s="382">
        <v>111.09</v>
      </c>
      <c r="S216" s="382">
        <v>209.46</v>
      </c>
      <c r="T216" s="382">
        <v>85</v>
      </c>
      <c r="U216" s="382">
        <v>104.2</v>
      </c>
      <c r="V216" s="382">
        <v>175</v>
      </c>
      <c r="W216" s="382">
        <v>206.48</v>
      </c>
      <c r="X216" s="382">
        <v>119</v>
      </c>
      <c r="Y216" s="382">
        <v>0</v>
      </c>
      <c r="Z216" s="382">
        <v>0</v>
      </c>
      <c r="AA216" s="382">
        <v>0</v>
      </c>
      <c r="AB216" s="382">
        <v>2</v>
      </c>
      <c r="AC216" s="382">
        <v>0</v>
      </c>
      <c r="AD216" s="386">
        <v>733</v>
      </c>
      <c r="AE216" s="386">
        <v>2</v>
      </c>
      <c r="AF216" s="386">
        <v>8</v>
      </c>
      <c r="AG216" s="386">
        <v>10</v>
      </c>
    </row>
    <row r="217" spans="1:33" x14ac:dyDescent="0.35">
      <c r="A217" s="381" t="s">
        <v>492</v>
      </c>
      <c r="B217" s="387" t="s">
        <v>493</v>
      </c>
      <c r="C217" s="383">
        <v>18096</v>
      </c>
      <c r="D217" s="383">
        <v>0</v>
      </c>
      <c r="E217" s="383">
        <v>623</v>
      </c>
      <c r="F217" s="383">
        <v>2018</v>
      </c>
      <c r="G217" s="383">
        <v>220</v>
      </c>
      <c r="H217" s="383">
        <v>20957</v>
      </c>
      <c r="I217" s="382">
        <v>20737</v>
      </c>
      <c r="J217" s="382">
        <v>8</v>
      </c>
      <c r="K217" s="384">
        <v>74.36</v>
      </c>
      <c r="L217" s="384">
        <v>74.64</v>
      </c>
      <c r="M217" s="384">
        <v>10.45</v>
      </c>
      <c r="N217" s="384">
        <v>83.79</v>
      </c>
      <c r="O217" s="385">
        <v>16040</v>
      </c>
      <c r="P217" s="382">
        <v>74.739999999999995</v>
      </c>
      <c r="Q217" s="382">
        <v>71.099999999999994</v>
      </c>
      <c r="R217" s="382">
        <v>42.17</v>
      </c>
      <c r="S217" s="382">
        <v>115.14</v>
      </c>
      <c r="T217" s="382">
        <v>2458</v>
      </c>
      <c r="U217" s="382">
        <v>95.83</v>
      </c>
      <c r="V217" s="382">
        <v>1875</v>
      </c>
      <c r="W217" s="382">
        <v>0</v>
      </c>
      <c r="X217" s="382">
        <v>0</v>
      </c>
      <c r="Y217" s="382">
        <v>1</v>
      </c>
      <c r="Z217" s="382">
        <v>154</v>
      </c>
      <c r="AA217" s="382">
        <v>10</v>
      </c>
      <c r="AB217" s="382">
        <v>5</v>
      </c>
      <c r="AC217" s="382">
        <v>5</v>
      </c>
      <c r="AD217" s="386">
        <v>17935</v>
      </c>
      <c r="AE217" s="386">
        <v>86</v>
      </c>
      <c r="AF217" s="386">
        <v>166</v>
      </c>
      <c r="AG217" s="386">
        <v>252</v>
      </c>
    </row>
    <row r="218" spans="1:33" x14ac:dyDescent="0.35">
      <c r="A218" s="381" t="s">
        <v>494</v>
      </c>
      <c r="B218" s="387" t="s">
        <v>495</v>
      </c>
      <c r="C218" s="383">
        <v>2259</v>
      </c>
      <c r="D218" s="383">
        <v>0</v>
      </c>
      <c r="E218" s="383">
        <v>63</v>
      </c>
      <c r="F218" s="383">
        <v>698</v>
      </c>
      <c r="G218" s="383">
        <v>151</v>
      </c>
      <c r="H218" s="383">
        <v>3171</v>
      </c>
      <c r="I218" s="382">
        <v>3020</v>
      </c>
      <c r="J218" s="382">
        <v>2</v>
      </c>
      <c r="K218" s="384">
        <v>98.3</v>
      </c>
      <c r="L218" s="384">
        <v>98.32</v>
      </c>
      <c r="M218" s="384">
        <v>7.52</v>
      </c>
      <c r="N218" s="384">
        <v>102.71</v>
      </c>
      <c r="O218" s="385">
        <v>1763</v>
      </c>
      <c r="P218" s="382">
        <v>86.05</v>
      </c>
      <c r="Q218" s="382">
        <v>86.31</v>
      </c>
      <c r="R218" s="382">
        <v>29.26</v>
      </c>
      <c r="S218" s="382">
        <v>115.15</v>
      </c>
      <c r="T218" s="382">
        <v>755</v>
      </c>
      <c r="U218" s="382">
        <v>142.32</v>
      </c>
      <c r="V218" s="382">
        <v>494</v>
      </c>
      <c r="W218" s="382">
        <v>0</v>
      </c>
      <c r="X218" s="382">
        <v>0</v>
      </c>
      <c r="Y218" s="382">
        <v>0</v>
      </c>
      <c r="Z218" s="382">
        <v>1</v>
      </c>
      <c r="AA218" s="382">
        <v>2</v>
      </c>
      <c r="AB218" s="382">
        <v>9</v>
      </c>
      <c r="AC218" s="382">
        <v>1</v>
      </c>
      <c r="AD218" s="386">
        <v>2259</v>
      </c>
      <c r="AE218" s="386">
        <v>14</v>
      </c>
      <c r="AF218" s="386">
        <v>13</v>
      </c>
      <c r="AG218" s="386">
        <v>27</v>
      </c>
    </row>
    <row r="219" spans="1:33" x14ac:dyDescent="0.35">
      <c r="A219" s="381" t="s">
        <v>496</v>
      </c>
      <c r="B219" s="387" t="s">
        <v>497</v>
      </c>
      <c r="C219" s="383">
        <v>4212</v>
      </c>
      <c r="D219" s="383">
        <v>0</v>
      </c>
      <c r="E219" s="383">
        <v>92</v>
      </c>
      <c r="F219" s="383">
        <v>344</v>
      </c>
      <c r="G219" s="383">
        <v>43</v>
      </c>
      <c r="H219" s="383">
        <v>4691</v>
      </c>
      <c r="I219" s="382">
        <v>4648</v>
      </c>
      <c r="J219" s="382">
        <v>1</v>
      </c>
      <c r="K219" s="384">
        <v>72.709999999999994</v>
      </c>
      <c r="L219" s="384">
        <v>70.42</v>
      </c>
      <c r="M219" s="384">
        <v>4.3499999999999996</v>
      </c>
      <c r="N219" s="384">
        <v>73.209999999999994</v>
      </c>
      <c r="O219" s="385">
        <v>3681</v>
      </c>
      <c r="P219" s="382">
        <v>86.51</v>
      </c>
      <c r="Q219" s="382">
        <v>82</v>
      </c>
      <c r="R219" s="382">
        <v>43.27</v>
      </c>
      <c r="S219" s="382">
        <v>127.11</v>
      </c>
      <c r="T219" s="382">
        <v>389</v>
      </c>
      <c r="U219" s="382">
        <v>89.57</v>
      </c>
      <c r="V219" s="382">
        <v>525</v>
      </c>
      <c r="W219" s="382">
        <v>0</v>
      </c>
      <c r="X219" s="382">
        <v>0</v>
      </c>
      <c r="Y219" s="382">
        <v>0</v>
      </c>
      <c r="Z219" s="382">
        <v>19</v>
      </c>
      <c r="AA219" s="382">
        <v>1</v>
      </c>
      <c r="AB219" s="382">
        <v>0</v>
      </c>
      <c r="AC219" s="382">
        <v>4</v>
      </c>
      <c r="AD219" s="386">
        <v>4211</v>
      </c>
      <c r="AE219" s="386">
        <v>20</v>
      </c>
      <c r="AF219" s="386">
        <v>10</v>
      </c>
      <c r="AG219" s="386">
        <v>30</v>
      </c>
    </row>
    <row r="220" spans="1:33" x14ac:dyDescent="0.35">
      <c r="A220" s="381" t="s">
        <v>498</v>
      </c>
      <c r="B220" s="387" t="s">
        <v>499</v>
      </c>
      <c r="C220" s="383">
        <v>3716</v>
      </c>
      <c r="D220" s="383">
        <v>0</v>
      </c>
      <c r="E220" s="383">
        <v>77</v>
      </c>
      <c r="F220" s="383">
        <v>684</v>
      </c>
      <c r="G220" s="383">
        <v>281</v>
      </c>
      <c r="H220" s="383">
        <v>4758</v>
      </c>
      <c r="I220" s="382">
        <v>4477</v>
      </c>
      <c r="J220" s="382">
        <v>0</v>
      </c>
      <c r="K220" s="384">
        <v>95.11</v>
      </c>
      <c r="L220" s="384">
        <v>94.76</v>
      </c>
      <c r="M220" s="384">
        <v>3.48</v>
      </c>
      <c r="N220" s="384">
        <v>97.98</v>
      </c>
      <c r="O220" s="385">
        <v>3169</v>
      </c>
      <c r="P220" s="382">
        <v>87.1</v>
      </c>
      <c r="Q220" s="382">
        <v>84.32</v>
      </c>
      <c r="R220" s="382">
        <v>37.71</v>
      </c>
      <c r="S220" s="382">
        <v>124.69</v>
      </c>
      <c r="T220" s="382">
        <v>618</v>
      </c>
      <c r="U220" s="382">
        <v>116.4</v>
      </c>
      <c r="V220" s="382">
        <v>542</v>
      </c>
      <c r="W220" s="382">
        <v>128.08000000000001</v>
      </c>
      <c r="X220" s="382">
        <v>13</v>
      </c>
      <c r="Y220" s="382">
        <v>0</v>
      </c>
      <c r="Z220" s="382">
        <v>3</v>
      </c>
      <c r="AA220" s="382">
        <v>1</v>
      </c>
      <c r="AB220" s="382">
        <v>16</v>
      </c>
      <c r="AC220" s="382">
        <v>4</v>
      </c>
      <c r="AD220" s="386">
        <v>3716</v>
      </c>
      <c r="AE220" s="386">
        <v>14</v>
      </c>
      <c r="AF220" s="386">
        <v>10</v>
      </c>
      <c r="AG220" s="386">
        <v>24</v>
      </c>
    </row>
    <row r="221" spans="1:33" x14ac:dyDescent="0.35">
      <c r="A221" s="381" t="s">
        <v>500</v>
      </c>
      <c r="B221" s="387" t="s">
        <v>501</v>
      </c>
      <c r="C221" s="383">
        <v>3413</v>
      </c>
      <c r="D221" s="383">
        <v>0</v>
      </c>
      <c r="E221" s="383">
        <v>420</v>
      </c>
      <c r="F221" s="383">
        <v>860</v>
      </c>
      <c r="G221" s="383">
        <v>321</v>
      </c>
      <c r="H221" s="383">
        <v>5014</v>
      </c>
      <c r="I221" s="382">
        <v>4693</v>
      </c>
      <c r="J221" s="382">
        <v>1</v>
      </c>
      <c r="K221" s="384">
        <v>80.5</v>
      </c>
      <c r="L221" s="384">
        <v>78.78</v>
      </c>
      <c r="M221" s="384">
        <v>7.94</v>
      </c>
      <c r="N221" s="384">
        <v>84.69</v>
      </c>
      <c r="O221" s="385">
        <v>2795</v>
      </c>
      <c r="P221" s="382">
        <v>87.75</v>
      </c>
      <c r="Q221" s="382">
        <v>74.540000000000006</v>
      </c>
      <c r="R221" s="382">
        <v>39.71</v>
      </c>
      <c r="S221" s="382">
        <v>125.32</v>
      </c>
      <c r="T221" s="382">
        <v>1244</v>
      </c>
      <c r="U221" s="382">
        <v>96.8</v>
      </c>
      <c r="V221" s="382">
        <v>508</v>
      </c>
      <c r="W221" s="382">
        <v>142.96</v>
      </c>
      <c r="X221" s="382">
        <v>25</v>
      </c>
      <c r="Y221" s="382">
        <v>0</v>
      </c>
      <c r="Z221" s="382">
        <v>0</v>
      </c>
      <c r="AA221" s="382">
        <v>38</v>
      </c>
      <c r="AB221" s="382">
        <v>18</v>
      </c>
      <c r="AC221" s="382">
        <v>7</v>
      </c>
      <c r="AD221" s="386">
        <v>3356</v>
      </c>
      <c r="AE221" s="386">
        <v>42</v>
      </c>
      <c r="AF221" s="386">
        <v>14</v>
      </c>
      <c r="AG221" s="386">
        <v>56</v>
      </c>
    </row>
    <row r="222" spans="1:33" x14ac:dyDescent="0.35">
      <c r="A222" s="381" t="s">
        <v>502</v>
      </c>
      <c r="B222" s="387" t="s">
        <v>503</v>
      </c>
      <c r="C222" s="383">
        <v>2473</v>
      </c>
      <c r="D222" s="383">
        <v>0</v>
      </c>
      <c r="E222" s="383">
        <v>51</v>
      </c>
      <c r="F222" s="383">
        <v>244</v>
      </c>
      <c r="G222" s="383">
        <v>609</v>
      </c>
      <c r="H222" s="383">
        <v>3377</v>
      </c>
      <c r="I222" s="382">
        <v>2768</v>
      </c>
      <c r="J222" s="382">
        <v>0</v>
      </c>
      <c r="K222" s="384">
        <v>98.06</v>
      </c>
      <c r="L222" s="384">
        <v>97.41</v>
      </c>
      <c r="M222" s="384">
        <v>5.99</v>
      </c>
      <c r="N222" s="384">
        <v>102.48</v>
      </c>
      <c r="O222" s="385">
        <v>2176</v>
      </c>
      <c r="P222" s="382">
        <v>82.41</v>
      </c>
      <c r="Q222" s="382">
        <v>84.23</v>
      </c>
      <c r="R222" s="382">
        <v>33.33</v>
      </c>
      <c r="S222" s="382">
        <v>114.85</v>
      </c>
      <c r="T222" s="382">
        <v>150</v>
      </c>
      <c r="U222" s="382">
        <v>117.15</v>
      </c>
      <c r="V222" s="382">
        <v>256</v>
      </c>
      <c r="W222" s="382">
        <v>199.95</v>
      </c>
      <c r="X222" s="382">
        <v>76</v>
      </c>
      <c r="Y222" s="382">
        <v>0</v>
      </c>
      <c r="Z222" s="382">
        <v>29</v>
      </c>
      <c r="AA222" s="382">
        <v>11</v>
      </c>
      <c r="AB222" s="382">
        <v>56</v>
      </c>
      <c r="AC222" s="382">
        <v>13</v>
      </c>
      <c r="AD222" s="386">
        <v>2436</v>
      </c>
      <c r="AE222" s="386">
        <v>39</v>
      </c>
      <c r="AF222" s="386">
        <v>29</v>
      </c>
      <c r="AG222" s="386">
        <v>68</v>
      </c>
    </row>
    <row r="223" spans="1:33" x14ac:dyDescent="0.35">
      <c r="A223" s="381" t="s">
        <v>504</v>
      </c>
      <c r="B223" s="387" t="s">
        <v>505</v>
      </c>
      <c r="C223" s="383">
        <v>1330</v>
      </c>
      <c r="D223" s="383">
        <v>282</v>
      </c>
      <c r="E223" s="383">
        <v>67</v>
      </c>
      <c r="F223" s="383">
        <v>285</v>
      </c>
      <c r="G223" s="383">
        <v>422</v>
      </c>
      <c r="H223" s="383">
        <v>2386</v>
      </c>
      <c r="I223" s="382">
        <v>1964</v>
      </c>
      <c r="J223" s="382">
        <v>1</v>
      </c>
      <c r="K223" s="384">
        <v>120.03</v>
      </c>
      <c r="L223" s="384">
        <v>116.25</v>
      </c>
      <c r="M223" s="384">
        <v>9.66</v>
      </c>
      <c r="N223" s="384">
        <v>128.03</v>
      </c>
      <c r="O223" s="385">
        <v>880</v>
      </c>
      <c r="P223" s="382">
        <v>113.64</v>
      </c>
      <c r="Q223" s="382">
        <v>109.51</v>
      </c>
      <c r="R223" s="382">
        <v>25.16</v>
      </c>
      <c r="S223" s="382">
        <v>138.72</v>
      </c>
      <c r="T223" s="382">
        <v>318</v>
      </c>
      <c r="U223" s="382">
        <v>196.21</v>
      </c>
      <c r="V223" s="382">
        <v>245</v>
      </c>
      <c r="W223" s="382">
        <v>127.46</v>
      </c>
      <c r="X223" s="382">
        <v>33</v>
      </c>
      <c r="Y223" s="382">
        <v>0</v>
      </c>
      <c r="Z223" s="382">
        <v>0</v>
      </c>
      <c r="AA223" s="382">
        <v>2</v>
      </c>
      <c r="AB223" s="382">
        <v>17</v>
      </c>
      <c r="AC223" s="382">
        <v>3</v>
      </c>
      <c r="AD223" s="386">
        <v>1274</v>
      </c>
      <c r="AE223" s="386">
        <v>20</v>
      </c>
      <c r="AF223" s="386">
        <v>3</v>
      </c>
      <c r="AG223" s="386">
        <v>23</v>
      </c>
    </row>
    <row r="224" spans="1:33" x14ac:dyDescent="0.35">
      <c r="A224" s="381" t="s">
        <v>506</v>
      </c>
      <c r="B224" s="387" t="s">
        <v>507</v>
      </c>
      <c r="C224" s="383">
        <v>2953</v>
      </c>
      <c r="D224" s="383">
        <v>0</v>
      </c>
      <c r="E224" s="383">
        <v>88</v>
      </c>
      <c r="F224" s="383">
        <v>1385</v>
      </c>
      <c r="G224" s="383">
        <v>443</v>
      </c>
      <c r="H224" s="383">
        <v>4869</v>
      </c>
      <c r="I224" s="382">
        <v>4426</v>
      </c>
      <c r="J224" s="382">
        <v>2</v>
      </c>
      <c r="K224" s="384">
        <v>94.11</v>
      </c>
      <c r="L224" s="384">
        <v>94.76</v>
      </c>
      <c r="M224" s="384">
        <v>4.45</v>
      </c>
      <c r="N224" s="384">
        <v>95.86</v>
      </c>
      <c r="O224" s="385">
        <v>2651</v>
      </c>
      <c r="P224" s="382">
        <v>93.01</v>
      </c>
      <c r="Q224" s="382">
        <v>90.92</v>
      </c>
      <c r="R224" s="382">
        <v>19.420000000000002</v>
      </c>
      <c r="S224" s="382">
        <v>112.17</v>
      </c>
      <c r="T224" s="382">
        <v>1467</v>
      </c>
      <c r="U224" s="382">
        <v>106.56</v>
      </c>
      <c r="V224" s="382">
        <v>286</v>
      </c>
      <c r="W224" s="382">
        <v>151.9</v>
      </c>
      <c r="X224" s="382">
        <v>5</v>
      </c>
      <c r="Y224" s="382">
        <v>0</v>
      </c>
      <c r="Z224" s="382">
        <v>6</v>
      </c>
      <c r="AA224" s="382">
        <v>0</v>
      </c>
      <c r="AB224" s="382">
        <v>31</v>
      </c>
      <c r="AC224" s="382">
        <v>12</v>
      </c>
      <c r="AD224" s="386">
        <v>2941</v>
      </c>
      <c r="AE224" s="386">
        <v>11</v>
      </c>
      <c r="AF224" s="386">
        <v>10</v>
      </c>
      <c r="AG224" s="386">
        <v>21</v>
      </c>
    </row>
    <row r="225" spans="1:33" x14ac:dyDescent="0.35">
      <c r="A225" s="381" t="s">
        <v>508</v>
      </c>
      <c r="B225" s="387" t="s">
        <v>509</v>
      </c>
      <c r="C225" s="383">
        <v>5645</v>
      </c>
      <c r="D225" s="383">
        <v>17</v>
      </c>
      <c r="E225" s="383">
        <v>228</v>
      </c>
      <c r="F225" s="383">
        <v>647</v>
      </c>
      <c r="G225" s="383">
        <v>578</v>
      </c>
      <c r="H225" s="383">
        <v>7115</v>
      </c>
      <c r="I225" s="382">
        <v>6537</v>
      </c>
      <c r="J225" s="382">
        <v>0</v>
      </c>
      <c r="K225" s="384">
        <v>109.23</v>
      </c>
      <c r="L225" s="384">
        <v>105</v>
      </c>
      <c r="M225" s="384">
        <v>9.06</v>
      </c>
      <c r="N225" s="384">
        <v>114.22</v>
      </c>
      <c r="O225" s="385">
        <v>4425</v>
      </c>
      <c r="P225" s="382">
        <v>97.59</v>
      </c>
      <c r="Q225" s="382">
        <v>88.87</v>
      </c>
      <c r="R225" s="382">
        <v>41.91</v>
      </c>
      <c r="S225" s="382">
        <v>139.35</v>
      </c>
      <c r="T225" s="382">
        <v>827</v>
      </c>
      <c r="U225" s="382">
        <v>153.65</v>
      </c>
      <c r="V225" s="382">
        <v>1066</v>
      </c>
      <c r="W225" s="382">
        <v>147.51</v>
      </c>
      <c r="X225" s="382">
        <v>39</v>
      </c>
      <c r="Y225" s="382">
        <v>26</v>
      </c>
      <c r="Z225" s="382">
        <v>1</v>
      </c>
      <c r="AA225" s="382">
        <v>0</v>
      </c>
      <c r="AB225" s="382">
        <v>2</v>
      </c>
      <c r="AC225" s="382">
        <v>21</v>
      </c>
      <c r="AD225" s="386">
        <v>5393</v>
      </c>
      <c r="AE225" s="386">
        <v>32</v>
      </c>
      <c r="AF225" s="386">
        <v>46</v>
      </c>
      <c r="AG225" s="386">
        <v>78</v>
      </c>
    </row>
    <row r="226" spans="1:33" x14ac:dyDescent="0.35">
      <c r="A226" s="381" t="s">
        <v>510</v>
      </c>
      <c r="B226" s="387" t="s">
        <v>511</v>
      </c>
      <c r="C226" s="383">
        <v>1512</v>
      </c>
      <c r="D226" s="383">
        <v>0</v>
      </c>
      <c r="E226" s="383">
        <v>32</v>
      </c>
      <c r="F226" s="383">
        <v>287</v>
      </c>
      <c r="G226" s="383">
        <v>203</v>
      </c>
      <c r="H226" s="383">
        <v>2034</v>
      </c>
      <c r="I226" s="382">
        <v>1831</v>
      </c>
      <c r="J226" s="382">
        <v>4</v>
      </c>
      <c r="K226" s="384">
        <v>88.28</v>
      </c>
      <c r="L226" s="384">
        <v>95.92</v>
      </c>
      <c r="M226" s="384">
        <v>5.81</v>
      </c>
      <c r="N226" s="384">
        <v>90.65</v>
      </c>
      <c r="O226" s="385">
        <v>1264</v>
      </c>
      <c r="P226" s="382">
        <v>85.44</v>
      </c>
      <c r="Q226" s="382">
        <v>85.37</v>
      </c>
      <c r="R226" s="382">
        <v>32.450000000000003</v>
      </c>
      <c r="S226" s="382">
        <v>111.75</v>
      </c>
      <c r="T226" s="382">
        <v>217</v>
      </c>
      <c r="U226" s="382">
        <v>110.1</v>
      </c>
      <c r="V226" s="382">
        <v>217</v>
      </c>
      <c r="W226" s="382">
        <v>0</v>
      </c>
      <c r="X226" s="382">
        <v>0</v>
      </c>
      <c r="Y226" s="382">
        <v>0</v>
      </c>
      <c r="Z226" s="382">
        <v>2</v>
      </c>
      <c r="AA226" s="382">
        <v>1</v>
      </c>
      <c r="AB226" s="382">
        <v>21</v>
      </c>
      <c r="AC226" s="382">
        <v>5</v>
      </c>
      <c r="AD226" s="386">
        <v>1499</v>
      </c>
      <c r="AE226" s="386">
        <v>13</v>
      </c>
      <c r="AF226" s="386">
        <v>6</v>
      </c>
      <c r="AG226" s="386">
        <v>19</v>
      </c>
    </row>
    <row r="227" spans="1:33" x14ac:dyDescent="0.35">
      <c r="A227" s="381" t="s">
        <v>512</v>
      </c>
      <c r="B227" s="387" t="s">
        <v>513</v>
      </c>
      <c r="C227" s="383">
        <v>3067</v>
      </c>
      <c r="D227" s="383">
        <v>3</v>
      </c>
      <c r="E227" s="383">
        <v>38</v>
      </c>
      <c r="F227" s="383">
        <v>135</v>
      </c>
      <c r="G227" s="383">
        <v>81</v>
      </c>
      <c r="H227" s="383">
        <v>3324</v>
      </c>
      <c r="I227" s="382">
        <v>3243</v>
      </c>
      <c r="J227" s="382">
        <v>3</v>
      </c>
      <c r="K227" s="384">
        <v>88.81</v>
      </c>
      <c r="L227" s="384">
        <v>84.69</v>
      </c>
      <c r="M227" s="384">
        <v>4.22</v>
      </c>
      <c r="N227" s="384">
        <v>90.4</v>
      </c>
      <c r="O227" s="385">
        <v>2014</v>
      </c>
      <c r="P227" s="382">
        <v>74.59</v>
      </c>
      <c r="Q227" s="382">
        <v>70.58</v>
      </c>
      <c r="R227" s="382">
        <v>47.4</v>
      </c>
      <c r="S227" s="382">
        <v>121.29</v>
      </c>
      <c r="T227" s="382">
        <v>136</v>
      </c>
      <c r="U227" s="382">
        <v>96.75</v>
      </c>
      <c r="V227" s="382">
        <v>986</v>
      </c>
      <c r="W227" s="382">
        <v>171.01</v>
      </c>
      <c r="X227" s="382">
        <v>21</v>
      </c>
      <c r="Y227" s="382">
        <v>0</v>
      </c>
      <c r="Z227" s="382">
        <v>2</v>
      </c>
      <c r="AA227" s="382">
        <v>1</v>
      </c>
      <c r="AB227" s="382">
        <v>23</v>
      </c>
      <c r="AC227" s="382">
        <v>3</v>
      </c>
      <c r="AD227" s="386">
        <v>3042</v>
      </c>
      <c r="AE227" s="386">
        <v>45</v>
      </c>
      <c r="AF227" s="386">
        <v>11</v>
      </c>
      <c r="AG227" s="386">
        <v>56</v>
      </c>
    </row>
    <row r="228" spans="1:33" x14ac:dyDescent="0.35">
      <c r="A228" s="381" t="s">
        <v>514</v>
      </c>
      <c r="B228" s="387" t="s">
        <v>515</v>
      </c>
      <c r="C228" s="383">
        <v>26853</v>
      </c>
      <c r="D228" s="383">
        <v>14</v>
      </c>
      <c r="E228" s="383">
        <v>1555</v>
      </c>
      <c r="F228" s="383">
        <v>1364</v>
      </c>
      <c r="G228" s="383">
        <v>399</v>
      </c>
      <c r="H228" s="383">
        <v>30185</v>
      </c>
      <c r="I228" s="382">
        <v>29786</v>
      </c>
      <c r="J228" s="382">
        <v>39</v>
      </c>
      <c r="K228" s="384">
        <v>76.95</v>
      </c>
      <c r="L228" s="384">
        <v>77.03</v>
      </c>
      <c r="M228" s="384">
        <v>7.44</v>
      </c>
      <c r="N228" s="384">
        <v>80.37</v>
      </c>
      <c r="O228" s="385">
        <v>24391</v>
      </c>
      <c r="P228" s="382">
        <v>79.42</v>
      </c>
      <c r="Q228" s="382">
        <v>74.47</v>
      </c>
      <c r="R228" s="382">
        <v>36.19</v>
      </c>
      <c r="S228" s="382">
        <v>114.71</v>
      </c>
      <c r="T228" s="382">
        <v>2623</v>
      </c>
      <c r="U228" s="382">
        <v>108.25</v>
      </c>
      <c r="V228" s="382">
        <v>2227</v>
      </c>
      <c r="W228" s="382">
        <v>159.41999999999999</v>
      </c>
      <c r="X228" s="382">
        <v>65</v>
      </c>
      <c r="Y228" s="382">
        <v>20</v>
      </c>
      <c r="Z228" s="382">
        <v>186</v>
      </c>
      <c r="AA228" s="382">
        <v>10</v>
      </c>
      <c r="AB228" s="382">
        <v>69</v>
      </c>
      <c r="AC228" s="382">
        <v>11</v>
      </c>
      <c r="AD228" s="386">
        <v>26748</v>
      </c>
      <c r="AE228" s="386">
        <v>113</v>
      </c>
      <c r="AF228" s="386">
        <v>225</v>
      </c>
      <c r="AG228" s="386">
        <v>338</v>
      </c>
    </row>
    <row r="229" spans="1:33" x14ac:dyDescent="0.35">
      <c r="A229" s="381" t="s">
        <v>516</v>
      </c>
      <c r="B229" s="387" t="s">
        <v>517</v>
      </c>
      <c r="C229" s="383">
        <v>5720</v>
      </c>
      <c r="D229" s="383">
        <v>13</v>
      </c>
      <c r="E229" s="383">
        <v>438</v>
      </c>
      <c r="F229" s="383">
        <v>1038</v>
      </c>
      <c r="G229" s="383">
        <v>541</v>
      </c>
      <c r="H229" s="383">
        <v>7750</v>
      </c>
      <c r="I229" s="382">
        <v>7209</v>
      </c>
      <c r="J229" s="382">
        <v>0</v>
      </c>
      <c r="K229" s="384">
        <v>88.09</v>
      </c>
      <c r="L229" s="384">
        <v>85.67</v>
      </c>
      <c r="M229" s="384">
        <v>7.58</v>
      </c>
      <c r="N229" s="384">
        <v>93.91</v>
      </c>
      <c r="O229" s="385">
        <v>4495</v>
      </c>
      <c r="P229" s="382">
        <v>90.57</v>
      </c>
      <c r="Q229" s="382">
        <v>83.57</v>
      </c>
      <c r="R229" s="382">
        <v>47.74</v>
      </c>
      <c r="S229" s="382">
        <v>134.27000000000001</v>
      </c>
      <c r="T229" s="382">
        <v>1052</v>
      </c>
      <c r="U229" s="382">
        <v>108.81</v>
      </c>
      <c r="V229" s="382">
        <v>718</v>
      </c>
      <c r="W229" s="382">
        <v>194.72</v>
      </c>
      <c r="X229" s="382">
        <v>289</v>
      </c>
      <c r="Y229" s="382">
        <v>0</v>
      </c>
      <c r="Z229" s="382">
        <v>44</v>
      </c>
      <c r="AA229" s="382">
        <v>22</v>
      </c>
      <c r="AB229" s="382">
        <v>0</v>
      </c>
      <c r="AC229" s="382">
        <v>10</v>
      </c>
      <c r="AD229" s="386">
        <v>5491</v>
      </c>
      <c r="AE229" s="386">
        <v>28</v>
      </c>
      <c r="AF229" s="386">
        <v>23</v>
      </c>
      <c r="AG229" s="386">
        <v>51</v>
      </c>
    </row>
    <row r="230" spans="1:33" x14ac:dyDescent="0.35">
      <c r="A230" s="381" t="s">
        <v>518</v>
      </c>
      <c r="B230" s="387" t="s">
        <v>519</v>
      </c>
      <c r="C230" s="383">
        <v>6177</v>
      </c>
      <c r="D230" s="383">
        <v>0</v>
      </c>
      <c r="E230" s="383">
        <v>145</v>
      </c>
      <c r="F230" s="383">
        <v>628</v>
      </c>
      <c r="G230" s="383">
        <v>335</v>
      </c>
      <c r="H230" s="383">
        <v>7285</v>
      </c>
      <c r="I230" s="382">
        <v>6950</v>
      </c>
      <c r="J230" s="382">
        <v>34</v>
      </c>
      <c r="K230" s="384">
        <v>82.62</v>
      </c>
      <c r="L230" s="384">
        <v>82.18</v>
      </c>
      <c r="M230" s="384">
        <v>3.27</v>
      </c>
      <c r="N230" s="384">
        <v>83.98</v>
      </c>
      <c r="O230" s="385">
        <v>5423</v>
      </c>
      <c r="P230" s="382">
        <v>86.01</v>
      </c>
      <c r="Q230" s="382">
        <v>85.17</v>
      </c>
      <c r="R230" s="382">
        <v>35.64</v>
      </c>
      <c r="S230" s="382">
        <v>120.65</v>
      </c>
      <c r="T230" s="382">
        <v>604</v>
      </c>
      <c r="U230" s="382">
        <v>100.05</v>
      </c>
      <c r="V230" s="382">
        <v>739</v>
      </c>
      <c r="W230" s="382">
        <v>202.82</v>
      </c>
      <c r="X230" s="382">
        <v>67</v>
      </c>
      <c r="Y230" s="382">
        <v>0</v>
      </c>
      <c r="Z230" s="382">
        <v>19</v>
      </c>
      <c r="AA230" s="382">
        <v>0</v>
      </c>
      <c r="AB230" s="382">
        <v>6</v>
      </c>
      <c r="AC230" s="382">
        <v>5</v>
      </c>
      <c r="AD230" s="386">
        <v>6134</v>
      </c>
      <c r="AE230" s="386">
        <v>51</v>
      </c>
      <c r="AF230" s="386">
        <v>26</v>
      </c>
      <c r="AG230" s="386">
        <v>77</v>
      </c>
    </row>
    <row r="231" spans="1:33" x14ac:dyDescent="0.35">
      <c r="A231" s="381" t="s">
        <v>520</v>
      </c>
      <c r="B231" s="387" t="s">
        <v>521</v>
      </c>
      <c r="C231" s="383">
        <v>2904</v>
      </c>
      <c r="D231" s="383">
        <v>0</v>
      </c>
      <c r="E231" s="383">
        <v>312</v>
      </c>
      <c r="F231" s="383">
        <v>89</v>
      </c>
      <c r="G231" s="383">
        <v>309</v>
      </c>
      <c r="H231" s="383">
        <v>3614</v>
      </c>
      <c r="I231" s="382">
        <v>3305</v>
      </c>
      <c r="J231" s="382">
        <v>0</v>
      </c>
      <c r="K231" s="384">
        <v>90.14</v>
      </c>
      <c r="L231" s="384">
        <v>88.31</v>
      </c>
      <c r="M231" s="384">
        <v>4.29</v>
      </c>
      <c r="N231" s="384">
        <v>93.86</v>
      </c>
      <c r="O231" s="385">
        <v>1512</v>
      </c>
      <c r="P231" s="382">
        <v>79.94</v>
      </c>
      <c r="Q231" s="382">
        <v>76.959999999999994</v>
      </c>
      <c r="R231" s="382">
        <v>49.93</v>
      </c>
      <c r="S231" s="382">
        <v>129.87</v>
      </c>
      <c r="T231" s="382">
        <v>214</v>
      </c>
      <c r="U231" s="382">
        <v>112.55</v>
      </c>
      <c r="V231" s="382">
        <v>618</v>
      </c>
      <c r="W231" s="382">
        <v>0</v>
      </c>
      <c r="X231" s="382">
        <v>0</v>
      </c>
      <c r="Y231" s="382">
        <v>0</v>
      </c>
      <c r="Z231" s="382">
        <v>0</v>
      </c>
      <c r="AA231" s="382">
        <v>0</v>
      </c>
      <c r="AB231" s="382">
        <v>17</v>
      </c>
      <c r="AC231" s="382">
        <v>4</v>
      </c>
      <c r="AD231" s="386">
        <v>2065</v>
      </c>
      <c r="AE231" s="386">
        <v>6</v>
      </c>
      <c r="AF231" s="386">
        <v>1</v>
      </c>
      <c r="AG231" s="386">
        <v>7</v>
      </c>
    </row>
    <row r="232" spans="1:33" x14ac:dyDescent="0.35">
      <c r="A232" s="381" t="s">
        <v>522</v>
      </c>
      <c r="B232" s="387" t="s">
        <v>523</v>
      </c>
      <c r="C232" s="383">
        <v>15519</v>
      </c>
      <c r="D232" s="383">
        <v>8</v>
      </c>
      <c r="E232" s="383">
        <v>1649</v>
      </c>
      <c r="F232" s="383">
        <v>1632</v>
      </c>
      <c r="G232" s="383">
        <v>578</v>
      </c>
      <c r="H232" s="383">
        <v>19386</v>
      </c>
      <c r="I232" s="382">
        <v>18808</v>
      </c>
      <c r="J232" s="382">
        <v>35</v>
      </c>
      <c r="K232" s="384">
        <v>85.58</v>
      </c>
      <c r="L232" s="384">
        <v>82.65</v>
      </c>
      <c r="M232" s="384">
        <v>8.67</v>
      </c>
      <c r="N232" s="384">
        <v>88.77</v>
      </c>
      <c r="O232" s="385">
        <v>13821</v>
      </c>
      <c r="P232" s="382">
        <v>80</v>
      </c>
      <c r="Q232" s="382">
        <v>75.150000000000006</v>
      </c>
      <c r="R232" s="382">
        <v>36.83</v>
      </c>
      <c r="S232" s="382">
        <v>116.03</v>
      </c>
      <c r="T232" s="382">
        <v>2758</v>
      </c>
      <c r="U232" s="382">
        <v>98.8</v>
      </c>
      <c r="V232" s="382">
        <v>1100</v>
      </c>
      <c r="W232" s="382">
        <v>124.82</v>
      </c>
      <c r="X232" s="382">
        <v>19</v>
      </c>
      <c r="Y232" s="382">
        <v>0</v>
      </c>
      <c r="Z232" s="382">
        <v>55</v>
      </c>
      <c r="AA232" s="382">
        <v>5</v>
      </c>
      <c r="AB232" s="382">
        <v>14</v>
      </c>
      <c r="AC232" s="382">
        <v>5</v>
      </c>
      <c r="AD232" s="386">
        <v>14977</v>
      </c>
      <c r="AE232" s="386">
        <v>54</v>
      </c>
      <c r="AF232" s="386">
        <v>71</v>
      </c>
      <c r="AG232" s="386">
        <v>125</v>
      </c>
    </row>
    <row r="233" spans="1:33" x14ac:dyDescent="0.35">
      <c r="A233" s="381" t="s">
        <v>524</v>
      </c>
      <c r="B233" s="387" t="s">
        <v>525</v>
      </c>
      <c r="C233" s="383">
        <v>1725</v>
      </c>
      <c r="D233" s="383">
        <v>0</v>
      </c>
      <c r="E233" s="383">
        <v>40</v>
      </c>
      <c r="F233" s="383">
        <v>195</v>
      </c>
      <c r="G233" s="383">
        <v>324</v>
      </c>
      <c r="H233" s="383">
        <v>2284</v>
      </c>
      <c r="I233" s="382">
        <v>1960</v>
      </c>
      <c r="J233" s="382">
        <v>4</v>
      </c>
      <c r="K233" s="384">
        <v>91.49</v>
      </c>
      <c r="L233" s="384">
        <v>85.33</v>
      </c>
      <c r="M233" s="384">
        <v>5.53</v>
      </c>
      <c r="N233" s="384">
        <v>95.38</v>
      </c>
      <c r="O233" s="385">
        <v>1139</v>
      </c>
      <c r="P233" s="382">
        <v>103.18</v>
      </c>
      <c r="Q233" s="382">
        <v>99.36</v>
      </c>
      <c r="R233" s="382">
        <v>59.05</v>
      </c>
      <c r="S233" s="382">
        <v>161.72</v>
      </c>
      <c r="T233" s="382">
        <v>233</v>
      </c>
      <c r="U233" s="382">
        <v>109.02</v>
      </c>
      <c r="V233" s="382">
        <v>415</v>
      </c>
      <c r="W233" s="382">
        <v>0</v>
      </c>
      <c r="X233" s="382">
        <v>0</v>
      </c>
      <c r="Y233" s="382">
        <v>0</v>
      </c>
      <c r="Z233" s="382">
        <v>1</v>
      </c>
      <c r="AA233" s="382">
        <v>5</v>
      </c>
      <c r="AB233" s="382">
        <v>35</v>
      </c>
      <c r="AC233" s="382">
        <v>8</v>
      </c>
      <c r="AD233" s="386">
        <v>1693</v>
      </c>
      <c r="AE233" s="386">
        <v>16</v>
      </c>
      <c r="AF233" s="386">
        <v>10</v>
      </c>
      <c r="AG233" s="386">
        <v>26</v>
      </c>
    </row>
    <row r="234" spans="1:33" x14ac:dyDescent="0.35">
      <c r="A234" s="381" t="s">
        <v>526</v>
      </c>
      <c r="B234" s="387" t="s">
        <v>527</v>
      </c>
      <c r="C234" s="383">
        <v>5532</v>
      </c>
      <c r="D234" s="383">
        <v>0</v>
      </c>
      <c r="E234" s="383">
        <v>84</v>
      </c>
      <c r="F234" s="383">
        <v>1071</v>
      </c>
      <c r="G234" s="383">
        <v>855</v>
      </c>
      <c r="H234" s="383">
        <v>7542</v>
      </c>
      <c r="I234" s="382">
        <v>6687</v>
      </c>
      <c r="J234" s="382">
        <v>101</v>
      </c>
      <c r="K234" s="384">
        <v>105.28</v>
      </c>
      <c r="L234" s="384">
        <v>101.83</v>
      </c>
      <c r="M234" s="384">
        <v>3.99</v>
      </c>
      <c r="N234" s="384">
        <v>107.85</v>
      </c>
      <c r="O234" s="385">
        <v>5181</v>
      </c>
      <c r="P234" s="382">
        <v>90.82</v>
      </c>
      <c r="Q234" s="382">
        <v>87</v>
      </c>
      <c r="R234" s="382">
        <v>22.38</v>
      </c>
      <c r="S234" s="382">
        <v>113.02</v>
      </c>
      <c r="T234" s="382">
        <v>903</v>
      </c>
      <c r="U234" s="382">
        <v>159.97</v>
      </c>
      <c r="V234" s="382">
        <v>316</v>
      </c>
      <c r="W234" s="382">
        <v>137.56</v>
      </c>
      <c r="X234" s="382">
        <v>102</v>
      </c>
      <c r="Y234" s="382">
        <v>0</v>
      </c>
      <c r="Z234" s="382">
        <v>2</v>
      </c>
      <c r="AA234" s="382">
        <v>0</v>
      </c>
      <c r="AB234" s="382">
        <v>51</v>
      </c>
      <c r="AC234" s="382">
        <v>16</v>
      </c>
      <c r="AD234" s="386">
        <v>5520</v>
      </c>
      <c r="AE234" s="386">
        <v>27</v>
      </c>
      <c r="AF234" s="386">
        <v>15</v>
      </c>
      <c r="AG234" s="386">
        <v>42</v>
      </c>
    </row>
    <row r="235" spans="1:33" x14ac:dyDescent="0.35">
      <c r="A235" s="381" t="s">
        <v>528</v>
      </c>
      <c r="B235" s="387" t="s">
        <v>529</v>
      </c>
      <c r="C235" s="383">
        <v>15456</v>
      </c>
      <c r="D235" s="383">
        <v>6</v>
      </c>
      <c r="E235" s="383">
        <v>1369</v>
      </c>
      <c r="F235" s="383">
        <v>1039</v>
      </c>
      <c r="G235" s="383">
        <v>443</v>
      </c>
      <c r="H235" s="383">
        <v>18313</v>
      </c>
      <c r="I235" s="382">
        <v>17870</v>
      </c>
      <c r="J235" s="382">
        <v>177</v>
      </c>
      <c r="K235" s="384">
        <v>79.069999999999993</v>
      </c>
      <c r="L235" s="384">
        <v>76.84</v>
      </c>
      <c r="M235" s="384">
        <v>7.78</v>
      </c>
      <c r="N235" s="384">
        <v>81.7</v>
      </c>
      <c r="O235" s="385">
        <v>13063</v>
      </c>
      <c r="P235" s="382">
        <v>84.65</v>
      </c>
      <c r="Q235" s="382">
        <v>77.180000000000007</v>
      </c>
      <c r="R235" s="382">
        <v>54.85</v>
      </c>
      <c r="S235" s="382">
        <v>138.55000000000001</v>
      </c>
      <c r="T235" s="382">
        <v>2135</v>
      </c>
      <c r="U235" s="382">
        <v>95.02</v>
      </c>
      <c r="V235" s="382">
        <v>2115</v>
      </c>
      <c r="W235" s="382">
        <v>98.75</v>
      </c>
      <c r="X235" s="382">
        <v>9</v>
      </c>
      <c r="Y235" s="382">
        <v>0</v>
      </c>
      <c r="Z235" s="382">
        <v>41</v>
      </c>
      <c r="AA235" s="382">
        <v>14</v>
      </c>
      <c r="AB235" s="382">
        <v>0</v>
      </c>
      <c r="AC235" s="382">
        <v>16</v>
      </c>
      <c r="AD235" s="386">
        <v>15343</v>
      </c>
      <c r="AE235" s="386">
        <v>88</v>
      </c>
      <c r="AF235" s="386">
        <v>98</v>
      </c>
      <c r="AG235" s="386">
        <v>186</v>
      </c>
    </row>
    <row r="236" spans="1:33" x14ac:dyDescent="0.35">
      <c r="A236" s="381" t="s">
        <v>530</v>
      </c>
      <c r="B236" s="387" t="s">
        <v>531</v>
      </c>
      <c r="C236" s="383">
        <v>12633</v>
      </c>
      <c r="D236" s="383">
        <v>25</v>
      </c>
      <c r="E236" s="383">
        <v>445</v>
      </c>
      <c r="F236" s="383">
        <v>1623</v>
      </c>
      <c r="G236" s="383">
        <v>924</v>
      </c>
      <c r="H236" s="383">
        <v>15650</v>
      </c>
      <c r="I236" s="382">
        <v>14726</v>
      </c>
      <c r="J236" s="382">
        <v>81</v>
      </c>
      <c r="K236" s="384">
        <v>87.07</v>
      </c>
      <c r="L236" s="384">
        <v>86.22</v>
      </c>
      <c r="M236" s="384">
        <v>3.71</v>
      </c>
      <c r="N236" s="384">
        <v>89.07</v>
      </c>
      <c r="O236" s="385">
        <v>10235</v>
      </c>
      <c r="P236" s="382">
        <v>86.76</v>
      </c>
      <c r="Q236" s="382">
        <v>80.3</v>
      </c>
      <c r="R236" s="382">
        <v>21.82</v>
      </c>
      <c r="S236" s="382">
        <v>108.46</v>
      </c>
      <c r="T236" s="382">
        <v>1645</v>
      </c>
      <c r="U236" s="382">
        <v>104.42</v>
      </c>
      <c r="V236" s="382">
        <v>1652</v>
      </c>
      <c r="W236" s="382">
        <v>201.07</v>
      </c>
      <c r="X236" s="382">
        <v>348</v>
      </c>
      <c r="Y236" s="382">
        <v>0</v>
      </c>
      <c r="Z236" s="382">
        <v>50</v>
      </c>
      <c r="AA236" s="382">
        <v>21</v>
      </c>
      <c r="AB236" s="382">
        <v>43</v>
      </c>
      <c r="AC236" s="382">
        <v>17</v>
      </c>
      <c r="AD236" s="386">
        <v>12345</v>
      </c>
      <c r="AE236" s="386">
        <v>242</v>
      </c>
      <c r="AF236" s="386">
        <v>37</v>
      </c>
      <c r="AG236" s="386">
        <v>279</v>
      </c>
    </row>
    <row r="237" spans="1:33" x14ac:dyDescent="0.35">
      <c r="A237" s="381" t="s">
        <v>532</v>
      </c>
      <c r="B237" s="387" t="s">
        <v>533</v>
      </c>
      <c r="C237" s="383">
        <v>3572</v>
      </c>
      <c r="D237" s="383">
        <v>24</v>
      </c>
      <c r="E237" s="383">
        <v>379</v>
      </c>
      <c r="F237" s="383">
        <v>230</v>
      </c>
      <c r="G237" s="383">
        <v>476</v>
      </c>
      <c r="H237" s="383">
        <v>4681</v>
      </c>
      <c r="I237" s="382">
        <v>4205</v>
      </c>
      <c r="J237" s="382">
        <v>9</v>
      </c>
      <c r="K237" s="384">
        <v>118.75</v>
      </c>
      <c r="L237" s="384">
        <v>117.24</v>
      </c>
      <c r="M237" s="384">
        <v>7.2</v>
      </c>
      <c r="N237" s="384">
        <v>124.97</v>
      </c>
      <c r="O237" s="385">
        <v>3182</v>
      </c>
      <c r="P237" s="382">
        <v>103.94</v>
      </c>
      <c r="Q237" s="382">
        <v>101.22</v>
      </c>
      <c r="R237" s="382">
        <v>57.1</v>
      </c>
      <c r="S237" s="382">
        <v>146.93</v>
      </c>
      <c r="T237" s="382">
        <v>498</v>
      </c>
      <c r="U237" s="382">
        <v>146.49</v>
      </c>
      <c r="V237" s="382">
        <v>175</v>
      </c>
      <c r="W237" s="382">
        <v>0</v>
      </c>
      <c r="X237" s="382">
        <v>0</v>
      </c>
      <c r="Y237" s="382">
        <v>16</v>
      </c>
      <c r="Z237" s="382">
        <v>5</v>
      </c>
      <c r="AA237" s="382">
        <v>1</v>
      </c>
      <c r="AB237" s="382">
        <v>3</v>
      </c>
      <c r="AC237" s="382">
        <v>15</v>
      </c>
      <c r="AD237" s="386">
        <v>3411</v>
      </c>
      <c r="AE237" s="386">
        <v>17</v>
      </c>
      <c r="AF237" s="386">
        <v>12</v>
      </c>
      <c r="AG237" s="386">
        <v>29</v>
      </c>
    </row>
    <row r="238" spans="1:33" x14ac:dyDescent="0.35">
      <c r="A238" s="381" t="s">
        <v>534</v>
      </c>
      <c r="B238" s="387" t="s">
        <v>535</v>
      </c>
      <c r="C238" s="383">
        <v>2513</v>
      </c>
      <c r="D238" s="383">
        <v>0</v>
      </c>
      <c r="E238" s="383">
        <v>248</v>
      </c>
      <c r="F238" s="383">
        <v>601</v>
      </c>
      <c r="G238" s="383">
        <v>615</v>
      </c>
      <c r="H238" s="383">
        <v>3977</v>
      </c>
      <c r="I238" s="382">
        <v>3362</v>
      </c>
      <c r="J238" s="382">
        <v>0</v>
      </c>
      <c r="K238" s="384">
        <v>101.1</v>
      </c>
      <c r="L238" s="384">
        <v>99.53</v>
      </c>
      <c r="M238" s="384">
        <v>5.36</v>
      </c>
      <c r="N238" s="384">
        <v>105.29</v>
      </c>
      <c r="O238" s="385">
        <v>1960</v>
      </c>
      <c r="P238" s="382">
        <v>89.39</v>
      </c>
      <c r="Q238" s="382">
        <v>84.35</v>
      </c>
      <c r="R238" s="382">
        <v>58.48</v>
      </c>
      <c r="S238" s="382">
        <v>143.57</v>
      </c>
      <c r="T238" s="382">
        <v>490</v>
      </c>
      <c r="U238" s="382">
        <v>112.23</v>
      </c>
      <c r="V238" s="382">
        <v>517</v>
      </c>
      <c r="W238" s="382">
        <v>141.06</v>
      </c>
      <c r="X238" s="382">
        <v>107</v>
      </c>
      <c r="Y238" s="382">
        <v>0</v>
      </c>
      <c r="Z238" s="382">
        <v>13</v>
      </c>
      <c r="AA238" s="382">
        <v>0</v>
      </c>
      <c r="AB238" s="382">
        <v>76</v>
      </c>
      <c r="AC238" s="382">
        <v>11</v>
      </c>
      <c r="AD238" s="386">
        <v>2505</v>
      </c>
      <c r="AE238" s="386">
        <v>12</v>
      </c>
      <c r="AF238" s="386">
        <v>1</v>
      </c>
      <c r="AG238" s="386">
        <v>13</v>
      </c>
    </row>
    <row r="239" spans="1:33" x14ac:dyDescent="0.35">
      <c r="A239" s="381" t="s">
        <v>536</v>
      </c>
      <c r="B239" s="387" t="s">
        <v>537</v>
      </c>
      <c r="C239" s="382">
        <v>4114</v>
      </c>
      <c r="D239" s="382">
        <v>0</v>
      </c>
      <c r="E239" s="382">
        <v>475</v>
      </c>
      <c r="F239" s="382">
        <v>848</v>
      </c>
      <c r="G239" s="382">
        <v>588</v>
      </c>
      <c r="H239" s="382">
        <v>6025</v>
      </c>
      <c r="I239" s="382">
        <v>5437</v>
      </c>
      <c r="J239" s="382">
        <v>0</v>
      </c>
      <c r="K239" s="382">
        <v>94.26</v>
      </c>
      <c r="L239" s="384">
        <v>93.22</v>
      </c>
      <c r="M239" s="384">
        <v>4.6399999999999997</v>
      </c>
      <c r="N239" s="384">
        <v>98.05</v>
      </c>
      <c r="O239" s="385">
        <v>3360</v>
      </c>
      <c r="P239" s="382">
        <v>90.07</v>
      </c>
      <c r="Q239" s="382">
        <v>89.3</v>
      </c>
      <c r="R239" s="382">
        <v>39.08</v>
      </c>
      <c r="S239" s="382">
        <v>128.07</v>
      </c>
      <c r="T239" s="382">
        <v>1010</v>
      </c>
      <c r="U239" s="382">
        <v>111.36</v>
      </c>
      <c r="V239" s="382">
        <v>385</v>
      </c>
      <c r="W239" s="382">
        <v>147.02000000000001</v>
      </c>
      <c r="X239" s="382">
        <v>78</v>
      </c>
      <c r="Y239" s="382">
        <v>12</v>
      </c>
      <c r="Z239" s="382">
        <v>5</v>
      </c>
      <c r="AA239" s="382">
        <v>11</v>
      </c>
      <c r="AB239" s="382">
        <v>38</v>
      </c>
      <c r="AC239" s="382">
        <v>12</v>
      </c>
      <c r="AD239" s="382">
        <v>3728</v>
      </c>
      <c r="AE239" s="382">
        <v>26</v>
      </c>
      <c r="AF239" s="382">
        <v>2</v>
      </c>
      <c r="AG239" s="382">
        <v>28</v>
      </c>
    </row>
    <row r="240" spans="1:33" x14ac:dyDescent="0.35">
      <c r="A240" s="381" t="s">
        <v>538</v>
      </c>
      <c r="B240" s="387" t="s">
        <v>539</v>
      </c>
      <c r="C240" s="383">
        <v>3508</v>
      </c>
      <c r="D240" s="383">
        <v>0</v>
      </c>
      <c r="E240" s="383">
        <v>371</v>
      </c>
      <c r="F240" s="383">
        <v>206</v>
      </c>
      <c r="G240" s="383">
        <v>1255</v>
      </c>
      <c r="H240" s="383">
        <v>5340</v>
      </c>
      <c r="I240" s="382">
        <v>4085</v>
      </c>
      <c r="J240" s="382">
        <v>60</v>
      </c>
      <c r="K240" s="384">
        <v>109.66</v>
      </c>
      <c r="L240" s="384">
        <v>108.85</v>
      </c>
      <c r="M240" s="384">
        <v>3.17</v>
      </c>
      <c r="N240" s="384">
        <v>112.43</v>
      </c>
      <c r="O240" s="385">
        <v>2376</v>
      </c>
      <c r="P240" s="382">
        <v>102.84</v>
      </c>
      <c r="Q240" s="382">
        <v>101.98</v>
      </c>
      <c r="R240" s="382">
        <v>48.88</v>
      </c>
      <c r="S240" s="382">
        <v>151.53</v>
      </c>
      <c r="T240" s="382">
        <v>265</v>
      </c>
      <c r="U240" s="382">
        <v>147.59</v>
      </c>
      <c r="V240" s="382">
        <v>763</v>
      </c>
      <c r="W240" s="382">
        <v>170.47</v>
      </c>
      <c r="X240" s="382">
        <v>79</v>
      </c>
      <c r="Y240" s="382">
        <v>0</v>
      </c>
      <c r="Z240" s="382">
        <v>0</v>
      </c>
      <c r="AA240" s="382">
        <v>0</v>
      </c>
      <c r="AB240" s="382">
        <v>77</v>
      </c>
      <c r="AC240" s="382">
        <v>26</v>
      </c>
      <c r="AD240" s="386">
        <v>3279</v>
      </c>
      <c r="AE240" s="386">
        <v>33</v>
      </c>
      <c r="AF240" s="386">
        <v>10</v>
      </c>
      <c r="AG240" s="386">
        <v>43</v>
      </c>
    </row>
    <row r="241" spans="1:33" x14ac:dyDescent="0.35">
      <c r="A241" s="381" t="s">
        <v>540</v>
      </c>
      <c r="B241" s="387" t="s">
        <v>541</v>
      </c>
      <c r="C241" s="383">
        <v>1623</v>
      </c>
      <c r="D241" s="383">
        <v>0</v>
      </c>
      <c r="E241" s="383">
        <v>140</v>
      </c>
      <c r="F241" s="383">
        <v>44</v>
      </c>
      <c r="G241" s="383">
        <v>311</v>
      </c>
      <c r="H241" s="383">
        <v>2118</v>
      </c>
      <c r="I241" s="382">
        <v>1807</v>
      </c>
      <c r="J241" s="382">
        <v>0</v>
      </c>
      <c r="K241" s="384">
        <v>91.54</v>
      </c>
      <c r="L241" s="384">
        <v>90.53</v>
      </c>
      <c r="M241" s="384">
        <v>4.58</v>
      </c>
      <c r="N241" s="384">
        <v>94.77</v>
      </c>
      <c r="O241" s="385">
        <v>1276</v>
      </c>
      <c r="P241" s="382">
        <v>107.94</v>
      </c>
      <c r="Q241" s="382">
        <v>110.83</v>
      </c>
      <c r="R241" s="382">
        <v>97.83</v>
      </c>
      <c r="S241" s="382">
        <v>185.5</v>
      </c>
      <c r="T241" s="382">
        <v>111</v>
      </c>
      <c r="U241" s="382">
        <v>103.27</v>
      </c>
      <c r="V241" s="382">
        <v>338</v>
      </c>
      <c r="W241" s="382">
        <v>189.53</v>
      </c>
      <c r="X241" s="382">
        <v>48</v>
      </c>
      <c r="Y241" s="382">
        <v>0</v>
      </c>
      <c r="Z241" s="382">
        <v>4</v>
      </c>
      <c r="AA241" s="382">
        <v>0</v>
      </c>
      <c r="AB241" s="382">
        <v>49</v>
      </c>
      <c r="AC241" s="382">
        <v>6</v>
      </c>
      <c r="AD241" s="386">
        <v>1607</v>
      </c>
      <c r="AE241" s="386">
        <v>77</v>
      </c>
      <c r="AF241" s="386">
        <v>2</v>
      </c>
      <c r="AG241" s="386">
        <v>79</v>
      </c>
    </row>
    <row r="242" spans="1:33" x14ac:dyDescent="0.35">
      <c r="A242" s="381" t="s">
        <v>542</v>
      </c>
      <c r="B242" s="387" t="s">
        <v>543</v>
      </c>
      <c r="C242" s="383">
        <v>11016</v>
      </c>
      <c r="D242" s="383">
        <v>0</v>
      </c>
      <c r="E242" s="383">
        <v>323</v>
      </c>
      <c r="F242" s="383">
        <v>1799</v>
      </c>
      <c r="G242" s="383">
        <v>966</v>
      </c>
      <c r="H242" s="383">
        <v>14104</v>
      </c>
      <c r="I242" s="382">
        <v>13138</v>
      </c>
      <c r="J242" s="382">
        <v>1</v>
      </c>
      <c r="K242" s="384">
        <v>97.02</v>
      </c>
      <c r="L242" s="384">
        <v>97.73</v>
      </c>
      <c r="M242" s="384">
        <v>5.5</v>
      </c>
      <c r="N242" s="384">
        <v>100.23</v>
      </c>
      <c r="O242" s="385">
        <v>9957</v>
      </c>
      <c r="P242" s="382">
        <v>88.24</v>
      </c>
      <c r="Q242" s="382">
        <v>84.01</v>
      </c>
      <c r="R242" s="382">
        <v>31.78</v>
      </c>
      <c r="S242" s="382">
        <v>119.94</v>
      </c>
      <c r="T242" s="382">
        <v>1871</v>
      </c>
      <c r="U242" s="382">
        <v>137.74</v>
      </c>
      <c r="V242" s="382">
        <v>684</v>
      </c>
      <c r="W242" s="382">
        <v>199.63</v>
      </c>
      <c r="X242" s="382">
        <v>94</v>
      </c>
      <c r="Y242" s="382">
        <v>0</v>
      </c>
      <c r="Z242" s="382">
        <v>16</v>
      </c>
      <c r="AA242" s="382">
        <v>0</v>
      </c>
      <c r="AB242" s="382">
        <v>84</v>
      </c>
      <c r="AC242" s="382">
        <v>10</v>
      </c>
      <c r="AD242" s="386">
        <v>10697</v>
      </c>
      <c r="AE242" s="386">
        <v>96</v>
      </c>
      <c r="AF242" s="386">
        <v>76</v>
      </c>
      <c r="AG242" s="386">
        <v>172</v>
      </c>
    </row>
    <row r="243" spans="1:33" x14ac:dyDescent="0.35">
      <c r="A243" s="381" t="s">
        <v>544</v>
      </c>
      <c r="B243" s="387" t="s">
        <v>545</v>
      </c>
      <c r="C243" s="383">
        <v>3942</v>
      </c>
      <c r="D243" s="383">
        <v>0</v>
      </c>
      <c r="E243" s="383">
        <v>88</v>
      </c>
      <c r="F243" s="383">
        <v>598</v>
      </c>
      <c r="G243" s="383">
        <v>576</v>
      </c>
      <c r="H243" s="383">
        <v>5204</v>
      </c>
      <c r="I243" s="382">
        <v>4628</v>
      </c>
      <c r="J243" s="382">
        <v>3</v>
      </c>
      <c r="K243" s="384">
        <v>92.45</v>
      </c>
      <c r="L243" s="384">
        <v>88.89</v>
      </c>
      <c r="M243" s="384">
        <v>2.13</v>
      </c>
      <c r="N243" s="384">
        <v>94.48</v>
      </c>
      <c r="O243" s="385">
        <v>3280</v>
      </c>
      <c r="P243" s="382">
        <v>81.94</v>
      </c>
      <c r="Q243" s="382">
        <v>73.28</v>
      </c>
      <c r="R243" s="382">
        <v>32.909999999999997</v>
      </c>
      <c r="S243" s="382">
        <v>113.5</v>
      </c>
      <c r="T243" s="382">
        <v>558</v>
      </c>
      <c r="U243" s="382">
        <v>123.21</v>
      </c>
      <c r="V243" s="382">
        <v>328</v>
      </c>
      <c r="W243" s="382">
        <v>216.65</v>
      </c>
      <c r="X243" s="382">
        <v>41</v>
      </c>
      <c r="Y243" s="382">
        <v>0</v>
      </c>
      <c r="Z243" s="382">
        <v>3</v>
      </c>
      <c r="AA243" s="382">
        <v>3</v>
      </c>
      <c r="AB243" s="382">
        <v>58</v>
      </c>
      <c r="AC243" s="382">
        <v>7</v>
      </c>
      <c r="AD243" s="386">
        <v>3671</v>
      </c>
      <c r="AE243" s="386">
        <v>13</v>
      </c>
      <c r="AF243" s="386">
        <v>10</v>
      </c>
      <c r="AG243" s="386">
        <v>23</v>
      </c>
    </row>
    <row r="244" spans="1:33" x14ac:dyDescent="0.35">
      <c r="A244" s="381" t="s">
        <v>546</v>
      </c>
      <c r="B244" s="387" t="s">
        <v>547</v>
      </c>
      <c r="C244" s="383">
        <v>1023</v>
      </c>
      <c r="D244" s="383">
        <v>0</v>
      </c>
      <c r="E244" s="383">
        <v>110</v>
      </c>
      <c r="F244" s="383">
        <v>0</v>
      </c>
      <c r="G244" s="383">
        <v>312</v>
      </c>
      <c r="H244" s="383">
        <v>1445</v>
      </c>
      <c r="I244" s="382">
        <v>1133</v>
      </c>
      <c r="J244" s="382">
        <v>0</v>
      </c>
      <c r="K244" s="384">
        <v>83.98</v>
      </c>
      <c r="L244" s="384">
        <v>85.61</v>
      </c>
      <c r="M244" s="384">
        <v>4.8899999999999997</v>
      </c>
      <c r="N244" s="384">
        <v>87.89</v>
      </c>
      <c r="O244" s="385">
        <v>751</v>
      </c>
      <c r="P244" s="382">
        <v>115.05</v>
      </c>
      <c r="Q244" s="382">
        <v>70.2</v>
      </c>
      <c r="R244" s="382">
        <v>103.53</v>
      </c>
      <c r="S244" s="382">
        <v>218.58</v>
      </c>
      <c r="T244" s="382">
        <v>96</v>
      </c>
      <c r="U244" s="382">
        <v>104.17</v>
      </c>
      <c r="V244" s="382">
        <v>165</v>
      </c>
      <c r="W244" s="382">
        <v>0</v>
      </c>
      <c r="X244" s="382">
        <v>0</v>
      </c>
      <c r="Y244" s="382">
        <v>0</v>
      </c>
      <c r="Z244" s="382">
        <v>0</v>
      </c>
      <c r="AA244" s="382">
        <v>0</v>
      </c>
      <c r="AB244" s="382">
        <v>3</v>
      </c>
      <c r="AC244" s="382">
        <v>3</v>
      </c>
      <c r="AD244" s="386">
        <v>958</v>
      </c>
      <c r="AE244" s="386">
        <v>6</v>
      </c>
      <c r="AF244" s="386">
        <v>0</v>
      </c>
      <c r="AG244" s="386">
        <v>6</v>
      </c>
    </row>
    <row r="245" spans="1:33" x14ac:dyDescent="0.35">
      <c r="A245" s="381" t="s">
        <v>548</v>
      </c>
      <c r="B245" s="387" t="s">
        <v>549</v>
      </c>
      <c r="C245" s="383">
        <v>1788</v>
      </c>
      <c r="D245" s="383">
        <v>0</v>
      </c>
      <c r="E245" s="383">
        <v>148</v>
      </c>
      <c r="F245" s="383">
        <v>269</v>
      </c>
      <c r="G245" s="383">
        <v>510</v>
      </c>
      <c r="H245" s="383">
        <v>2715</v>
      </c>
      <c r="I245" s="382">
        <v>2205</v>
      </c>
      <c r="J245" s="382">
        <v>1</v>
      </c>
      <c r="K245" s="384">
        <v>86.91</v>
      </c>
      <c r="L245" s="384">
        <v>86.77</v>
      </c>
      <c r="M245" s="384">
        <v>5.37</v>
      </c>
      <c r="N245" s="384">
        <v>91.64</v>
      </c>
      <c r="O245" s="385">
        <v>1242</v>
      </c>
      <c r="P245" s="382">
        <v>94.31</v>
      </c>
      <c r="Q245" s="382">
        <v>76.37</v>
      </c>
      <c r="R245" s="382">
        <v>45.02</v>
      </c>
      <c r="S245" s="382">
        <v>133.9</v>
      </c>
      <c r="T245" s="382">
        <v>282</v>
      </c>
      <c r="U245" s="382">
        <v>102.94</v>
      </c>
      <c r="V245" s="382">
        <v>257</v>
      </c>
      <c r="W245" s="382">
        <v>0</v>
      </c>
      <c r="X245" s="382">
        <v>0</v>
      </c>
      <c r="Y245" s="382">
        <v>0</v>
      </c>
      <c r="Z245" s="382">
        <v>1</v>
      </c>
      <c r="AA245" s="382">
        <v>1</v>
      </c>
      <c r="AB245" s="382">
        <v>26</v>
      </c>
      <c r="AC245" s="382">
        <v>11</v>
      </c>
      <c r="AD245" s="386">
        <v>1712</v>
      </c>
      <c r="AE245" s="386">
        <v>18</v>
      </c>
      <c r="AF245" s="386">
        <v>3</v>
      </c>
      <c r="AG245" s="386">
        <v>21</v>
      </c>
    </row>
    <row r="246" spans="1:33" x14ac:dyDescent="0.35">
      <c r="A246" s="381" t="s">
        <v>550</v>
      </c>
      <c r="B246" s="387" t="s">
        <v>551</v>
      </c>
      <c r="C246" s="383">
        <v>4114</v>
      </c>
      <c r="D246" s="383">
        <v>0</v>
      </c>
      <c r="E246" s="383">
        <v>232</v>
      </c>
      <c r="F246" s="383">
        <v>543</v>
      </c>
      <c r="G246" s="383">
        <v>181</v>
      </c>
      <c r="H246" s="383">
        <v>5070</v>
      </c>
      <c r="I246" s="382">
        <v>4889</v>
      </c>
      <c r="J246" s="382">
        <v>0</v>
      </c>
      <c r="K246" s="384">
        <v>90.47</v>
      </c>
      <c r="L246" s="384">
        <v>90.41</v>
      </c>
      <c r="M246" s="384">
        <v>4.17</v>
      </c>
      <c r="N246" s="384">
        <v>91.65</v>
      </c>
      <c r="O246" s="385">
        <v>3563</v>
      </c>
      <c r="P246" s="382">
        <v>84.5</v>
      </c>
      <c r="Q246" s="382">
        <v>81.05</v>
      </c>
      <c r="R246" s="382">
        <v>43.01</v>
      </c>
      <c r="S246" s="382">
        <v>127</v>
      </c>
      <c r="T246" s="382">
        <v>678</v>
      </c>
      <c r="U246" s="382">
        <v>113.76</v>
      </c>
      <c r="V246" s="382">
        <v>468</v>
      </c>
      <c r="W246" s="382">
        <v>202.68</v>
      </c>
      <c r="X246" s="382">
        <v>8</v>
      </c>
      <c r="Y246" s="382">
        <v>0</v>
      </c>
      <c r="Z246" s="382">
        <v>22</v>
      </c>
      <c r="AA246" s="382">
        <v>0</v>
      </c>
      <c r="AB246" s="382">
        <v>0</v>
      </c>
      <c r="AC246" s="382">
        <v>0</v>
      </c>
      <c r="AD246" s="386">
        <v>4028</v>
      </c>
      <c r="AE246" s="386">
        <v>4</v>
      </c>
      <c r="AF246" s="386">
        <v>24</v>
      </c>
      <c r="AG246" s="386">
        <v>28</v>
      </c>
    </row>
    <row r="247" spans="1:33" x14ac:dyDescent="0.35">
      <c r="A247" s="381" t="s">
        <v>552</v>
      </c>
      <c r="B247" s="387" t="s">
        <v>553</v>
      </c>
      <c r="C247" s="383">
        <v>6455</v>
      </c>
      <c r="D247" s="383">
        <v>0</v>
      </c>
      <c r="E247" s="383">
        <v>238</v>
      </c>
      <c r="F247" s="383">
        <v>924</v>
      </c>
      <c r="G247" s="383">
        <v>670</v>
      </c>
      <c r="H247" s="383">
        <v>8287</v>
      </c>
      <c r="I247" s="382">
        <v>7617</v>
      </c>
      <c r="J247" s="382">
        <v>1</v>
      </c>
      <c r="K247" s="384">
        <v>87.26</v>
      </c>
      <c r="L247" s="384">
        <v>86.91</v>
      </c>
      <c r="M247" s="384">
        <v>5.1100000000000003</v>
      </c>
      <c r="N247" s="384">
        <v>88.74</v>
      </c>
      <c r="O247" s="385">
        <v>4369</v>
      </c>
      <c r="P247" s="382">
        <v>87.69</v>
      </c>
      <c r="Q247" s="382">
        <v>80.45</v>
      </c>
      <c r="R247" s="382">
        <v>34.11</v>
      </c>
      <c r="S247" s="382">
        <v>120.92</v>
      </c>
      <c r="T247" s="382">
        <v>1118</v>
      </c>
      <c r="U247" s="382">
        <v>111.54</v>
      </c>
      <c r="V247" s="382">
        <v>1883</v>
      </c>
      <c r="W247" s="382">
        <v>0</v>
      </c>
      <c r="X247" s="382">
        <v>0</v>
      </c>
      <c r="Y247" s="382">
        <v>30</v>
      </c>
      <c r="Z247" s="382">
        <v>4</v>
      </c>
      <c r="AA247" s="382">
        <v>5</v>
      </c>
      <c r="AB247" s="382">
        <v>35</v>
      </c>
      <c r="AC247" s="382">
        <v>7</v>
      </c>
      <c r="AD247" s="386">
        <v>6449</v>
      </c>
      <c r="AE247" s="386">
        <v>41</v>
      </c>
      <c r="AF247" s="386">
        <v>32</v>
      </c>
      <c r="AG247" s="386">
        <v>73</v>
      </c>
    </row>
    <row r="248" spans="1:33" x14ac:dyDescent="0.35">
      <c r="A248" s="381" t="s">
        <v>554</v>
      </c>
      <c r="B248" s="387" t="s">
        <v>555</v>
      </c>
      <c r="C248" s="383">
        <v>6468</v>
      </c>
      <c r="D248" s="383">
        <v>0</v>
      </c>
      <c r="E248" s="383">
        <v>227</v>
      </c>
      <c r="F248" s="383">
        <v>710</v>
      </c>
      <c r="G248" s="383">
        <v>1036</v>
      </c>
      <c r="H248" s="383">
        <v>8441</v>
      </c>
      <c r="I248" s="382">
        <v>7405</v>
      </c>
      <c r="J248" s="382">
        <v>2</v>
      </c>
      <c r="K248" s="384">
        <v>109.55</v>
      </c>
      <c r="L248" s="384">
        <v>108.38</v>
      </c>
      <c r="M248" s="384">
        <v>6.73</v>
      </c>
      <c r="N248" s="384">
        <v>111.96</v>
      </c>
      <c r="O248" s="385">
        <v>5261</v>
      </c>
      <c r="P248" s="382">
        <v>93.32</v>
      </c>
      <c r="Q248" s="382">
        <v>90.29</v>
      </c>
      <c r="R248" s="382">
        <v>24.57</v>
      </c>
      <c r="S248" s="382">
        <v>115.75</v>
      </c>
      <c r="T248" s="382">
        <v>767</v>
      </c>
      <c r="U248" s="382">
        <v>176.09</v>
      </c>
      <c r="V248" s="382">
        <v>1067</v>
      </c>
      <c r="W248" s="382">
        <v>160.88</v>
      </c>
      <c r="X248" s="382">
        <v>39</v>
      </c>
      <c r="Y248" s="382">
        <v>0</v>
      </c>
      <c r="Z248" s="382">
        <v>1</v>
      </c>
      <c r="AA248" s="382">
        <v>3</v>
      </c>
      <c r="AB248" s="382">
        <v>142</v>
      </c>
      <c r="AC248" s="382">
        <v>16</v>
      </c>
      <c r="AD248" s="386">
        <v>6338</v>
      </c>
      <c r="AE248" s="386">
        <v>62</v>
      </c>
      <c r="AF248" s="386">
        <v>16</v>
      </c>
      <c r="AG248" s="386">
        <v>78</v>
      </c>
    </row>
    <row r="249" spans="1:33" x14ac:dyDescent="0.35">
      <c r="A249" s="381" t="s">
        <v>556</v>
      </c>
      <c r="B249" s="387" t="s">
        <v>557</v>
      </c>
      <c r="C249" s="383">
        <v>3956</v>
      </c>
      <c r="D249" s="383">
        <v>3</v>
      </c>
      <c r="E249" s="383">
        <v>262</v>
      </c>
      <c r="F249" s="383">
        <v>1066</v>
      </c>
      <c r="G249" s="383">
        <v>235</v>
      </c>
      <c r="H249" s="383">
        <v>5522</v>
      </c>
      <c r="I249" s="382">
        <v>5287</v>
      </c>
      <c r="J249" s="382">
        <v>24</v>
      </c>
      <c r="K249" s="384">
        <v>85.86</v>
      </c>
      <c r="L249" s="384">
        <v>86.19</v>
      </c>
      <c r="M249" s="384">
        <v>2.67</v>
      </c>
      <c r="N249" s="384">
        <v>88.44</v>
      </c>
      <c r="O249" s="385">
        <v>3544</v>
      </c>
      <c r="P249" s="382">
        <v>88.03</v>
      </c>
      <c r="Q249" s="382">
        <v>80.2</v>
      </c>
      <c r="R249" s="382">
        <v>25.03</v>
      </c>
      <c r="S249" s="382">
        <v>112.91</v>
      </c>
      <c r="T249" s="382">
        <v>1242</v>
      </c>
      <c r="U249" s="382">
        <v>101.53</v>
      </c>
      <c r="V249" s="382">
        <v>397</v>
      </c>
      <c r="W249" s="382">
        <v>0</v>
      </c>
      <c r="X249" s="382">
        <v>0</v>
      </c>
      <c r="Y249" s="382">
        <v>0</v>
      </c>
      <c r="Z249" s="382">
        <v>7</v>
      </c>
      <c r="AA249" s="382">
        <v>0</v>
      </c>
      <c r="AB249" s="382">
        <v>10</v>
      </c>
      <c r="AC249" s="382">
        <v>5</v>
      </c>
      <c r="AD249" s="386">
        <v>3954</v>
      </c>
      <c r="AE249" s="386">
        <v>24</v>
      </c>
      <c r="AF249" s="386">
        <v>3</v>
      </c>
      <c r="AG249" s="386">
        <v>27</v>
      </c>
    </row>
    <row r="250" spans="1:33" x14ac:dyDescent="0.35">
      <c r="A250" s="381" t="s">
        <v>558</v>
      </c>
      <c r="B250" s="387" t="s">
        <v>559</v>
      </c>
      <c r="C250" s="383">
        <v>9207</v>
      </c>
      <c r="D250" s="383">
        <v>0</v>
      </c>
      <c r="E250" s="383">
        <v>292</v>
      </c>
      <c r="F250" s="383">
        <v>1696</v>
      </c>
      <c r="G250" s="383">
        <v>723</v>
      </c>
      <c r="H250" s="383">
        <v>11918</v>
      </c>
      <c r="I250" s="382">
        <v>11195</v>
      </c>
      <c r="J250" s="382">
        <v>0</v>
      </c>
      <c r="K250" s="384">
        <v>90.8</v>
      </c>
      <c r="L250" s="384">
        <v>90.22</v>
      </c>
      <c r="M250" s="384">
        <v>4.3899999999999997</v>
      </c>
      <c r="N250" s="384">
        <v>92.18</v>
      </c>
      <c r="O250" s="385">
        <v>8251</v>
      </c>
      <c r="P250" s="382">
        <v>84.57</v>
      </c>
      <c r="Q250" s="382">
        <v>83.54</v>
      </c>
      <c r="R250" s="382">
        <v>26.69</v>
      </c>
      <c r="S250" s="382">
        <v>111.22</v>
      </c>
      <c r="T250" s="382">
        <v>1941</v>
      </c>
      <c r="U250" s="382">
        <v>114.37</v>
      </c>
      <c r="V250" s="382">
        <v>620</v>
      </c>
      <c r="W250" s="382">
        <v>126.18</v>
      </c>
      <c r="X250" s="382">
        <v>30</v>
      </c>
      <c r="Y250" s="382">
        <v>0</v>
      </c>
      <c r="Z250" s="382">
        <v>29</v>
      </c>
      <c r="AA250" s="382">
        <v>5</v>
      </c>
      <c r="AB250" s="382">
        <v>67</v>
      </c>
      <c r="AC250" s="382">
        <v>12</v>
      </c>
      <c r="AD250" s="386">
        <v>9132</v>
      </c>
      <c r="AE250" s="386">
        <v>40</v>
      </c>
      <c r="AF250" s="386">
        <v>38</v>
      </c>
      <c r="AG250" s="386">
        <v>78</v>
      </c>
    </row>
    <row r="251" spans="1:33" x14ac:dyDescent="0.35">
      <c r="A251" s="381" t="s">
        <v>560</v>
      </c>
      <c r="B251" s="387" t="s">
        <v>561</v>
      </c>
      <c r="C251" s="383">
        <v>5710</v>
      </c>
      <c r="D251" s="383">
        <v>0</v>
      </c>
      <c r="E251" s="383">
        <v>301</v>
      </c>
      <c r="F251" s="383">
        <v>664</v>
      </c>
      <c r="G251" s="383">
        <v>346</v>
      </c>
      <c r="H251" s="383">
        <v>7021</v>
      </c>
      <c r="I251" s="382">
        <v>6675</v>
      </c>
      <c r="J251" s="382">
        <v>0</v>
      </c>
      <c r="K251" s="384">
        <v>85.64</v>
      </c>
      <c r="L251" s="384">
        <v>86.32</v>
      </c>
      <c r="M251" s="384">
        <v>5.01</v>
      </c>
      <c r="N251" s="384">
        <v>87.05</v>
      </c>
      <c r="O251" s="385">
        <v>5572</v>
      </c>
      <c r="P251" s="382">
        <v>79.040000000000006</v>
      </c>
      <c r="Q251" s="382">
        <v>79.989999999999995</v>
      </c>
      <c r="R251" s="382">
        <v>40.43</v>
      </c>
      <c r="S251" s="382">
        <v>118.5</v>
      </c>
      <c r="T251" s="382">
        <v>794</v>
      </c>
      <c r="U251" s="382">
        <v>102.88</v>
      </c>
      <c r="V251" s="382">
        <v>100</v>
      </c>
      <c r="W251" s="382">
        <v>177.67</v>
      </c>
      <c r="X251" s="382">
        <v>139</v>
      </c>
      <c r="Y251" s="382">
        <v>0</v>
      </c>
      <c r="Z251" s="382">
        <v>45</v>
      </c>
      <c r="AA251" s="382">
        <v>0</v>
      </c>
      <c r="AB251" s="382">
        <v>57</v>
      </c>
      <c r="AC251" s="382">
        <v>5</v>
      </c>
      <c r="AD251" s="386">
        <v>5710</v>
      </c>
      <c r="AE251" s="386">
        <v>10</v>
      </c>
      <c r="AF251" s="386">
        <v>44</v>
      </c>
      <c r="AG251" s="386">
        <v>54</v>
      </c>
    </row>
    <row r="252" spans="1:33" x14ac:dyDescent="0.35">
      <c r="A252" s="381" t="s">
        <v>562</v>
      </c>
      <c r="B252" s="387" t="s">
        <v>563</v>
      </c>
      <c r="C252" s="383">
        <v>3843</v>
      </c>
      <c r="D252" s="383">
        <v>23</v>
      </c>
      <c r="E252" s="383">
        <v>374</v>
      </c>
      <c r="F252" s="383">
        <v>964</v>
      </c>
      <c r="G252" s="383">
        <v>220</v>
      </c>
      <c r="H252" s="383">
        <v>5424</v>
      </c>
      <c r="I252" s="382">
        <v>5204</v>
      </c>
      <c r="J252" s="382">
        <v>0</v>
      </c>
      <c r="K252" s="384">
        <v>78.959999999999994</v>
      </c>
      <c r="L252" s="384">
        <v>75.599999999999994</v>
      </c>
      <c r="M252" s="384">
        <v>3.26</v>
      </c>
      <c r="N252" s="384">
        <v>81.150000000000006</v>
      </c>
      <c r="O252" s="385">
        <v>3133</v>
      </c>
      <c r="P252" s="382">
        <v>82.91</v>
      </c>
      <c r="Q252" s="382">
        <v>75.400000000000006</v>
      </c>
      <c r="R252" s="382">
        <v>64.2</v>
      </c>
      <c r="S252" s="382">
        <v>145.53</v>
      </c>
      <c r="T252" s="382">
        <v>935</v>
      </c>
      <c r="U252" s="382">
        <v>95.39</v>
      </c>
      <c r="V252" s="382">
        <v>649</v>
      </c>
      <c r="W252" s="382">
        <v>101.46</v>
      </c>
      <c r="X252" s="382">
        <v>290</v>
      </c>
      <c r="Y252" s="382">
        <v>887</v>
      </c>
      <c r="Z252" s="382">
        <v>1</v>
      </c>
      <c r="AA252" s="382">
        <v>4</v>
      </c>
      <c r="AB252" s="382">
        <v>6</v>
      </c>
      <c r="AC252" s="382">
        <v>3</v>
      </c>
      <c r="AD252" s="386">
        <v>3669</v>
      </c>
      <c r="AE252" s="386">
        <v>85</v>
      </c>
      <c r="AF252" s="386">
        <v>27</v>
      </c>
      <c r="AG252" s="386">
        <v>112</v>
      </c>
    </row>
    <row r="253" spans="1:33" x14ac:dyDescent="0.35">
      <c r="A253" s="381" t="s">
        <v>564</v>
      </c>
      <c r="B253" s="387" t="s">
        <v>565</v>
      </c>
      <c r="C253" s="383">
        <v>5866</v>
      </c>
      <c r="D253" s="383">
        <v>93</v>
      </c>
      <c r="E253" s="383">
        <v>925</v>
      </c>
      <c r="F253" s="383">
        <v>1063</v>
      </c>
      <c r="G253" s="383">
        <v>955</v>
      </c>
      <c r="H253" s="383">
        <v>8902</v>
      </c>
      <c r="I253" s="382">
        <v>7947</v>
      </c>
      <c r="J253" s="382">
        <v>1</v>
      </c>
      <c r="K253" s="384">
        <v>103.38</v>
      </c>
      <c r="L253" s="384">
        <v>100.9</v>
      </c>
      <c r="M253" s="384">
        <v>7.59</v>
      </c>
      <c r="N253" s="384">
        <v>109.84</v>
      </c>
      <c r="O253" s="385">
        <v>4671</v>
      </c>
      <c r="P253" s="382">
        <v>90.41</v>
      </c>
      <c r="Q253" s="382">
        <v>87.88</v>
      </c>
      <c r="R253" s="382">
        <v>41.78</v>
      </c>
      <c r="S253" s="382">
        <v>129.66</v>
      </c>
      <c r="T253" s="382">
        <v>1586</v>
      </c>
      <c r="U253" s="382">
        <v>138.93</v>
      </c>
      <c r="V253" s="382">
        <v>796</v>
      </c>
      <c r="W253" s="382">
        <v>144.68</v>
      </c>
      <c r="X253" s="382">
        <v>23</v>
      </c>
      <c r="Y253" s="382">
        <v>72</v>
      </c>
      <c r="Z253" s="382">
        <v>2</v>
      </c>
      <c r="AA253" s="382">
        <v>3</v>
      </c>
      <c r="AB253" s="382">
        <v>3</v>
      </c>
      <c r="AC253" s="382">
        <v>27</v>
      </c>
      <c r="AD253" s="386">
        <v>5736</v>
      </c>
      <c r="AE253" s="386">
        <v>32</v>
      </c>
      <c r="AF253" s="386">
        <v>14</v>
      </c>
      <c r="AG253" s="386">
        <v>46</v>
      </c>
    </row>
    <row r="254" spans="1:33" x14ac:dyDescent="0.35">
      <c r="A254" s="381" t="s">
        <v>566</v>
      </c>
      <c r="B254" s="387" t="s">
        <v>567</v>
      </c>
      <c r="C254" s="383">
        <v>2849</v>
      </c>
      <c r="D254" s="383">
        <v>0</v>
      </c>
      <c r="E254" s="383">
        <v>549</v>
      </c>
      <c r="F254" s="383">
        <v>318</v>
      </c>
      <c r="G254" s="383">
        <v>400</v>
      </c>
      <c r="H254" s="383">
        <v>4116</v>
      </c>
      <c r="I254" s="382">
        <v>3716</v>
      </c>
      <c r="J254" s="382">
        <v>0</v>
      </c>
      <c r="K254" s="384">
        <v>96.75</v>
      </c>
      <c r="L254" s="384">
        <v>94.81</v>
      </c>
      <c r="M254" s="384">
        <v>13.46</v>
      </c>
      <c r="N254" s="384">
        <v>107.44</v>
      </c>
      <c r="O254" s="385">
        <v>2471</v>
      </c>
      <c r="P254" s="382">
        <v>89.78</v>
      </c>
      <c r="Q254" s="382">
        <v>87.3</v>
      </c>
      <c r="R254" s="382">
        <v>43.98</v>
      </c>
      <c r="S254" s="382">
        <v>131.61000000000001</v>
      </c>
      <c r="T254" s="382">
        <v>511</v>
      </c>
      <c r="U254" s="382">
        <v>146.24</v>
      </c>
      <c r="V254" s="382">
        <v>364</v>
      </c>
      <c r="W254" s="382">
        <v>0</v>
      </c>
      <c r="X254" s="382">
        <v>0</v>
      </c>
      <c r="Y254" s="382">
        <v>0</v>
      </c>
      <c r="Z254" s="382">
        <v>0</v>
      </c>
      <c r="AA254" s="382">
        <v>0</v>
      </c>
      <c r="AB254" s="382">
        <v>63</v>
      </c>
      <c r="AC254" s="382">
        <v>7</v>
      </c>
      <c r="AD254" s="386">
        <v>2849</v>
      </c>
      <c r="AE254" s="386">
        <v>19</v>
      </c>
      <c r="AF254" s="386">
        <v>5</v>
      </c>
      <c r="AG254" s="386">
        <v>24</v>
      </c>
    </row>
    <row r="255" spans="1:33" x14ac:dyDescent="0.35">
      <c r="A255" s="381" t="s">
        <v>568</v>
      </c>
      <c r="B255" s="387" t="s">
        <v>569</v>
      </c>
      <c r="C255" s="383">
        <v>15194</v>
      </c>
      <c r="D255" s="383">
        <v>80</v>
      </c>
      <c r="E255" s="383">
        <v>1402</v>
      </c>
      <c r="F255" s="383">
        <v>745</v>
      </c>
      <c r="G255" s="383">
        <v>3198</v>
      </c>
      <c r="H255" s="383">
        <v>20619</v>
      </c>
      <c r="I255" s="382">
        <v>17421</v>
      </c>
      <c r="J255" s="382">
        <v>133</v>
      </c>
      <c r="K255" s="384">
        <v>120.51</v>
      </c>
      <c r="L255" s="384">
        <v>122.45</v>
      </c>
      <c r="M255" s="384">
        <v>13.51</v>
      </c>
      <c r="N255" s="384">
        <v>130.88</v>
      </c>
      <c r="O255" s="385">
        <v>12377</v>
      </c>
      <c r="P255" s="382">
        <v>107.25</v>
      </c>
      <c r="Q255" s="382">
        <v>103.61</v>
      </c>
      <c r="R255" s="382">
        <v>57.06</v>
      </c>
      <c r="S255" s="382">
        <v>159.47</v>
      </c>
      <c r="T255" s="382">
        <v>1901</v>
      </c>
      <c r="U255" s="382">
        <v>198.88</v>
      </c>
      <c r="V255" s="382">
        <v>1061</v>
      </c>
      <c r="W255" s="382">
        <v>196.79</v>
      </c>
      <c r="X255" s="382">
        <v>24</v>
      </c>
      <c r="Y255" s="382">
        <v>66</v>
      </c>
      <c r="Z255" s="382">
        <v>0</v>
      </c>
      <c r="AA255" s="382">
        <v>57</v>
      </c>
      <c r="AB255" s="382">
        <v>119</v>
      </c>
      <c r="AC255" s="382">
        <v>69</v>
      </c>
      <c r="AD255" s="386">
        <v>14377</v>
      </c>
      <c r="AE255" s="386">
        <v>56</v>
      </c>
      <c r="AF255" s="386">
        <v>101</v>
      </c>
      <c r="AG255" s="386">
        <v>157</v>
      </c>
    </row>
    <row r="256" spans="1:33" x14ac:dyDescent="0.35">
      <c r="A256" s="381" t="s">
        <v>570</v>
      </c>
      <c r="B256" s="387" t="s">
        <v>571</v>
      </c>
      <c r="C256" s="383">
        <v>4905</v>
      </c>
      <c r="D256" s="383">
        <v>0</v>
      </c>
      <c r="E256" s="383">
        <v>115</v>
      </c>
      <c r="F256" s="383">
        <v>338</v>
      </c>
      <c r="G256" s="383">
        <v>402</v>
      </c>
      <c r="H256" s="383">
        <v>5760</v>
      </c>
      <c r="I256" s="382">
        <v>5358</v>
      </c>
      <c r="J256" s="382">
        <v>20</v>
      </c>
      <c r="K256" s="384">
        <v>114.45</v>
      </c>
      <c r="L256" s="384">
        <v>109.53</v>
      </c>
      <c r="M256" s="384">
        <v>5.63</v>
      </c>
      <c r="N256" s="384">
        <v>119.49</v>
      </c>
      <c r="O256" s="385">
        <v>4724</v>
      </c>
      <c r="P256" s="382">
        <v>108.78</v>
      </c>
      <c r="Q256" s="382">
        <v>101.64</v>
      </c>
      <c r="R256" s="382">
        <v>63.87</v>
      </c>
      <c r="S256" s="382">
        <v>165.81</v>
      </c>
      <c r="T256" s="382">
        <v>346</v>
      </c>
      <c r="U256" s="382">
        <v>211.28</v>
      </c>
      <c r="V256" s="382">
        <v>162</v>
      </c>
      <c r="W256" s="382">
        <v>109.89</v>
      </c>
      <c r="X256" s="382">
        <v>2</v>
      </c>
      <c r="Y256" s="382">
        <v>0</v>
      </c>
      <c r="Z256" s="382">
        <v>1</v>
      </c>
      <c r="AA256" s="382">
        <v>1</v>
      </c>
      <c r="AB256" s="382">
        <v>0</v>
      </c>
      <c r="AC256" s="382">
        <v>12</v>
      </c>
      <c r="AD256" s="386">
        <v>4902</v>
      </c>
      <c r="AE256" s="386">
        <v>24</v>
      </c>
      <c r="AF256" s="386">
        <v>3</v>
      </c>
      <c r="AG256" s="386">
        <v>27</v>
      </c>
    </row>
    <row r="257" spans="1:33" x14ac:dyDescent="0.35">
      <c r="A257" s="381" t="s">
        <v>572</v>
      </c>
      <c r="B257" s="387" t="s">
        <v>573</v>
      </c>
      <c r="C257" s="383">
        <v>2120</v>
      </c>
      <c r="D257" s="383">
        <v>0</v>
      </c>
      <c r="E257" s="383">
        <v>271</v>
      </c>
      <c r="F257" s="383">
        <v>206</v>
      </c>
      <c r="G257" s="383">
        <v>233</v>
      </c>
      <c r="H257" s="383">
        <v>2830</v>
      </c>
      <c r="I257" s="382">
        <v>2597</v>
      </c>
      <c r="J257" s="382">
        <v>0</v>
      </c>
      <c r="K257" s="384">
        <v>119.96</v>
      </c>
      <c r="L257" s="384">
        <v>117.71</v>
      </c>
      <c r="M257" s="384">
        <v>7.44</v>
      </c>
      <c r="N257" s="384">
        <v>126.49</v>
      </c>
      <c r="O257" s="385">
        <v>1619</v>
      </c>
      <c r="P257" s="382">
        <v>117.18</v>
      </c>
      <c r="Q257" s="382">
        <v>105.02</v>
      </c>
      <c r="R257" s="382">
        <v>37.229999999999997</v>
      </c>
      <c r="S257" s="382">
        <v>152.99</v>
      </c>
      <c r="T257" s="382">
        <v>395</v>
      </c>
      <c r="U257" s="382">
        <v>185.59</v>
      </c>
      <c r="V257" s="382">
        <v>275</v>
      </c>
      <c r="W257" s="382">
        <v>189.43</v>
      </c>
      <c r="X257" s="382">
        <v>29</v>
      </c>
      <c r="Y257" s="382">
        <v>0</v>
      </c>
      <c r="Z257" s="382">
        <v>0</v>
      </c>
      <c r="AA257" s="382">
        <v>0</v>
      </c>
      <c r="AB257" s="382">
        <v>13</v>
      </c>
      <c r="AC257" s="382">
        <v>10</v>
      </c>
      <c r="AD257" s="386">
        <v>2117</v>
      </c>
      <c r="AE257" s="386">
        <v>19</v>
      </c>
      <c r="AF257" s="386">
        <v>9</v>
      </c>
      <c r="AG257" s="386">
        <v>28</v>
      </c>
    </row>
    <row r="258" spans="1:33" x14ac:dyDescent="0.35">
      <c r="A258" s="381" t="s">
        <v>574</v>
      </c>
      <c r="B258" s="387" t="s">
        <v>575</v>
      </c>
      <c r="C258" s="383">
        <v>14535</v>
      </c>
      <c r="D258" s="383">
        <v>0</v>
      </c>
      <c r="E258" s="383">
        <v>654</v>
      </c>
      <c r="F258" s="383">
        <v>1997</v>
      </c>
      <c r="G258" s="383">
        <v>573</v>
      </c>
      <c r="H258" s="383">
        <v>17759</v>
      </c>
      <c r="I258" s="382">
        <v>17186</v>
      </c>
      <c r="J258" s="382">
        <v>244</v>
      </c>
      <c r="K258" s="384">
        <v>87.16</v>
      </c>
      <c r="L258" s="384">
        <v>83.79</v>
      </c>
      <c r="M258" s="384">
        <v>1.59</v>
      </c>
      <c r="N258" s="384">
        <v>88.61</v>
      </c>
      <c r="O258" s="385">
        <v>13190</v>
      </c>
      <c r="P258" s="382">
        <v>91.2</v>
      </c>
      <c r="Q258" s="382">
        <v>77.75</v>
      </c>
      <c r="R258" s="382">
        <v>42.13</v>
      </c>
      <c r="S258" s="382">
        <v>133.06</v>
      </c>
      <c r="T258" s="382">
        <v>2470</v>
      </c>
      <c r="U258" s="382">
        <v>97.63</v>
      </c>
      <c r="V258" s="382">
        <v>1273</v>
      </c>
      <c r="W258" s="382">
        <v>0</v>
      </c>
      <c r="X258" s="382">
        <v>0</v>
      </c>
      <c r="Y258" s="382">
        <v>0</v>
      </c>
      <c r="Z258" s="382">
        <v>86</v>
      </c>
      <c r="AA258" s="382">
        <v>1</v>
      </c>
      <c r="AB258" s="382">
        <v>33</v>
      </c>
      <c r="AC258" s="382">
        <v>8</v>
      </c>
      <c r="AD258" s="386">
        <v>14490</v>
      </c>
      <c r="AE258" s="386">
        <v>194</v>
      </c>
      <c r="AF258" s="386">
        <v>82</v>
      </c>
      <c r="AG258" s="386">
        <v>276</v>
      </c>
    </row>
    <row r="259" spans="1:33" x14ac:dyDescent="0.35">
      <c r="A259" s="381" t="s">
        <v>576</v>
      </c>
      <c r="B259" s="387" t="s">
        <v>577</v>
      </c>
      <c r="C259" s="383">
        <v>6342</v>
      </c>
      <c r="D259" s="383">
        <v>1</v>
      </c>
      <c r="E259" s="383">
        <v>289</v>
      </c>
      <c r="F259" s="383">
        <v>1640</v>
      </c>
      <c r="G259" s="383">
        <v>447</v>
      </c>
      <c r="H259" s="383">
        <v>8719</v>
      </c>
      <c r="I259" s="382">
        <v>8272</v>
      </c>
      <c r="J259" s="382">
        <v>0</v>
      </c>
      <c r="K259" s="384">
        <v>82.34</v>
      </c>
      <c r="L259" s="384">
        <v>81.92</v>
      </c>
      <c r="M259" s="384">
        <v>5.76</v>
      </c>
      <c r="N259" s="384">
        <v>85.73</v>
      </c>
      <c r="O259" s="385">
        <v>5702</v>
      </c>
      <c r="P259" s="382">
        <v>80.95</v>
      </c>
      <c r="Q259" s="382">
        <v>74.56</v>
      </c>
      <c r="R259" s="382">
        <v>21.24</v>
      </c>
      <c r="S259" s="382">
        <v>101.15</v>
      </c>
      <c r="T259" s="382">
        <v>1787</v>
      </c>
      <c r="U259" s="382">
        <v>101.36</v>
      </c>
      <c r="V259" s="382">
        <v>637</v>
      </c>
      <c r="W259" s="382">
        <v>175.09</v>
      </c>
      <c r="X259" s="382">
        <v>159</v>
      </c>
      <c r="Y259" s="382">
        <v>154</v>
      </c>
      <c r="Z259" s="382">
        <v>24</v>
      </c>
      <c r="AA259" s="382">
        <v>3</v>
      </c>
      <c r="AB259" s="382">
        <v>52</v>
      </c>
      <c r="AC259" s="382">
        <v>11</v>
      </c>
      <c r="AD259" s="386">
        <v>6342</v>
      </c>
      <c r="AE259" s="386">
        <v>15</v>
      </c>
      <c r="AF259" s="386">
        <v>51</v>
      </c>
      <c r="AG259" s="386">
        <v>66</v>
      </c>
    </row>
    <row r="260" spans="1:33" x14ac:dyDescent="0.35">
      <c r="A260" s="381" t="s">
        <v>578</v>
      </c>
      <c r="B260" s="387" t="s">
        <v>579</v>
      </c>
      <c r="C260" s="383">
        <v>3395</v>
      </c>
      <c r="D260" s="383">
        <v>2</v>
      </c>
      <c r="E260" s="383">
        <v>135</v>
      </c>
      <c r="F260" s="383">
        <v>299</v>
      </c>
      <c r="G260" s="383">
        <v>63</v>
      </c>
      <c r="H260" s="383">
        <v>3894</v>
      </c>
      <c r="I260" s="382">
        <v>3831</v>
      </c>
      <c r="J260" s="382">
        <v>28</v>
      </c>
      <c r="K260" s="384">
        <v>84.5</v>
      </c>
      <c r="L260" s="384">
        <v>81.08</v>
      </c>
      <c r="M260" s="384">
        <v>4.41</v>
      </c>
      <c r="N260" s="384">
        <v>86.34</v>
      </c>
      <c r="O260" s="385">
        <v>3054</v>
      </c>
      <c r="P260" s="382">
        <v>76.010000000000005</v>
      </c>
      <c r="Q260" s="382">
        <v>75.989999999999995</v>
      </c>
      <c r="R260" s="382">
        <v>65.290000000000006</v>
      </c>
      <c r="S260" s="382">
        <v>141.1</v>
      </c>
      <c r="T260" s="382">
        <v>328</v>
      </c>
      <c r="U260" s="382">
        <v>95.77</v>
      </c>
      <c r="V260" s="382">
        <v>253</v>
      </c>
      <c r="W260" s="382">
        <v>136.91999999999999</v>
      </c>
      <c r="X260" s="382">
        <v>72</v>
      </c>
      <c r="Y260" s="382">
        <v>59</v>
      </c>
      <c r="Z260" s="382">
        <v>21</v>
      </c>
      <c r="AA260" s="382">
        <v>2</v>
      </c>
      <c r="AB260" s="382">
        <v>0</v>
      </c>
      <c r="AC260" s="382">
        <v>6</v>
      </c>
      <c r="AD260" s="386">
        <v>3209</v>
      </c>
      <c r="AE260" s="386">
        <v>18</v>
      </c>
      <c r="AF260" s="386">
        <v>4</v>
      </c>
      <c r="AG260" s="386">
        <v>22</v>
      </c>
    </row>
    <row r="261" spans="1:33" x14ac:dyDescent="0.35">
      <c r="A261" s="381" t="s">
        <v>580</v>
      </c>
      <c r="B261" s="387" t="s">
        <v>581</v>
      </c>
      <c r="C261" s="383">
        <v>1732</v>
      </c>
      <c r="D261" s="383">
        <v>0</v>
      </c>
      <c r="E261" s="383">
        <v>162</v>
      </c>
      <c r="F261" s="383">
        <v>311</v>
      </c>
      <c r="G261" s="383">
        <v>621</v>
      </c>
      <c r="H261" s="383">
        <v>2826</v>
      </c>
      <c r="I261" s="382">
        <v>2205</v>
      </c>
      <c r="J261" s="382">
        <v>0</v>
      </c>
      <c r="K261" s="384">
        <v>111.44</v>
      </c>
      <c r="L261" s="384">
        <v>109.12</v>
      </c>
      <c r="M261" s="384">
        <v>7.69</v>
      </c>
      <c r="N261" s="384">
        <v>118.64</v>
      </c>
      <c r="O261" s="385">
        <v>1424</v>
      </c>
      <c r="P261" s="382">
        <v>102.45</v>
      </c>
      <c r="Q261" s="382">
        <v>93.45</v>
      </c>
      <c r="R261" s="382">
        <v>38.64</v>
      </c>
      <c r="S261" s="382">
        <v>140.24</v>
      </c>
      <c r="T261" s="382">
        <v>411</v>
      </c>
      <c r="U261" s="382">
        <v>140.99</v>
      </c>
      <c r="V261" s="382">
        <v>165</v>
      </c>
      <c r="W261" s="382">
        <v>0</v>
      </c>
      <c r="X261" s="382">
        <v>0</v>
      </c>
      <c r="Y261" s="382">
        <v>0</v>
      </c>
      <c r="Z261" s="382">
        <v>0</v>
      </c>
      <c r="AA261" s="382">
        <v>0</v>
      </c>
      <c r="AB261" s="382">
        <v>62</v>
      </c>
      <c r="AC261" s="382">
        <v>10</v>
      </c>
      <c r="AD261" s="386">
        <v>1608</v>
      </c>
      <c r="AE261" s="386">
        <v>10</v>
      </c>
      <c r="AF261" s="386">
        <v>3</v>
      </c>
      <c r="AG261" s="386">
        <v>13</v>
      </c>
    </row>
    <row r="262" spans="1:33" x14ac:dyDescent="0.35">
      <c r="A262" s="381" t="s">
        <v>582</v>
      </c>
      <c r="B262" s="387" t="s">
        <v>583</v>
      </c>
      <c r="C262" s="383">
        <v>4632</v>
      </c>
      <c r="D262" s="383">
        <v>4</v>
      </c>
      <c r="E262" s="383">
        <v>495</v>
      </c>
      <c r="F262" s="383">
        <v>1285</v>
      </c>
      <c r="G262" s="383">
        <v>1112</v>
      </c>
      <c r="H262" s="383">
        <v>7528</v>
      </c>
      <c r="I262" s="382">
        <v>6416</v>
      </c>
      <c r="J262" s="382">
        <v>11</v>
      </c>
      <c r="K262" s="384">
        <v>82.09</v>
      </c>
      <c r="L262" s="384">
        <v>80.790000000000006</v>
      </c>
      <c r="M262" s="384">
        <v>7.3</v>
      </c>
      <c r="N262" s="384">
        <v>86.23</v>
      </c>
      <c r="O262" s="385">
        <v>3862</v>
      </c>
      <c r="P262" s="382">
        <v>83.12</v>
      </c>
      <c r="Q262" s="382">
        <v>75.14</v>
      </c>
      <c r="R262" s="382">
        <v>31.77</v>
      </c>
      <c r="S262" s="382">
        <v>113.94</v>
      </c>
      <c r="T262" s="382">
        <v>1599</v>
      </c>
      <c r="U262" s="382">
        <v>109.11</v>
      </c>
      <c r="V262" s="382">
        <v>580</v>
      </c>
      <c r="W262" s="382">
        <v>145.6</v>
      </c>
      <c r="X262" s="382">
        <v>69</v>
      </c>
      <c r="Y262" s="382">
        <v>4</v>
      </c>
      <c r="Z262" s="382">
        <v>5</v>
      </c>
      <c r="AA262" s="382">
        <v>7</v>
      </c>
      <c r="AB262" s="382">
        <v>29</v>
      </c>
      <c r="AC262" s="382">
        <v>16</v>
      </c>
      <c r="AD262" s="386">
        <v>4262</v>
      </c>
      <c r="AE262" s="386">
        <v>25</v>
      </c>
      <c r="AF262" s="386">
        <v>21</v>
      </c>
      <c r="AG262" s="386">
        <v>46</v>
      </c>
    </row>
    <row r="263" spans="1:33" x14ac:dyDescent="0.35">
      <c r="A263" s="381" t="s">
        <v>584</v>
      </c>
      <c r="B263" s="387" t="s">
        <v>585</v>
      </c>
      <c r="C263" s="383">
        <v>12951</v>
      </c>
      <c r="D263" s="383">
        <v>4</v>
      </c>
      <c r="E263" s="383">
        <v>324</v>
      </c>
      <c r="F263" s="383">
        <v>825</v>
      </c>
      <c r="G263" s="383">
        <v>302</v>
      </c>
      <c r="H263" s="383">
        <v>14406</v>
      </c>
      <c r="I263" s="382">
        <v>14104</v>
      </c>
      <c r="J263" s="382">
        <v>2</v>
      </c>
      <c r="K263" s="384">
        <v>79.88</v>
      </c>
      <c r="L263" s="384">
        <v>80.36</v>
      </c>
      <c r="M263" s="384">
        <v>11.27</v>
      </c>
      <c r="N263" s="384">
        <v>83.03</v>
      </c>
      <c r="O263" s="385">
        <v>10934</v>
      </c>
      <c r="P263" s="382">
        <v>84.39</v>
      </c>
      <c r="Q263" s="382">
        <v>82.27</v>
      </c>
      <c r="R263" s="382">
        <v>48.15</v>
      </c>
      <c r="S263" s="382">
        <v>132.21</v>
      </c>
      <c r="T263" s="382">
        <v>1048</v>
      </c>
      <c r="U263" s="382">
        <v>97.56</v>
      </c>
      <c r="V263" s="382">
        <v>1853</v>
      </c>
      <c r="W263" s="382">
        <v>162.35</v>
      </c>
      <c r="X263" s="382">
        <v>59</v>
      </c>
      <c r="Y263" s="382">
        <v>0</v>
      </c>
      <c r="Z263" s="382">
        <v>59</v>
      </c>
      <c r="AA263" s="382">
        <v>1</v>
      </c>
      <c r="AB263" s="382">
        <v>45</v>
      </c>
      <c r="AC263" s="382">
        <v>2</v>
      </c>
      <c r="AD263" s="386">
        <v>12836</v>
      </c>
      <c r="AE263" s="386">
        <v>100</v>
      </c>
      <c r="AF263" s="386">
        <v>298</v>
      </c>
      <c r="AG263" s="386">
        <v>398</v>
      </c>
    </row>
    <row r="264" spans="1:33" x14ac:dyDescent="0.35">
      <c r="A264" s="381" t="s">
        <v>586</v>
      </c>
      <c r="B264" s="387" t="s">
        <v>587</v>
      </c>
      <c r="C264" s="383">
        <v>6082</v>
      </c>
      <c r="D264" s="383">
        <v>13</v>
      </c>
      <c r="E264" s="383">
        <v>758</v>
      </c>
      <c r="F264" s="383">
        <v>1503</v>
      </c>
      <c r="G264" s="383">
        <v>241</v>
      </c>
      <c r="H264" s="383">
        <v>8597</v>
      </c>
      <c r="I264" s="382">
        <v>8356</v>
      </c>
      <c r="J264" s="382">
        <v>11</v>
      </c>
      <c r="K264" s="384">
        <v>75.290000000000006</v>
      </c>
      <c r="L264" s="384">
        <v>73.8</v>
      </c>
      <c r="M264" s="384">
        <v>4.72</v>
      </c>
      <c r="N264" s="384">
        <v>78.58</v>
      </c>
      <c r="O264" s="385">
        <v>4870</v>
      </c>
      <c r="P264" s="382">
        <v>93.59</v>
      </c>
      <c r="Q264" s="382">
        <v>86.45</v>
      </c>
      <c r="R264" s="382">
        <v>61.84</v>
      </c>
      <c r="S264" s="382">
        <v>154.77000000000001</v>
      </c>
      <c r="T264" s="382">
        <v>1774</v>
      </c>
      <c r="U264" s="382">
        <v>93.89</v>
      </c>
      <c r="V264" s="382">
        <v>637</v>
      </c>
      <c r="W264" s="382">
        <v>223.61</v>
      </c>
      <c r="X264" s="382">
        <v>127</v>
      </c>
      <c r="Y264" s="382">
        <v>0</v>
      </c>
      <c r="Z264" s="382">
        <v>16</v>
      </c>
      <c r="AA264" s="382">
        <v>12</v>
      </c>
      <c r="AB264" s="382">
        <v>0</v>
      </c>
      <c r="AC264" s="382">
        <v>3</v>
      </c>
      <c r="AD264" s="386">
        <v>5486</v>
      </c>
      <c r="AE264" s="386">
        <v>48</v>
      </c>
      <c r="AF264" s="386">
        <v>33</v>
      </c>
      <c r="AG264" s="386">
        <v>81</v>
      </c>
    </row>
    <row r="265" spans="1:33" x14ac:dyDescent="0.35">
      <c r="A265" s="381" t="s">
        <v>588</v>
      </c>
      <c r="B265" s="387" t="s">
        <v>589</v>
      </c>
      <c r="C265" s="383">
        <v>7000</v>
      </c>
      <c r="D265" s="383">
        <v>2</v>
      </c>
      <c r="E265" s="383">
        <v>108</v>
      </c>
      <c r="F265" s="383">
        <v>712</v>
      </c>
      <c r="G265" s="383">
        <v>931</v>
      </c>
      <c r="H265" s="383">
        <v>8753</v>
      </c>
      <c r="I265" s="382">
        <v>7822</v>
      </c>
      <c r="J265" s="382">
        <v>17</v>
      </c>
      <c r="K265" s="384">
        <v>103.53</v>
      </c>
      <c r="L265" s="384">
        <v>103.72</v>
      </c>
      <c r="M265" s="384">
        <v>6.48</v>
      </c>
      <c r="N265" s="384">
        <v>106.54</v>
      </c>
      <c r="O265" s="385">
        <v>6316</v>
      </c>
      <c r="P265" s="382">
        <v>89.12</v>
      </c>
      <c r="Q265" s="382">
        <v>95.64</v>
      </c>
      <c r="R265" s="382">
        <v>37.619999999999997</v>
      </c>
      <c r="S265" s="382">
        <v>125.5</v>
      </c>
      <c r="T265" s="382">
        <v>640</v>
      </c>
      <c r="U265" s="382">
        <v>138.49</v>
      </c>
      <c r="V265" s="382">
        <v>325</v>
      </c>
      <c r="W265" s="382">
        <v>174.5</v>
      </c>
      <c r="X265" s="382">
        <v>91</v>
      </c>
      <c r="Y265" s="382">
        <v>0</v>
      </c>
      <c r="Z265" s="382">
        <v>63</v>
      </c>
      <c r="AA265" s="382">
        <v>44</v>
      </c>
      <c r="AB265" s="382">
        <v>42</v>
      </c>
      <c r="AC265" s="382">
        <v>10</v>
      </c>
      <c r="AD265" s="386">
        <v>6579</v>
      </c>
      <c r="AE265" s="386">
        <v>52</v>
      </c>
      <c r="AF265" s="386">
        <v>90</v>
      </c>
      <c r="AG265" s="386">
        <v>142</v>
      </c>
    </row>
    <row r="266" spans="1:33" x14ac:dyDescent="0.35">
      <c r="A266" s="381" t="s">
        <v>590</v>
      </c>
      <c r="B266" s="387" t="s">
        <v>591</v>
      </c>
      <c r="C266" s="383">
        <v>1592</v>
      </c>
      <c r="D266" s="383">
        <v>0</v>
      </c>
      <c r="E266" s="383">
        <v>163</v>
      </c>
      <c r="F266" s="383">
        <v>138</v>
      </c>
      <c r="G266" s="383">
        <v>435</v>
      </c>
      <c r="H266" s="383">
        <v>2328</v>
      </c>
      <c r="I266" s="382">
        <v>1893</v>
      </c>
      <c r="J266" s="382">
        <v>1</v>
      </c>
      <c r="K266" s="384">
        <v>97.51</v>
      </c>
      <c r="L266" s="384">
        <v>94.63</v>
      </c>
      <c r="M266" s="384">
        <v>5.07</v>
      </c>
      <c r="N266" s="384">
        <v>101.49</v>
      </c>
      <c r="O266" s="385">
        <v>1050</v>
      </c>
      <c r="P266" s="382">
        <v>84.57</v>
      </c>
      <c r="Q266" s="382">
        <v>82.2</v>
      </c>
      <c r="R266" s="382">
        <v>50.13</v>
      </c>
      <c r="S266" s="382">
        <v>132.26</v>
      </c>
      <c r="T266" s="382">
        <v>226</v>
      </c>
      <c r="U266" s="382">
        <v>121.78</v>
      </c>
      <c r="V266" s="382">
        <v>459</v>
      </c>
      <c r="W266" s="382">
        <v>0</v>
      </c>
      <c r="X266" s="382">
        <v>0</v>
      </c>
      <c r="Y266" s="382">
        <v>0</v>
      </c>
      <c r="Z266" s="382">
        <v>0</v>
      </c>
      <c r="AA266" s="382">
        <v>0</v>
      </c>
      <c r="AB266" s="382">
        <v>41</v>
      </c>
      <c r="AC266" s="382">
        <v>6</v>
      </c>
      <c r="AD266" s="386">
        <v>1512</v>
      </c>
      <c r="AE266" s="386">
        <v>22</v>
      </c>
      <c r="AF266" s="386">
        <v>11</v>
      </c>
      <c r="AG266" s="386">
        <v>33</v>
      </c>
    </row>
    <row r="267" spans="1:33" x14ac:dyDescent="0.35">
      <c r="A267" s="381" t="s">
        <v>592</v>
      </c>
      <c r="B267" s="387" t="s">
        <v>593</v>
      </c>
      <c r="C267" s="383">
        <v>31708</v>
      </c>
      <c r="D267" s="383">
        <v>2</v>
      </c>
      <c r="E267" s="383">
        <v>664</v>
      </c>
      <c r="F267" s="383">
        <v>2046</v>
      </c>
      <c r="G267" s="383">
        <v>290</v>
      </c>
      <c r="H267" s="383">
        <v>34710</v>
      </c>
      <c r="I267" s="382">
        <v>34420</v>
      </c>
      <c r="J267" s="382">
        <v>8</v>
      </c>
      <c r="K267" s="384">
        <v>78.040000000000006</v>
      </c>
      <c r="L267" s="384">
        <v>77.709999999999994</v>
      </c>
      <c r="M267" s="384">
        <v>6.16</v>
      </c>
      <c r="N267" s="384">
        <v>79.22</v>
      </c>
      <c r="O267" s="385">
        <v>29191</v>
      </c>
      <c r="P267" s="382">
        <v>83.92</v>
      </c>
      <c r="Q267" s="382">
        <v>73.540000000000006</v>
      </c>
      <c r="R267" s="382">
        <v>41.57</v>
      </c>
      <c r="S267" s="382">
        <v>124.07</v>
      </c>
      <c r="T267" s="382">
        <v>2038</v>
      </c>
      <c r="U267" s="382">
        <v>96.55</v>
      </c>
      <c r="V267" s="382">
        <v>2113</v>
      </c>
      <c r="W267" s="382">
        <v>182.8</v>
      </c>
      <c r="X267" s="382">
        <v>590</v>
      </c>
      <c r="Y267" s="382">
        <v>0</v>
      </c>
      <c r="Z267" s="382">
        <v>133</v>
      </c>
      <c r="AA267" s="382">
        <v>2</v>
      </c>
      <c r="AB267" s="382">
        <v>16</v>
      </c>
      <c r="AC267" s="382">
        <v>3</v>
      </c>
      <c r="AD267" s="386">
        <v>31413</v>
      </c>
      <c r="AE267" s="386">
        <v>548</v>
      </c>
      <c r="AF267" s="386">
        <v>133</v>
      </c>
      <c r="AG267" s="386">
        <v>681</v>
      </c>
    </row>
    <row r="268" spans="1:33" x14ac:dyDescent="0.35">
      <c r="A268" s="381" t="s">
        <v>594</v>
      </c>
      <c r="B268" s="387" t="s">
        <v>595</v>
      </c>
      <c r="C268" s="383">
        <v>3098</v>
      </c>
      <c r="D268" s="383">
        <v>1</v>
      </c>
      <c r="E268" s="383">
        <v>146</v>
      </c>
      <c r="F268" s="383">
        <v>304</v>
      </c>
      <c r="G268" s="383">
        <v>301</v>
      </c>
      <c r="H268" s="383">
        <v>3850</v>
      </c>
      <c r="I268" s="382">
        <v>3549</v>
      </c>
      <c r="J268" s="382">
        <v>63</v>
      </c>
      <c r="K268" s="384">
        <v>110.44</v>
      </c>
      <c r="L268" s="384">
        <v>114.06</v>
      </c>
      <c r="M268" s="384">
        <v>6.3</v>
      </c>
      <c r="N268" s="384">
        <v>113.83</v>
      </c>
      <c r="O268" s="385">
        <v>2979</v>
      </c>
      <c r="P268" s="382">
        <v>104.8</v>
      </c>
      <c r="Q268" s="382">
        <v>98.5</v>
      </c>
      <c r="R268" s="382">
        <v>36</v>
      </c>
      <c r="S268" s="382">
        <v>140.53</v>
      </c>
      <c r="T268" s="382">
        <v>405</v>
      </c>
      <c r="U268" s="382">
        <v>204.83</v>
      </c>
      <c r="V268" s="382">
        <v>114</v>
      </c>
      <c r="W268" s="382">
        <v>0</v>
      </c>
      <c r="X268" s="382">
        <v>0</v>
      </c>
      <c r="Y268" s="382">
        <v>0</v>
      </c>
      <c r="Z268" s="382">
        <v>0</v>
      </c>
      <c r="AA268" s="382">
        <v>0</v>
      </c>
      <c r="AB268" s="382">
        <v>31</v>
      </c>
      <c r="AC268" s="382">
        <v>10</v>
      </c>
      <c r="AD268" s="386">
        <v>3098</v>
      </c>
      <c r="AE268" s="386">
        <v>15</v>
      </c>
      <c r="AF268" s="386">
        <v>10</v>
      </c>
      <c r="AG268" s="386">
        <v>25</v>
      </c>
    </row>
    <row r="269" spans="1:33" x14ac:dyDescent="0.35">
      <c r="A269" s="381" t="s">
        <v>596</v>
      </c>
      <c r="B269" s="387" t="s">
        <v>597</v>
      </c>
      <c r="C269" s="383">
        <v>4611</v>
      </c>
      <c r="D269" s="383">
        <v>8</v>
      </c>
      <c r="E269" s="383">
        <v>457</v>
      </c>
      <c r="F269" s="383">
        <v>947</v>
      </c>
      <c r="G269" s="383">
        <v>838</v>
      </c>
      <c r="H269" s="383">
        <v>6861</v>
      </c>
      <c r="I269" s="382">
        <v>6023</v>
      </c>
      <c r="J269" s="382">
        <v>18</v>
      </c>
      <c r="K269" s="384">
        <v>115.73</v>
      </c>
      <c r="L269" s="384">
        <v>114.34</v>
      </c>
      <c r="M269" s="384">
        <v>8.48</v>
      </c>
      <c r="N269" s="384">
        <v>123.68</v>
      </c>
      <c r="O269" s="385">
        <v>4048</v>
      </c>
      <c r="P269" s="382">
        <v>112.27</v>
      </c>
      <c r="Q269" s="382">
        <v>104.14</v>
      </c>
      <c r="R269" s="382">
        <v>44</v>
      </c>
      <c r="S269" s="382">
        <v>154.53</v>
      </c>
      <c r="T269" s="382">
        <v>783</v>
      </c>
      <c r="U269" s="382">
        <v>178.66</v>
      </c>
      <c r="V269" s="382">
        <v>339</v>
      </c>
      <c r="W269" s="382">
        <v>220.7</v>
      </c>
      <c r="X269" s="382">
        <v>95</v>
      </c>
      <c r="Y269" s="382">
        <v>0</v>
      </c>
      <c r="Z269" s="382">
        <v>3</v>
      </c>
      <c r="AA269" s="382">
        <v>14</v>
      </c>
      <c r="AB269" s="382">
        <v>84</v>
      </c>
      <c r="AC269" s="382">
        <v>29</v>
      </c>
      <c r="AD269" s="386">
        <v>4449</v>
      </c>
      <c r="AE269" s="386">
        <v>16</v>
      </c>
      <c r="AF269" s="386">
        <v>24</v>
      </c>
      <c r="AG269" s="386">
        <v>40</v>
      </c>
    </row>
    <row r="270" spans="1:33" x14ac:dyDescent="0.35">
      <c r="A270" s="381" t="s">
        <v>598</v>
      </c>
      <c r="B270" s="387" t="s">
        <v>599</v>
      </c>
      <c r="C270" s="383">
        <v>7710</v>
      </c>
      <c r="D270" s="383">
        <v>0</v>
      </c>
      <c r="E270" s="383">
        <v>234</v>
      </c>
      <c r="F270" s="383">
        <v>438</v>
      </c>
      <c r="G270" s="383">
        <v>707</v>
      </c>
      <c r="H270" s="383">
        <v>9089</v>
      </c>
      <c r="I270" s="382">
        <v>8382</v>
      </c>
      <c r="J270" s="382">
        <v>7</v>
      </c>
      <c r="K270" s="384">
        <v>96.31</v>
      </c>
      <c r="L270" s="384">
        <v>95.82</v>
      </c>
      <c r="M270" s="384">
        <v>6.05</v>
      </c>
      <c r="N270" s="384">
        <v>99.1</v>
      </c>
      <c r="O270" s="385">
        <v>6503</v>
      </c>
      <c r="P270" s="382">
        <v>91.4</v>
      </c>
      <c r="Q270" s="382">
        <v>83.52</v>
      </c>
      <c r="R270" s="382">
        <v>47.84</v>
      </c>
      <c r="S270" s="382">
        <v>139.22999999999999</v>
      </c>
      <c r="T270" s="382">
        <v>603</v>
      </c>
      <c r="U270" s="382">
        <v>127.85</v>
      </c>
      <c r="V270" s="382">
        <v>1097</v>
      </c>
      <c r="W270" s="382">
        <v>0</v>
      </c>
      <c r="X270" s="382">
        <v>0</v>
      </c>
      <c r="Y270" s="382">
        <v>94</v>
      </c>
      <c r="Z270" s="382">
        <v>1</v>
      </c>
      <c r="AA270" s="382">
        <v>0</v>
      </c>
      <c r="AB270" s="382">
        <v>41</v>
      </c>
      <c r="AC270" s="382">
        <v>8</v>
      </c>
      <c r="AD270" s="386">
        <v>7621</v>
      </c>
      <c r="AE270" s="386">
        <v>30</v>
      </c>
      <c r="AF270" s="386">
        <v>42</v>
      </c>
      <c r="AG270" s="386">
        <v>72</v>
      </c>
    </row>
    <row r="271" spans="1:33" x14ac:dyDescent="0.35">
      <c r="A271" s="381" t="s">
        <v>600</v>
      </c>
      <c r="B271" s="387" t="s">
        <v>601</v>
      </c>
      <c r="C271" s="383">
        <v>4021</v>
      </c>
      <c r="D271" s="383">
        <v>12</v>
      </c>
      <c r="E271" s="383">
        <v>522</v>
      </c>
      <c r="F271" s="383">
        <v>923</v>
      </c>
      <c r="G271" s="383">
        <v>1115</v>
      </c>
      <c r="H271" s="383">
        <v>6593</v>
      </c>
      <c r="I271" s="382">
        <v>5478</v>
      </c>
      <c r="J271" s="382">
        <v>4</v>
      </c>
      <c r="K271" s="384">
        <v>95.6</v>
      </c>
      <c r="L271" s="384">
        <v>93.87</v>
      </c>
      <c r="M271" s="384">
        <v>6.91</v>
      </c>
      <c r="N271" s="384">
        <v>101.04</v>
      </c>
      <c r="O271" s="385">
        <v>3040</v>
      </c>
      <c r="P271" s="382">
        <v>82.64</v>
      </c>
      <c r="Q271" s="382">
        <v>79.02</v>
      </c>
      <c r="R271" s="382">
        <v>50.05</v>
      </c>
      <c r="S271" s="382">
        <v>130.13999999999999</v>
      </c>
      <c r="T271" s="382">
        <v>1316</v>
      </c>
      <c r="U271" s="382">
        <v>130.38</v>
      </c>
      <c r="V271" s="382">
        <v>745</v>
      </c>
      <c r="W271" s="382">
        <v>167.55</v>
      </c>
      <c r="X271" s="382">
        <v>80</v>
      </c>
      <c r="Y271" s="382">
        <v>238</v>
      </c>
      <c r="Z271" s="382">
        <v>2</v>
      </c>
      <c r="AA271" s="382">
        <v>2</v>
      </c>
      <c r="AB271" s="382">
        <v>55</v>
      </c>
      <c r="AC271" s="382">
        <v>23</v>
      </c>
      <c r="AD271" s="386">
        <v>3904</v>
      </c>
      <c r="AE271" s="386">
        <v>20</v>
      </c>
      <c r="AF271" s="386">
        <v>16</v>
      </c>
      <c r="AG271" s="386">
        <v>36</v>
      </c>
    </row>
    <row r="272" spans="1:33" x14ac:dyDescent="0.35">
      <c r="A272" s="381" t="s">
        <v>602</v>
      </c>
      <c r="B272" s="387" t="s">
        <v>603</v>
      </c>
      <c r="C272" s="383">
        <v>20197</v>
      </c>
      <c r="D272" s="383">
        <v>2</v>
      </c>
      <c r="E272" s="383">
        <v>624</v>
      </c>
      <c r="F272" s="383">
        <v>1354</v>
      </c>
      <c r="G272" s="383">
        <v>197</v>
      </c>
      <c r="H272" s="383">
        <v>22374</v>
      </c>
      <c r="I272" s="382">
        <v>22177</v>
      </c>
      <c r="J272" s="382">
        <v>13</v>
      </c>
      <c r="K272" s="384">
        <v>80.64</v>
      </c>
      <c r="L272" s="384">
        <v>77.91</v>
      </c>
      <c r="M272" s="384">
        <v>3.69</v>
      </c>
      <c r="N272" s="384">
        <v>84</v>
      </c>
      <c r="O272" s="385">
        <v>16748</v>
      </c>
      <c r="P272" s="382">
        <v>78.7</v>
      </c>
      <c r="Q272" s="382">
        <v>71.97</v>
      </c>
      <c r="R272" s="382">
        <v>36.909999999999997</v>
      </c>
      <c r="S272" s="382">
        <v>113.79</v>
      </c>
      <c r="T272" s="382">
        <v>1843</v>
      </c>
      <c r="U272" s="382">
        <v>103.29</v>
      </c>
      <c r="V272" s="382">
        <v>2431</v>
      </c>
      <c r="W272" s="382">
        <v>104.46</v>
      </c>
      <c r="X272" s="382">
        <v>20</v>
      </c>
      <c r="Y272" s="382">
        <v>0</v>
      </c>
      <c r="Z272" s="382">
        <v>76</v>
      </c>
      <c r="AA272" s="382">
        <v>0</v>
      </c>
      <c r="AB272" s="382">
        <v>23</v>
      </c>
      <c r="AC272" s="382">
        <v>1</v>
      </c>
      <c r="AD272" s="386">
        <v>19195</v>
      </c>
      <c r="AE272" s="386">
        <v>148</v>
      </c>
      <c r="AF272" s="386">
        <v>17</v>
      </c>
      <c r="AG272" s="386">
        <v>165</v>
      </c>
    </row>
    <row r="273" spans="1:33" x14ac:dyDescent="0.35">
      <c r="A273" s="381" t="s">
        <v>604</v>
      </c>
      <c r="B273" s="387" t="s">
        <v>605</v>
      </c>
      <c r="C273" s="383">
        <v>1560</v>
      </c>
      <c r="D273" s="383">
        <v>0</v>
      </c>
      <c r="E273" s="383">
        <v>120</v>
      </c>
      <c r="F273" s="383">
        <v>109</v>
      </c>
      <c r="G273" s="383">
        <v>200</v>
      </c>
      <c r="H273" s="383">
        <v>1989</v>
      </c>
      <c r="I273" s="382">
        <v>1789</v>
      </c>
      <c r="J273" s="382">
        <v>0</v>
      </c>
      <c r="K273" s="384">
        <v>87.22</v>
      </c>
      <c r="L273" s="384">
        <v>83.41</v>
      </c>
      <c r="M273" s="384">
        <v>5.55</v>
      </c>
      <c r="N273" s="384">
        <v>91.72</v>
      </c>
      <c r="O273" s="385">
        <v>1241</v>
      </c>
      <c r="P273" s="382">
        <v>81.7</v>
      </c>
      <c r="Q273" s="382">
        <v>80.34</v>
      </c>
      <c r="R273" s="382">
        <v>33.96</v>
      </c>
      <c r="S273" s="382">
        <v>115.66</v>
      </c>
      <c r="T273" s="382">
        <v>191</v>
      </c>
      <c r="U273" s="382">
        <v>109.71</v>
      </c>
      <c r="V273" s="382">
        <v>305</v>
      </c>
      <c r="W273" s="382">
        <v>0</v>
      </c>
      <c r="X273" s="382">
        <v>0</v>
      </c>
      <c r="Y273" s="382">
        <v>0</v>
      </c>
      <c r="Z273" s="382">
        <v>7</v>
      </c>
      <c r="AA273" s="382">
        <v>1</v>
      </c>
      <c r="AB273" s="382">
        <v>27</v>
      </c>
      <c r="AC273" s="382">
        <v>4</v>
      </c>
      <c r="AD273" s="386">
        <v>1560</v>
      </c>
      <c r="AE273" s="386">
        <v>23</v>
      </c>
      <c r="AF273" s="386">
        <v>2</v>
      </c>
      <c r="AG273" s="386">
        <v>25</v>
      </c>
    </row>
    <row r="274" spans="1:33" x14ac:dyDescent="0.35">
      <c r="A274" s="381" t="s">
        <v>606</v>
      </c>
      <c r="B274" s="387" t="s">
        <v>607</v>
      </c>
      <c r="C274" s="383">
        <v>1155</v>
      </c>
      <c r="D274" s="383">
        <v>0</v>
      </c>
      <c r="E274" s="383">
        <v>141</v>
      </c>
      <c r="F274" s="383">
        <v>75</v>
      </c>
      <c r="G274" s="383">
        <v>339</v>
      </c>
      <c r="H274" s="383">
        <v>1710</v>
      </c>
      <c r="I274" s="382">
        <v>1371</v>
      </c>
      <c r="J274" s="382">
        <v>0</v>
      </c>
      <c r="K274" s="384">
        <v>122.13</v>
      </c>
      <c r="L274" s="384">
        <v>119.36</v>
      </c>
      <c r="M274" s="384">
        <v>7.49</v>
      </c>
      <c r="N274" s="384">
        <v>129.22</v>
      </c>
      <c r="O274" s="385">
        <v>682</v>
      </c>
      <c r="P274" s="382">
        <v>134.87</v>
      </c>
      <c r="Q274" s="382">
        <v>98.1</v>
      </c>
      <c r="R274" s="382">
        <v>59.64</v>
      </c>
      <c r="S274" s="382">
        <v>194.51</v>
      </c>
      <c r="T274" s="382">
        <v>86</v>
      </c>
      <c r="U274" s="382">
        <v>181.63</v>
      </c>
      <c r="V274" s="382">
        <v>367</v>
      </c>
      <c r="W274" s="382">
        <v>110.77</v>
      </c>
      <c r="X274" s="382">
        <v>6</v>
      </c>
      <c r="Y274" s="382">
        <v>0</v>
      </c>
      <c r="Z274" s="382">
        <v>1</v>
      </c>
      <c r="AA274" s="382">
        <v>0</v>
      </c>
      <c r="AB274" s="382">
        <v>34</v>
      </c>
      <c r="AC274" s="382">
        <v>4</v>
      </c>
      <c r="AD274" s="386">
        <v>1108</v>
      </c>
      <c r="AE274" s="386">
        <v>12</v>
      </c>
      <c r="AF274" s="386">
        <v>1</v>
      </c>
      <c r="AG274" s="386">
        <v>13</v>
      </c>
    </row>
    <row r="275" spans="1:33" x14ac:dyDescent="0.35">
      <c r="A275" s="381" t="s">
        <v>608</v>
      </c>
      <c r="B275" s="387" t="s">
        <v>609</v>
      </c>
      <c r="C275" s="383">
        <v>4216</v>
      </c>
      <c r="D275" s="383">
        <v>0</v>
      </c>
      <c r="E275" s="383">
        <v>195</v>
      </c>
      <c r="F275" s="383">
        <v>1364</v>
      </c>
      <c r="G275" s="383">
        <v>640</v>
      </c>
      <c r="H275" s="383">
        <v>6415</v>
      </c>
      <c r="I275" s="382">
        <v>5775</v>
      </c>
      <c r="J275" s="382">
        <v>0</v>
      </c>
      <c r="K275" s="384">
        <v>85</v>
      </c>
      <c r="L275" s="384">
        <v>84.4</v>
      </c>
      <c r="M275" s="384">
        <v>3.84</v>
      </c>
      <c r="N275" s="384">
        <v>88.67</v>
      </c>
      <c r="O275" s="385">
        <v>3388</v>
      </c>
      <c r="P275" s="382">
        <v>81.58</v>
      </c>
      <c r="Q275" s="382">
        <v>78.52</v>
      </c>
      <c r="R275" s="382">
        <v>14.64</v>
      </c>
      <c r="S275" s="382">
        <v>96.02</v>
      </c>
      <c r="T275" s="382">
        <v>1264</v>
      </c>
      <c r="U275" s="382">
        <v>125.39</v>
      </c>
      <c r="V275" s="382">
        <v>742</v>
      </c>
      <c r="W275" s="382">
        <v>96.43</v>
      </c>
      <c r="X275" s="382">
        <v>10</v>
      </c>
      <c r="Y275" s="382">
        <v>0</v>
      </c>
      <c r="Z275" s="382">
        <v>10</v>
      </c>
      <c r="AA275" s="382">
        <v>0</v>
      </c>
      <c r="AB275" s="382">
        <v>8</v>
      </c>
      <c r="AC275" s="382">
        <v>11</v>
      </c>
      <c r="AD275" s="386">
        <v>4196</v>
      </c>
      <c r="AE275" s="386">
        <v>9</v>
      </c>
      <c r="AF275" s="386">
        <v>15</v>
      </c>
      <c r="AG275" s="386">
        <v>24</v>
      </c>
    </row>
    <row r="276" spans="1:33" x14ac:dyDescent="0.35">
      <c r="A276" s="381" t="s">
        <v>610</v>
      </c>
      <c r="B276" s="387" t="s">
        <v>611</v>
      </c>
      <c r="C276" s="383">
        <v>11291</v>
      </c>
      <c r="D276" s="383">
        <v>0</v>
      </c>
      <c r="E276" s="383">
        <v>428</v>
      </c>
      <c r="F276" s="383">
        <v>1946</v>
      </c>
      <c r="G276" s="383">
        <v>523</v>
      </c>
      <c r="H276" s="383">
        <v>14188</v>
      </c>
      <c r="I276" s="382">
        <v>13665</v>
      </c>
      <c r="J276" s="382">
        <v>63</v>
      </c>
      <c r="K276" s="384">
        <v>88.07</v>
      </c>
      <c r="L276" s="384">
        <v>87.7</v>
      </c>
      <c r="M276" s="384">
        <v>6.39</v>
      </c>
      <c r="N276" s="384">
        <v>90.66</v>
      </c>
      <c r="O276" s="385">
        <v>9846</v>
      </c>
      <c r="P276" s="382">
        <v>86.55</v>
      </c>
      <c r="Q276" s="382">
        <v>84.37</v>
      </c>
      <c r="R276" s="382">
        <v>43.82</v>
      </c>
      <c r="S276" s="382">
        <v>130.16999999999999</v>
      </c>
      <c r="T276" s="382">
        <v>1986</v>
      </c>
      <c r="U276" s="382">
        <v>111.59</v>
      </c>
      <c r="V276" s="382">
        <v>1123</v>
      </c>
      <c r="W276" s="382">
        <v>194.97</v>
      </c>
      <c r="X276" s="382">
        <v>253</v>
      </c>
      <c r="Y276" s="382">
        <v>0</v>
      </c>
      <c r="Z276" s="382">
        <v>63</v>
      </c>
      <c r="AA276" s="382">
        <v>78</v>
      </c>
      <c r="AB276" s="382">
        <v>40</v>
      </c>
      <c r="AC276" s="382">
        <v>9</v>
      </c>
      <c r="AD276" s="386">
        <v>11291</v>
      </c>
      <c r="AE276" s="386">
        <v>242</v>
      </c>
      <c r="AF276" s="386">
        <v>25</v>
      </c>
      <c r="AG276" s="386">
        <v>267</v>
      </c>
    </row>
    <row r="277" spans="1:33" x14ac:dyDescent="0.35">
      <c r="A277" s="381" t="s">
        <v>612</v>
      </c>
      <c r="B277" s="387" t="s">
        <v>613</v>
      </c>
      <c r="C277" s="383">
        <v>2145</v>
      </c>
      <c r="D277" s="383">
        <v>0</v>
      </c>
      <c r="E277" s="383">
        <v>243</v>
      </c>
      <c r="F277" s="383">
        <v>552</v>
      </c>
      <c r="G277" s="383">
        <v>118</v>
      </c>
      <c r="H277" s="383">
        <v>3058</v>
      </c>
      <c r="I277" s="382">
        <v>2940</v>
      </c>
      <c r="J277" s="382">
        <v>0</v>
      </c>
      <c r="K277" s="384">
        <v>98.96</v>
      </c>
      <c r="L277" s="384">
        <v>97.18</v>
      </c>
      <c r="M277" s="384">
        <v>15.8</v>
      </c>
      <c r="N277" s="384">
        <v>112.16</v>
      </c>
      <c r="O277" s="385">
        <v>1833</v>
      </c>
      <c r="P277" s="382">
        <v>90.26</v>
      </c>
      <c r="Q277" s="382">
        <v>85.35</v>
      </c>
      <c r="R277" s="382">
        <v>36.9</v>
      </c>
      <c r="S277" s="382">
        <v>125.16</v>
      </c>
      <c r="T277" s="382">
        <v>772</v>
      </c>
      <c r="U277" s="382">
        <v>121.88</v>
      </c>
      <c r="V277" s="382">
        <v>263</v>
      </c>
      <c r="W277" s="382">
        <v>0</v>
      </c>
      <c r="X277" s="382">
        <v>0</v>
      </c>
      <c r="Y277" s="382">
        <v>1</v>
      </c>
      <c r="Z277" s="382">
        <v>0</v>
      </c>
      <c r="AA277" s="382">
        <v>0</v>
      </c>
      <c r="AB277" s="382">
        <v>20</v>
      </c>
      <c r="AC277" s="382">
        <v>1</v>
      </c>
      <c r="AD277" s="386">
        <v>2145</v>
      </c>
      <c r="AE277" s="386">
        <v>52</v>
      </c>
      <c r="AF277" s="386">
        <v>7</v>
      </c>
      <c r="AG277" s="386">
        <v>59</v>
      </c>
    </row>
    <row r="278" spans="1:33" x14ac:dyDescent="0.35">
      <c r="A278" s="381" t="s">
        <v>614</v>
      </c>
      <c r="B278" s="387" t="s">
        <v>615</v>
      </c>
      <c r="C278" s="383">
        <v>7353</v>
      </c>
      <c r="D278" s="383">
        <v>0</v>
      </c>
      <c r="E278" s="383">
        <v>277</v>
      </c>
      <c r="F278" s="383">
        <v>416</v>
      </c>
      <c r="G278" s="383">
        <v>921</v>
      </c>
      <c r="H278" s="383">
        <v>8967</v>
      </c>
      <c r="I278" s="382">
        <v>8046</v>
      </c>
      <c r="J278" s="382">
        <v>14</v>
      </c>
      <c r="K278" s="384">
        <v>104.55</v>
      </c>
      <c r="L278" s="384">
        <v>103.13</v>
      </c>
      <c r="M278" s="384">
        <v>3.66</v>
      </c>
      <c r="N278" s="384">
        <v>107.42</v>
      </c>
      <c r="O278" s="385">
        <v>6102</v>
      </c>
      <c r="P278" s="382">
        <v>91.29</v>
      </c>
      <c r="Q278" s="382">
        <v>90.56</v>
      </c>
      <c r="R278" s="382">
        <v>33.369999999999997</v>
      </c>
      <c r="S278" s="382">
        <v>124.37</v>
      </c>
      <c r="T278" s="382">
        <v>560</v>
      </c>
      <c r="U278" s="382">
        <v>143.4</v>
      </c>
      <c r="V278" s="382">
        <v>897</v>
      </c>
      <c r="W278" s="382">
        <v>107.29</v>
      </c>
      <c r="X278" s="382">
        <v>1</v>
      </c>
      <c r="Y278" s="382">
        <v>0</v>
      </c>
      <c r="Z278" s="382">
        <v>8</v>
      </c>
      <c r="AA278" s="382">
        <v>21</v>
      </c>
      <c r="AB278" s="382">
        <v>117</v>
      </c>
      <c r="AC278" s="382">
        <v>16</v>
      </c>
      <c r="AD278" s="386">
        <v>7076</v>
      </c>
      <c r="AE278" s="386">
        <v>70</v>
      </c>
      <c r="AF278" s="386">
        <v>38</v>
      </c>
      <c r="AG278" s="386">
        <v>108</v>
      </c>
    </row>
    <row r="279" spans="1:33" x14ac:dyDescent="0.35">
      <c r="A279" s="381" t="s">
        <v>616</v>
      </c>
      <c r="B279" s="387" t="s">
        <v>617</v>
      </c>
      <c r="C279" s="383">
        <v>4600</v>
      </c>
      <c r="D279" s="383">
        <v>0</v>
      </c>
      <c r="E279" s="383">
        <v>75</v>
      </c>
      <c r="F279" s="383">
        <v>570</v>
      </c>
      <c r="G279" s="383">
        <v>826</v>
      </c>
      <c r="H279" s="383">
        <v>6071</v>
      </c>
      <c r="I279" s="382">
        <v>5245</v>
      </c>
      <c r="J279" s="382">
        <v>1</v>
      </c>
      <c r="K279" s="384">
        <v>94.02</v>
      </c>
      <c r="L279" s="384">
        <v>90.33</v>
      </c>
      <c r="M279" s="384">
        <v>5.0599999999999996</v>
      </c>
      <c r="N279" s="384">
        <v>96.74</v>
      </c>
      <c r="O279" s="385">
        <v>3861</v>
      </c>
      <c r="P279" s="382">
        <v>85.11</v>
      </c>
      <c r="Q279" s="382">
        <v>81.92</v>
      </c>
      <c r="R279" s="382">
        <v>40.4</v>
      </c>
      <c r="S279" s="382">
        <v>125.45</v>
      </c>
      <c r="T279" s="382">
        <v>616</v>
      </c>
      <c r="U279" s="382">
        <v>130.94</v>
      </c>
      <c r="V279" s="382">
        <v>729</v>
      </c>
      <c r="W279" s="382">
        <v>121.99</v>
      </c>
      <c r="X279" s="382">
        <v>17</v>
      </c>
      <c r="Y279" s="382">
        <v>0</v>
      </c>
      <c r="Z279" s="382">
        <v>4</v>
      </c>
      <c r="AA279" s="382">
        <v>0</v>
      </c>
      <c r="AB279" s="382">
        <v>45</v>
      </c>
      <c r="AC279" s="382">
        <v>19</v>
      </c>
      <c r="AD279" s="386">
        <v>4594</v>
      </c>
      <c r="AE279" s="386">
        <v>39</v>
      </c>
      <c r="AF279" s="386">
        <v>31</v>
      </c>
      <c r="AG279" s="386">
        <v>70</v>
      </c>
    </row>
    <row r="280" spans="1:33" x14ac:dyDescent="0.35">
      <c r="A280" s="381" t="s">
        <v>618</v>
      </c>
      <c r="B280" s="387" t="s">
        <v>619</v>
      </c>
      <c r="C280" s="383">
        <v>3896</v>
      </c>
      <c r="D280" s="383">
        <v>0</v>
      </c>
      <c r="E280" s="383">
        <v>116</v>
      </c>
      <c r="F280" s="383">
        <v>678</v>
      </c>
      <c r="G280" s="383">
        <v>151</v>
      </c>
      <c r="H280" s="383">
        <v>4841</v>
      </c>
      <c r="I280" s="382">
        <v>4690</v>
      </c>
      <c r="J280" s="382">
        <v>14</v>
      </c>
      <c r="K280" s="384">
        <v>90.29</v>
      </c>
      <c r="L280" s="384">
        <v>89.58</v>
      </c>
      <c r="M280" s="384">
        <v>8.23</v>
      </c>
      <c r="N280" s="384">
        <v>96.26</v>
      </c>
      <c r="O280" s="385">
        <v>3568</v>
      </c>
      <c r="P280" s="382">
        <v>95.27</v>
      </c>
      <c r="Q280" s="382">
        <v>82.5</v>
      </c>
      <c r="R280" s="382">
        <v>46</v>
      </c>
      <c r="S280" s="382">
        <v>141.19999999999999</v>
      </c>
      <c r="T280" s="382">
        <v>770</v>
      </c>
      <c r="U280" s="382">
        <v>115.15</v>
      </c>
      <c r="V280" s="382">
        <v>306</v>
      </c>
      <c r="W280" s="382">
        <v>0</v>
      </c>
      <c r="X280" s="382">
        <v>0</v>
      </c>
      <c r="Y280" s="382">
        <v>0</v>
      </c>
      <c r="Z280" s="382">
        <v>1</v>
      </c>
      <c r="AA280" s="382">
        <v>49</v>
      </c>
      <c r="AB280" s="382">
        <v>17</v>
      </c>
      <c r="AC280" s="382">
        <v>3</v>
      </c>
      <c r="AD280" s="386">
        <v>3896</v>
      </c>
      <c r="AE280" s="386">
        <v>26</v>
      </c>
      <c r="AF280" s="386">
        <v>38</v>
      </c>
      <c r="AG280" s="386">
        <v>64</v>
      </c>
    </row>
    <row r="281" spans="1:33" x14ac:dyDescent="0.35">
      <c r="A281" s="381" t="s">
        <v>620</v>
      </c>
      <c r="B281" s="387" t="s">
        <v>621</v>
      </c>
      <c r="C281" s="383">
        <v>4666</v>
      </c>
      <c r="D281" s="383">
        <v>22</v>
      </c>
      <c r="E281" s="383">
        <v>52</v>
      </c>
      <c r="F281" s="383">
        <v>885</v>
      </c>
      <c r="G281" s="383">
        <v>214</v>
      </c>
      <c r="H281" s="383">
        <v>5839</v>
      </c>
      <c r="I281" s="382">
        <v>5625</v>
      </c>
      <c r="J281" s="382">
        <v>12</v>
      </c>
      <c r="K281" s="384">
        <v>117.57</v>
      </c>
      <c r="L281" s="384">
        <v>117.91</v>
      </c>
      <c r="M281" s="384">
        <v>6.74</v>
      </c>
      <c r="N281" s="384">
        <v>120.63</v>
      </c>
      <c r="O281" s="385">
        <v>4387</v>
      </c>
      <c r="P281" s="382">
        <v>97.93</v>
      </c>
      <c r="Q281" s="382">
        <v>97.67</v>
      </c>
      <c r="R281" s="382">
        <v>21.76</v>
      </c>
      <c r="S281" s="382">
        <v>117.75</v>
      </c>
      <c r="T281" s="382">
        <v>898</v>
      </c>
      <c r="U281" s="382">
        <v>161.72999999999999</v>
      </c>
      <c r="V281" s="382">
        <v>183</v>
      </c>
      <c r="W281" s="382">
        <v>0</v>
      </c>
      <c r="X281" s="382">
        <v>0</v>
      </c>
      <c r="Y281" s="382">
        <v>0</v>
      </c>
      <c r="Z281" s="382">
        <v>8</v>
      </c>
      <c r="AA281" s="382">
        <v>0</v>
      </c>
      <c r="AB281" s="382">
        <v>14</v>
      </c>
      <c r="AC281" s="382">
        <v>4</v>
      </c>
      <c r="AD281" s="386">
        <v>4656</v>
      </c>
      <c r="AE281" s="386">
        <v>49</v>
      </c>
      <c r="AF281" s="386">
        <v>34</v>
      </c>
      <c r="AG281" s="386">
        <v>83</v>
      </c>
    </row>
    <row r="282" spans="1:33" x14ac:dyDescent="0.35">
      <c r="A282" s="381" t="s">
        <v>622</v>
      </c>
      <c r="B282" s="387" t="s">
        <v>623</v>
      </c>
      <c r="C282" s="383">
        <v>1864</v>
      </c>
      <c r="D282" s="383">
        <v>0</v>
      </c>
      <c r="E282" s="383">
        <v>134</v>
      </c>
      <c r="F282" s="383">
        <v>93</v>
      </c>
      <c r="G282" s="383">
        <v>335</v>
      </c>
      <c r="H282" s="383">
        <v>2426</v>
      </c>
      <c r="I282" s="382">
        <v>2091</v>
      </c>
      <c r="J282" s="382">
        <v>21</v>
      </c>
      <c r="K282" s="384">
        <v>105.95</v>
      </c>
      <c r="L282" s="384">
        <v>102.97</v>
      </c>
      <c r="M282" s="384">
        <v>7.72</v>
      </c>
      <c r="N282" s="384">
        <v>110.95</v>
      </c>
      <c r="O282" s="385">
        <v>1275</v>
      </c>
      <c r="P282" s="382">
        <v>108.19</v>
      </c>
      <c r="Q282" s="382">
        <v>107.38</v>
      </c>
      <c r="R282" s="382">
        <v>84.32</v>
      </c>
      <c r="S282" s="382">
        <v>189.86</v>
      </c>
      <c r="T282" s="382">
        <v>191</v>
      </c>
      <c r="U282" s="382">
        <v>155.30000000000001</v>
      </c>
      <c r="V282" s="382">
        <v>517</v>
      </c>
      <c r="W282" s="382">
        <v>0</v>
      </c>
      <c r="X282" s="382">
        <v>0</v>
      </c>
      <c r="Y282" s="382">
        <v>0</v>
      </c>
      <c r="Z282" s="382">
        <v>1</v>
      </c>
      <c r="AA282" s="382">
        <v>11</v>
      </c>
      <c r="AB282" s="382">
        <v>3</v>
      </c>
      <c r="AC282" s="382">
        <v>9</v>
      </c>
      <c r="AD282" s="386">
        <v>1841</v>
      </c>
      <c r="AE282" s="386">
        <v>18</v>
      </c>
      <c r="AF282" s="386">
        <v>3</v>
      </c>
      <c r="AG282" s="386">
        <v>21</v>
      </c>
    </row>
    <row r="283" spans="1:33" x14ac:dyDescent="0.35">
      <c r="A283" s="381" t="s">
        <v>624</v>
      </c>
      <c r="B283" s="387" t="s">
        <v>625</v>
      </c>
      <c r="C283" s="383">
        <v>7696</v>
      </c>
      <c r="D283" s="383">
        <v>1</v>
      </c>
      <c r="E283" s="383">
        <v>134</v>
      </c>
      <c r="F283" s="383">
        <v>604</v>
      </c>
      <c r="G283" s="383">
        <v>1070</v>
      </c>
      <c r="H283" s="383">
        <v>9505</v>
      </c>
      <c r="I283" s="382">
        <v>8435</v>
      </c>
      <c r="J283" s="382">
        <v>89</v>
      </c>
      <c r="K283" s="384">
        <v>112.11</v>
      </c>
      <c r="L283" s="384">
        <v>111.92</v>
      </c>
      <c r="M283" s="384">
        <v>6.93</v>
      </c>
      <c r="N283" s="384">
        <v>113.21</v>
      </c>
      <c r="O283" s="385">
        <v>6467</v>
      </c>
      <c r="P283" s="382">
        <v>95.36</v>
      </c>
      <c r="Q283" s="382">
        <v>97.16</v>
      </c>
      <c r="R283" s="382">
        <v>37.39</v>
      </c>
      <c r="S283" s="382">
        <v>127.15</v>
      </c>
      <c r="T283" s="382">
        <v>555</v>
      </c>
      <c r="U283" s="382">
        <v>143.6</v>
      </c>
      <c r="V283" s="382">
        <v>1146</v>
      </c>
      <c r="W283" s="382">
        <v>241.42</v>
      </c>
      <c r="X283" s="382">
        <v>109</v>
      </c>
      <c r="Y283" s="382">
        <v>0</v>
      </c>
      <c r="Z283" s="382">
        <v>1</v>
      </c>
      <c r="AA283" s="382">
        <v>2</v>
      </c>
      <c r="AB283" s="382">
        <v>47</v>
      </c>
      <c r="AC283" s="382">
        <v>13</v>
      </c>
      <c r="AD283" s="386">
        <v>7676</v>
      </c>
      <c r="AE283" s="386">
        <v>62</v>
      </c>
      <c r="AF283" s="386">
        <v>35</v>
      </c>
      <c r="AG283" s="386">
        <v>97</v>
      </c>
    </row>
    <row r="284" spans="1:33" x14ac:dyDescent="0.35">
      <c r="A284" s="381" t="s">
        <v>626</v>
      </c>
      <c r="B284" s="387" t="s">
        <v>627</v>
      </c>
      <c r="C284" s="383">
        <v>4219</v>
      </c>
      <c r="D284" s="383">
        <v>11</v>
      </c>
      <c r="E284" s="383">
        <v>278</v>
      </c>
      <c r="F284" s="383">
        <v>910</v>
      </c>
      <c r="G284" s="383">
        <v>556</v>
      </c>
      <c r="H284" s="383">
        <v>5974</v>
      </c>
      <c r="I284" s="382">
        <v>5418</v>
      </c>
      <c r="J284" s="382">
        <v>3</v>
      </c>
      <c r="K284" s="384">
        <v>88.92</v>
      </c>
      <c r="L284" s="384">
        <v>85.53</v>
      </c>
      <c r="M284" s="384">
        <v>5.62</v>
      </c>
      <c r="N284" s="384">
        <v>93.81</v>
      </c>
      <c r="O284" s="385">
        <v>3690</v>
      </c>
      <c r="P284" s="382">
        <v>86.22</v>
      </c>
      <c r="Q284" s="382">
        <v>79.3</v>
      </c>
      <c r="R284" s="382">
        <v>37.22</v>
      </c>
      <c r="S284" s="382">
        <v>121.73</v>
      </c>
      <c r="T284" s="382">
        <v>936</v>
      </c>
      <c r="U284" s="382">
        <v>116.34</v>
      </c>
      <c r="V284" s="382">
        <v>465</v>
      </c>
      <c r="W284" s="382">
        <v>192.49</v>
      </c>
      <c r="X284" s="382">
        <v>2</v>
      </c>
      <c r="Y284" s="382">
        <v>0</v>
      </c>
      <c r="Z284" s="382">
        <v>5</v>
      </c>
      <c r="AA284" s="382">
        <v>1</v>
      </c>
      <c r="AB284" s="382">
        <v>4</v>
      </c>
      <c r="AC284" s="382">
        <v>13</v>
      </c>
      <c r="AD284" s="386">
        <v>4180</v>
      </c>
      <c r="AE284" s="386">
        <v>20</v>
      </c>
      <c r="AF284" s="386">
        <v>19</v>
      </c>
      <c r="AG284" s="386">
        <v>39</v>
      </c>
    </row>
    <row r="285" spans="1:33" x14ac:dyDescent="0.35">
      <c r="A285" s="381" t="s">
        <v>628</v>
      </c>
      <c r="B285" s="387" t="s">
        <v>629</v>
      </c>
      <c r="C285" s="383">
        <v>2394</v>
      </c>
      <c r="D285" s="383">
        <v>0</v>
      </c>
      <c r="E285" s="383">
        <v>35</v>
      </c>
      <c r="F285" s="383">
        <v>386</v>
      </c>
      <c r="G285" s="383">
        <v>206</v>
      </c>
      <c r="H285" s="383">
        <v>3021</v>
      </c>
      <c r="I285" s="382">
        <v>2815</v>
      </c>
      <c r="J285" s="382">
        <v>10</v>
      </c>
      <c r="K285" s="384">
        <v>81.97</v>
      </c>
      <c r="L285" s="384">
        <v>80.739999999999995</v>
      </c>
      <c r="M285" s="384">
        <v>3.1</v>
      </c>
      <c r="N285" s="384">
        <v>83.77</v>
      </c>
      <c r="O285" s="385">
        <v>2274</v>
      </c>
      <c r="P285" s="382">
        <v>70.540000000000006</v>
      </c>
      <c r="Q285" s="382">
        <v>67.63</v>
      </c>
      <c r="R285" s="382">
        <v>31.3</v>
      </c>
      <c r="S285" s="382">
        <v>96.83</v>
      </c>
      <c r="T285" s="382">
        <v>343</v>
      </c>
      <c r="U285" s="382">
        <v>104.93</v>
      </c>
      <c r="V285" s="382">
        <v>120</v>
      </c>
      <c r="W285" s="382">
        <v>188.99</v>
      </c>
      <c r="X285" s="382">
        <v>41</v>
      </c>
      <c r="Y285" s="382">
        <v>0</v>
      </c>
      <c r="Z285" s="382">
        <v>6</v>
      </c>
      <c r="AA285" s="382">
        <v>1</v>
      </c>
      <c r="AB285" s="382">
        <v>6</v>
      </c>
      <c r="AC285" s="382">
        <v>3</v>
      </c>
      <c r="AD285" s="386">
        <v>2382</v>
      </c>
      <c r="AE285" s="386">
        <v>15</v>
      </c>
      <c r="AF285" s="386">
        <v>0</v>
      </c>
      <c r="AG285" s="386">
        <v>15</v>
      </c>
    </row>
    <row r="286" spans="1:33" x14ac:dyDescent="0.35">
      <c r="A286" s="381" t="s">
        <v>630</v>
      </c>
      <c r="B286" s="387" t="s">
        <v>631</v>
      </c>
      <c r="C286" s="383">
        <v>30054</v>
      </c>
      <c r="D286" s="383">
        <v>120</v>
      </c>
      <c r="E286" s="383">
        <v>1435</v>
      </c>
      <c r="F286" s="383">
        <v>812</v>
      </c>
      <c r="G286" s="383">
        <v>3112</v>
      </c>
      <c r="H286" s="383">
        <v>35533</v>
      </c>
      <c r="I286" s="382">
        <v>32421</v>
      </c>
      <c r="J286" s="382">
        <v>59</v>
      </c>
      <c r="K286" s="384">
        <v>123.84</v>
      </c>
      <c r="L286" s="384">
        <v>126.8</v>
      </c>
      <c r="M286" s="384">
        <v>15.89</v>
      </c>
      <c r="N286" s="384">
        <v>138.27000000000001</v>
      </c>
      <c r="O286" s="385">
        <v>25661</v>
      </c>
      <c r="P286" s="382">
        <v>110.35</v>
      </c>
      <c r="Q286" s="382">
        <v>108.94</v>
      </c>
      <c r="R286" s="382">
        <v>63.1</v>
      </c>
      <c r="S286" s="382">
        <v>170.54</v>
      </c>
      <c r="T286" s="382">
        <v>1801</v>
      </c>
      <c r="U286" s="382">
        <v>209.05</v>
      </c>
      <c r="V286" s="382">
        <v>2779</v>
      </c>
      <c r="W286" s="382">
        <v>224.5</v>
      </c>
      <c r="X286" s="382">
        <v>154</v>
      </c>
      <c r="Y286" s="382">
        <v>1</v>
      </c>
      <c r="Z286" s="382">
        <v>14</v>
      </c>
      <c r="AA286" s="382">
        <v>62</v>
      </c>
      <c r="AB286" s="382">
        <v>193</v>
      </c>
      <c r="AC286" s="382">
        <v>93</v>
      </c>
      <c r="AD286" s="386">
        <v>28738</v>
      </c>
      <c r="AE286" s="386">
        <v>246</v>
      </c>
      <c r="AF286" s="386">
        <v>201</v>
      </c>
      <c r="AG286" s="386">
        <v>447</v>
      </c>
    </row>
    <row r="287" spans="1:33" x14ac:dyDescent="0.35">
      <c r="A287" s="381" t="s">
        <v>632</v>
      </c>
      <c r="B287" s="387" t="s">
        <v>633</v>
      </c>
      <c r="C287" s="383">
        <v>11801</v>
      </c>
      <c r="D287" s="383">
        <v>0</v>
      </c>
      <c r="E287" s="383">
        <v>487</v>
      </c>
      <c r="F287" s="383">
        <v>3252</v>
      </c>
      <c r="G287" s="383">
        <v>452</v>
      </c>
      <c r="H287" s="383">
        <v>15992</v>
      </c>
      <c r="I287" s="382">
        <v>15540</v>
      </c>
      <c r="J287" s="382">
        <v>13</v>
      </c>
      <c r="K287" s="384">
        <v>86.59</v>
      </c>
      <c r="L287" s="384">
        <v>87.12</v>
      </c>
      <c r="M287" s="384">
        <v>5.09</v>
      </c>
      <c r="N287" s="384">
        <v>90.38</v>
      </c>
      <c r="O287" s="385">
        <v>9836</v>
      </c>
      <c r="P287" s="382">
        <v>87.85</v>
      </c>
      <c r="Q287" s="382">
        <v>85.13</v>
      </c>
      <c r="R287" s="382">
        <v>26.03</v>
      </c>
      <c r="S287" s="382">
        <v>113.73</v>
      </c>
      <c r="T287" s="382">
        <v>3529</v>
      </c>
      <c r="U287" s="382">
        <v>119.1</v>
      </c>
      <c r="V287" s="382">
        <v>1891</v>
      </c>
      <c r="W287" s="382">
        <v>168.2</v>
      </c>
      <c r="X287" s="382">
        <v>146</v>
      </c>
      <c r="Y287" s="382">
        <v>1</v>
      </c>
      <c r="Z287" s="382">
        <v>61</v>
      </c>
      <c r="AA287" s="382">
        <v>2</v>
      </c>
      <c r="AB287" s="382">
        <v>10</v>
      </c>
      <c r="AC287" s="382">
        <v>17</v>
      </c>
      <c r="AD287" s="386">
        <v>11779</v>
      </c>
      <c r="AE287" s="386">
        <v>53</v>
      </c>
      <c r="AF287" s="386">
        <v>74</v>
      </c>
      <c r="AG287" s="386">
        <v>127</v>
      </c>
    </row>
    <row r="288" spans="1:33" x14ac:dyDescent="0.35">
      <c r="A288" s="381" t="s">
        <v>634</v>
      </c>
      <c r="B288" s="387" t="s">
        <v>635</v>
      </c>
      <c r="C288" s="383">
        <v>6260</v>
      </c>
      <c r="D288" s="383">
        <v>0</v>
      </c>
      <c r="E288" s="383">
        <v>181</v>
      </c>
      <c r="F288" s="383">
        <v>791</v>
      </c>
      <c r="G288" s="383">
        <v>487</v>
      </c>
      <c r="H288" s="383">
        <v>7719</v>
      </c>
      <c r="I288" s="382">
        <v>7232</v>
      </c>
      <c r="J288" s="382">
        <v>3</v>
      </c>
      <c r="K288" s="384">
        <v>108.77</v>
      </c>
      <c r="L288" s="384">
        <v>104.16</v>
      </c>
      <c r="M288" s="384">
        <v>4.01</v>
      </c>
      <c r="N288" s="384">
        <v>112.16</v>
      </c>
      <c r="O288" s="385">
        <v>5466</v>
      </c>
      <c r="P288" s="382">
        <v>100.22</v>
      </c>
      <c r="Q288" s="382">
        <v>90.1</v>
      </c>
      <c r="R288" s="382">
        <v>38.47</v>
      </c>
      <c r="S288" s="382">
        <v>137.13999999999999</v>
      </c>
      <c r="T288" s="382">
        <v>693</v>
      </c>
      <c r="U288" s="382">
        <v>154.27000000000001</v>
      </c>
      <c r="V288" s="382">
        <v>596</v>
      </c>
      <c r="W288" s="382">
        <v>129.54</v>
      </c>
      <c r="X288" s="382">
        <v>124</v>
      </c>
      <c r="Y288" s="382">
        <v>139</v>
      </c>
      <c r="Z288" s="382">
        <v>1</v>
      </c>
      <c r="AA288" s="382">
        <v>25</v>
      </c>
      <c r="AB288" s="382">
        <v>27</v>
      </c>
      <c r="AC288" s="382">
        <v>11</v>
      </c>
      <c r="AD288" s="386">
        <v>6105</v>
      </c>
      <c r="AE288" s="386">
        <v>33</v>
      </c>
      <c r="AF288" s="386">
        <v>61</v>
      </c>
      <c r="AG288" s="386">
        <v>94</v>
      </c>
    </row>
    <row r="289" spans="1:33" x14ac:dyDescent="0.35">
      <c r="A289" s="381" t="s">
        <v>636</v>
      </c>
      <c r="B289" s="387" t="s">
        <v>637</v>
      </c>
      <c r="C289" s="383">
        <v>1863</v>
      </c>
      <c r="D289" s="383">
        <v>0</v>
      </c>
      <c r="E289" s="383">
        <v>79</v>
      </c>
      <c r="F289" s="383">
        <v>187</v>
      </c>
      <c r="G289" s="383">
        <v>577</v>
      </c>
      <c r="H289" s="383">
        <v>2706</v>
      </c>
      <c r="I289" s="382">
        <v>2129</v>
      </c>
      <c r="J289" s="382">
        <v>0</v>
      </c>
      <c r="K289" s="384">
        <v>106.66</v>
      </c>
      <c r="L289" s="384">
        <v>104.7</v>
      </c>
      <c r="M289" s="384">
        <v>7.28</v>
      </c>
      <c r="N289" s="384">
        <v>111.71</v>
      </c>
      <c r="O289" s="385">
        <v>998</v>
      </c>
      <c r="P289" s="382">
        <v>100.48</v>
      </c>
      <c r="Q289" s="382">
        <v>95.51</v>
      </c>
      <c r="R289" s="382">
        <v>59.1</v>
      </c>
      <c r="S289" s="382">
        <v>157.97999999999999</v>
      </c>
      <c r="T289" s="382">
        <v>258</v>
      </c>
      <c r="U289" s="382">
        <v>156.88999999999999</v>
      </c>
      <c r="V289" s="382">
        <v>845</v>
      </c>
      <c r="W289" s="382">
        <v>151.26</v>
      </c>
      <c r="X289" s="382">
        <v>6</v>
      </c>
      <c r="Y289" s="382">
        <v>108</v>
      </c>
      <c r="Z289" s="382">
        <v>0</v>
      </c>
      <c r="AA289" s="382">
        <v>1</v>
      </c>
      <c r="AB289" s="382">
        <v>74</v>
      </c>
      <c r="AC289" s="382">
        <v>9</v>
      </c>
      <c r="AD289" s="386">
        <v>1862</v>
      </c>
      <c r="AE289" s="386">
        <v>15</v>
      </c>
      <c r="AF289" s="386">
        <v>5</v>
      </c>
      <c r="AG289" s="386">
        <v>20</v>
      </c>
    </row>
    <row r="290" spans="1:33" x14ac:dyDescent="0.35">
      <c r="A290" s="381" t="s">
        <v>638</v>
      </c>
      <c r="B290" s="387" t="s">
        <v>639</v>
      </c>
      <c r="C290" s="383">
        <v>7275</v>
      </c>
      <c r="D290" s="383">
        <v>0</v>
      </c>
      <c r="E290" s="383">
        <v>208</v>
      </c>
      <c r="F290" s="383">
        <v>462</v>
      </c>
      <c r="G290" s="383">
        <v>836</v>
      </c>
      <c r="H290" s="383">
        <v>8781</v>
      </c>
      <c r="I290" s="382">
        <v>7945</v>
      </c>
      <c r="J290" s="382">
        <v>1</v>
      </c>
      <c r="K290" s="384">
        <v>105.64</v>
      </c>
      <c r="L290" s="384">
        <v>106.37</v>
      </c>
      <c r="M290" s="384">
        <v>5.7</v>
      </c>
      <c r="N290" s="384">
        <v>106.67</v>
      </c>
      <c r="O290" s="385">
        <v>5480</v>
      </c>
      <c r="P290" s="382">
        <v>97.95</v>
      </c>
      <c r="Q290" s="382">
        <v>96.95</v>
      </c>
      <c r="R290" s="382">
        <v>29.95</v>
      </c>
      <c r="S290" s="382">
        <v>124.45</v>
      </c>
      <c r="T290" s="382">
        <v>608</v>
      </c>
      <c r="U290" s="382">
        <v>165.71</v>
      </c>
      <c r="V290" s="382">
        <v>1727</v>
      </c>
      <c r="W290" s="382">
        <v>182.17</v>
      </c>
      <c r="X290" s="382">
        <v>27</v>
      </c>
      <c r="Y290" s="382">
        <v>0</v>
      </c>
      <c r="Z290" s="382">
        <v>3</v>
      </c>
      <c r="AA290" s="382">
        <v>1</v>
      </c>
      <c r="AB290" s="382">
        <v>66</v>
      </c>
      <c r="AC290" s="382">
        <v>14</v>
      </c>
      <c r="AD290" s="386">
        <v>7217</v>
      </c>
      <c r="AE290" s="386">
        <v>90</v>
      </c>
      <c r="AF290" s="386">
        <v>7</v>
      </c>
      <c r="AG290" s="386">
        <v>97</v>
      </c>
    </row>
    <row r="291" spans="1:33" x14ac:dyDescent="0.35">
      <c r="A291" s="381" t="s">
        <v>640</v>
      </c>
      <c r="B291" s="387" t="s">
        <v>641</v>
      </c>
      <c r="C291" s="383">
        <v>32506</v>
      </c>
      <c r="D291" s="383">
        <v>0</v>
      </c>
      <c r="E291" s="383">
        <v>2216</v>
      </c>
      <c r="F291" s="383">
        <v>654</v>
      </c>
      <c r="G291" s="383">
        <v>909</v>
      </c>
      <c r="H291" s="383">
        <v>36285</v>
      </c>
      <c r="I291" s="382">
        <v>35376</v>
      </c>
      <c r="J291" s="382">
        <v>2</v>
      </c>
      <c r="K291" s="384">
        <v>81.400000000000006</v>
      </c>
      <c r="L291" s="384">
        <v>81.8</v>
      </c>
      <c r="M291" s="384">
        <v>5.61</v>
      </c>
      <c r="N291" s="384">
        <v>82.14</v>
      </c>
      <c r="O291" s="385">
        <v>29851</v>
      </c>
      <c r="P291" s="382">
        <v>79.88</v>
      </c>
      <c r="Q291" s="382">
        <v>77.459999999999994</v>
      </c>
      <c r="R291" s="382">
        <v>39.11</v>
      </c>
      <c r="S291" s="382">
        <v>118.31</v>
      </c>
      <c r="T291" s="382">
        <v>2599</v>
      </c>
      <c r="U291" s="382">
        <v>96.46</v>
      </c>
      <c r="V291" s="382">
        <v>2325</v>
      </c>
      <c r="W291" s="382">
        <v>148.19</v>
      </c>
      <c r="X291" s="382">
        <v>28</v>
      </c>
      <c r="Y291" s="382">
        <v>0</v>
      </c>
      <c r="Z291" s="382">
        <v>191</v>
      </c>
      <c r="AA291" s="382">
        <v>8</v>
      </c>
      <c r="AB291" s="382">
        <v>122</v>
      </c>
      <c r="AC291" s="382">
        <v>20</v>
      </c>
      <c r="AD291" s="386">
        <v>32489</v>
      </c>
      <c r="AE291" s="386">
        <v>209</v>
      </c>
      <c r="AF291" s="386">
        <v>225</v>
      </c>
      <c r="AG291" s="386">
        <v>434</v>
      </c>
    </row>
    <row r="292" spans="1:33" x14ac:dyDescent="0.35">
      <c r="A292" s="381" t="s">
        <v>642</v>
      </c>
      <c r="B292" s="387" t="s">
        <v>643</v>
      </c>
      <c r="C292" s="383">
        <v>26586</v>
      </c>
      <c r="D292" s="383">
        <v>12</v>
      </c>
      <c r="E292" s="383">
        <v>498</v>
      </c>
      <c r="F292" s="383">
        <v>792</v>
      </c>
      <c r="G292" s="383">
        <v>501</v>
      </c>
      <c r="H292" s="383">
        <v>28389</v>
      </c>
      <c r="I292" s="382">
        <v>27888</v>
      </c>
      <c r="J292" s="382">
        <v>11</v>
      </c>
      <c r="K292" s="384">
        <v>83.98</v>
      </c>
      <c r="L292" s="384">
        <v>84.01</v>
      </c>
      <c r="M292" s="384">
        <v>9.8699999999999992</v>
      </c>
      <c r="N292" s="384">
        <v>88.98</v>
      </c>
      <c r="O292" s="385">
        <v>24171</v>
      </c>
      <c r="P292" s="382">
        <v>101.95</v>
      </c>
      <c r="Q292" s="382">
        <v>92.89</v>
      </c>
      <c r="R292" s="382">
        <v>44.5</v>
      </c>
      <c r="S292" s="382">
        <v>143.4</v>
      </c>
      <c r="T292" s="382">
        <v>1037</v>
      </c>
      <c r="U292" s="382">
        <v>108.16</v>
      </c>
      <c r="V292" s="382">
        <v>2180</v>
      </c>
      <c r="W292" s="382">
        <v>142.34</v>
      </c>
      <c r="X292" s="382">
        <v>193</v>
      </c>
      <c r="Y292" s="382">
        <v>0</v>
      </c>
      <c r="Z292" s="382">
        <v>187</v>
      </c>
      <c r="AA292" s="382">
        <v>11</v>
      </c>
      <c r="AB292" s="382">
        <v>3</v>
      </c>
      <c r="AC292" s="382">
        <v>17</v>
      </c>
      <c r="AD292" s="386">
        <v>26529</v>
      </c>
      <c r="AE292" s="386">
        <v>171</v>
      </c>
      <c r="AF292" s="386">
        <v>60</v>
      </c>
      <c r="AG292" s="386">
        <v>231</v>
      </c>
    </row>
    <row r="293" spans="1:33" x14ac:dyDescent="0.35">
      <c r="A293" s="381" t="s">
        <v>644</v>
      </c>
      <c r="B293" s="387" t="s">
        <v>645</v>
      </c>
      <c r="C293" s="383">
        <v>10727</v>
      </c>
      <c r="D293" s="383">
        <v>2</v>
      </c>
      <c r="E293" s="383">
        <v>911</v>
      </c>
      <c r="F293" s="383">
        <v>861</v>
      </c>
      <c r="G293" s="383">
        <v>1473</v>
      </c>
      <c r="H293" s="383">
        <v>13974</v>
      </c>
      <c r="I293" s="382">
        <v>12501</v>
      </c>
      <c r="J293" s="382">
        <v>23</v>
      </c>
      <c r="K293" s="384">
        <v>117.35</v>
      </c>
      <c r="L293" s="384">
        <v>113.76</v>
      </c>
      <c r="M293" s="384">
        <v>11.16</v>
      </c>
      <c r="N293" s="384">
        <v>122.91</v>
      </c>
      <c r="O293" s="385">
        <v>8816</v>
      </c>
      <c r="P293" s="382">
        <v>100.61</v>
      </c>
      <c r="Q293" s="382">
        <v>94.68</v>
      </c>
      <c r="R293" s="382">
        <v>37.590000000000003</v>
      </c>
      <c r="S293" s="382">
        <v>136.13</v>
      </c>
      <c r="T293" s="382">
        <v>1196</v>
      </c>
      <c r="U293" s="382">
        <v>176.35</v>
      </c>
      <c r="V293" s="382">
        <v>1408</v>
      </c>
      <c r="W293" s="382">
        <v>225.01</v>
      </c>
      <c r="X293" s="382">
        <v>72</v>
      </c>
      <c r="Y293" s="382">
        <v>0</v>
      </c>
      <c r="Z293" s="382">
        <v>5</v>
      </c>
      <c r="AA293" s="382">
        <v>25</v>
      </c>
      <c r="AB293" s="382">
        <v>78</v>
      </c>
      <c r="AC293" s="382">
        <v>41</v>
      </c>
      <c r="AD293" s="386">
        <v>10343</v>
      </c>
      <c r="AE293" s="386">
        <v>69</v>
      </c>
      <c r="AF293" s="386">
        <v>33</v>
      </c>
      <c r="AG293" s="386">
        <v>102</v>
      </c>
    </row>
    <row r="294" spans="1:33" x14ac:dyDescent="0.35">
      <c r="A294" s="381" t="s">
        <v>646</v>
      </c>
      <c r="B294" s="387" t="s">
        <v>647</v>
      </c>
      <c r="C294" s="383">
        <v>8864</v>
      </c>
      <c r="D294" s="383">
        <v>27</v>
      </c>
      <c r="E294" s="383">
        <v>1078</v>
      </c>
      <c r="F294" s="383">
        <v>1002</v>
      </c>
      <c r="G294" s="383">
        <v>2460</v>
      </c>
      <c r="H294" s="383">
        <v>13431</v>
      </c>
      <c r="I294" s="382">
        <v>10971</v>
      </c>
      <c r="J294" s="382">
        <v>290</v>
      </c>
      <c r="K294" s="384">
        <v>127.91</v>
      </c>
      <c r="L294" s="384">
        <v>134.31</v>
      </c>
      <c r="M294" s="384">
        <v>9.56</v>
      </c>
      <c r="N294" s="384">
        <v>133.11000000000001</v>
      </c>
      <c r="O294" s="385">
        <v>7476</v>
      </c>
      <c r="P294" s="382">
        <v>117.96</v>
      </c>
      <c r="Q294" s="382">
        <v>117.14</v>
      </c>
      <c r="R294" s="382">
        <v>36</v>
      </c>
      <c r="S294" s="382">
        <v>147.66999999999999</v>
      </c>
      <c r="T294" s="382">
        <v>1884</v>
      </c>
      <c r="U294" s="382">
        <v>204.6</v>
      </c>
      <c r="V294" s="382">
        <v>841</v>
      </c>
      <c r="W294" s="382">
        <v>237.49</v>
      </c>
      <c r="X294" s="382">
        <v>62</v>
      </c>
      <c r="Y294" s="382">
        <v>67</v>
      </c>
      <c r="Z294" s="382">
        <v>0</v>
      </c>
      <c r="AA294" s="382">
        <v>12</v>
      </c>
      <c r="AB294" s="382">
        <v>66</v>
      </c>
      <c r="AC294" s="382">
        <v>112</v>
      </c>
      <c r="AD294" s="386">
        <v>8498</v>
      </c>
      <c r="AE294" s="386">
        <v>35</v>
      </c>
      <c r="AF294" s="386">
        <v>42</v>
      </c>
      <c r="AG294" s="386">
        <v>77</v>
      </c>
    </row>
    <row r="295" spans="1:33" x14ac:dyDescent="0.35">
      <c r="A295" s="381" t="s">
        <v>648</v>
      </c>
      <c r="B295" s="387" t="s">
        <v>649</v>
      </c>
      <c r="C295" s="383">
        <v>11791</v>
      </c>
      <c r="D295" s="383">
        <v>0</v>
      </c>
      <c r="E295" s="383">
        <v>522</v>
      </c>
      <c r="F295" s="383">
        <v>2153</v>
      </c>
      <c r="G295" s="383">
        <v>603</v>
      </c>
      <c r="H295" s="383">
        <v>15069</v>
      </c>
      <c r="I295" s="382">
        <v>14466</v>
      </c>
      <c r="J295" s="382">
        <v>57</v>
      </c>
      <c r="K295" s="384">
        <v>82.75</v>
      </c>
      <c r="L295" s="384">
        <v>83.45</v>
      </c>
      <c r="M295" s="384">
        <v>5.42</v>
      </c>
      <c r="N295" s="384">
        <v>84.51</v>
      </c>
      <c r="O295" s="385">
        <v>11049</v>
      </c>
      <c r="P295" s="382">
        <v>84.54</v>
      </c>
      <c r="Q295" s="382">
        <v>79.11</v>
      </c>
      <c r="R295" s="382">
        <v>36.11</v>
      </c>
      <c r="S295" s="382">
        <v>116.63</v>
      </c>
      <c r="T295" s="382">
        <v>2610</v>
      </c>
      <c r="U295" s="382">
        <v>103.79</v>
      </c>
      <c r="V295" s="382">
        <v>691</v>
      </c>
      <c r="W295" s="382">
        <v>0</v>
      </c>
      <c r="X295" s="382">
        <v>0</v>
      </c>
      <c r="Y295" s="382">
        <v>0</v>
      </c>
      <c r="Z295" s="382">
        <v>78</v>
      </c>
      <c r="AA295" s="382">
        <v>0</v>
      </c>
      <c r="AB295" s="382">
        <v>19</v>
      </c>
      <c r="AC295" s="382">
        <v>21</v>
      </c>
      <c r="AD295" s="386">
        <v>11791</v>
      </c>
      <c r="AE295" s="386">
        <v>82</v>
      </c>
      <c r="AF295" s="386">
        <v>42</v>
      </c>
      <c r="AG295" s="386">
        <v>124</v>
      </c>
    </row>
    <row r="296" spans="1:33" x14ac:dyDescent="0.35">
      <c r="A296" s="381" t="s">
        <v>650</v>
      </c>
      <c r="B296" s="387" t="s">
        <v>651</v>
      </c>
      <c r="C296" s="383">
        <v>3113</v>
      </c>
      <c r="D296" s="383">
        <v>0</v>
      </c>
      <c r="E296" s="383">
        <v>141</v>
      </c>
      <c r="F296" s="383">
        <v>627</v>
      </c>
      <c r="G296" s="383">
        <v>917</v>
      </c>
      <c r="H296" s="383">
        <v>4798</v>
      </c>
      <c r="I296" s="382">
        <v>3881</v>
      </c>
      <c r="J296" s="382">
        <v>3</v>
      </c>
      <c r="K296" s="384">
        <v>104.01</v>
      </c>
      <c r="L296" s="384">
        <v>102.83</v>
      </c>
      <c r="M296" s="384">
        <v>7.77</v>
      </c>
      <c r="N296" s="384">
        <v>110.65</v>
      </c>
      <c r="O296" s="385">
        <v>2339</v>
      </c>
      <c r="P296" s="382">
        <v>98.78</v>
      </c>
      <c r="Q296" s="382">
        <v>90.19</v>
      </c>
      <c r="R296" s="382">
        <v>51.77</v>
      </c>
      <c r="S296" s="382">
        <v>150.27000000000001</v>
      </c>
      <c r="T296" s="382">
        <v>556</v>
      </c>
      <c r="U296" s="382">
        <v>143.5</v>
      </c>
      <c r="V296" s="382">
        <v>705</v>
      </c>
      <c r="W296" s="382">
        <v>186.5</v>
      </c>
      <c r="X296" s="382">
        <v>126</v>
      </c>
      <c r="Y296" s="382">
        <v>0</v>
      </c>
      <c r="Z296" s="382">
        <v>21</v>
      </c>
      <c r="AA296" s="382">
        <v>26</v>
      </c>
      <c r="AB296" s="382">
        <v>61</v>
      </c>
      <c r="AC296" s="382">
        <v>15</v>
      </c>
      <c r="AD296" s="386">
        <v>3049</v>
      </c>
      <c r="AE296" s="386">
        <v>32</v>
      </c>
      <c r="AF296" s="386">
        <v>45</v>
      </c>
      <c r="AG296" s="386">
        <v>77</v>
      </c>
    </row>
    <row r="297" spans="1:33" x14ac:dyDescent="0.35">
      <c r="A297" s="381" t="s">
        <v>652</v>
      </c>
      <c r="B297" s="387" t="s">
        <v>653</v>
      </c>
      <c r="C297" s="383">
        <v>5540</v>
      </c>
      <c r="D297" s="383">
        <v>114</v>
      </c>
      <c r="E297" s="383">
        <v>360</v>
      </c>
      <c r="F297" s="383">
        <v>589</v>
      </c>
      <c r="G297" s="383">
        <v>395</v>
      </c>
      <c r="H297" s="383">
        <v>6998</v>
      </c>
      <c r="I297" s="382">
        <v>6603</v>
      </c>
      <c r="J297" s="382">
        <v>68</v>
      </c>
      <c r="K297" s="384">
        <v>111.7</v>
      </c>
      <c r="L297" s="384">
        <v>121.3</v>
      </c>
      <c r="M297" s="384">
        <v>9.07</v>
      </c>
      <c r="N297" s="384">
        <v>115.77</v>
      </c>
      <c r="O297" s="385">
        <v>4955</v>
      </c>
      <c r="P297" s="382">
        <v>90.18</v>
      </c>
      <c r="Q297" s="382">
        <v>89.35</v>
      </c>
      <c r="R297" s="382">
        <v>37.64</v>
      </c>
      <c r="S297" s="382">
        <v>127.77</v>
      </c>
      <c r="T297" s="382">
        <v>702</v>
      </c>
      <c r="U297" s="382">
        <v>174.69</v>
      </c>
      <c r="V297" s="382">
        <v>455</v>
      </c>
      <c r="W297" s="382">
        <v>160.68</v>
      </c>
      <c r="X297" s="382">
        <v>2</v>
      </c>
      <c r="Y297" s="382">
        <v>0</v>
      </c>
      <c r="Z297" s="382">
        <v>5</v>
      </c>
      <c r="AA297" s="382">
        <v>0</v>
      </c>
      <c r="AB297" s="382">
        <v>15</v>
      </c>
      <c r="AC297" s="382">
        <v>1</v>
      </c>
      <c r="AD297" s="386">
        <v>5527</v>
      </c>
      <c r="AE297" s="386">
        <v>32</v>
      </c>
      <c r="AF297" s="386">
        <v>26</v>
      </c>
      <c r="AG297" s="386">
        <v>58</v>
      </c>
    </row>
    <row r="298" spans="1:33" x14ac:dyDescent="0.35">
      <c r="A298" s="381" t="s">
        <v>654</v>
      </c>
      <c r="B298" s="387" t="s">
        <v>655</v>
      </c>
      <c r="C298" s="383">
        <v>1294</v>
      </c>
      <c r="D298" s="383">
        <v>0</v>
      </c>
      <c r="E298" s="383">
        <v>146</v>
      </c>
      <c r="F298" s="383">
        <v>164</v>
      </c>
      <c r="G298" s="383">
        <v>513</v>
      </c>
      <c r="H298" s="383">
        <v>2117</v>
      </c>
      <c r="I298" s="382">
        <v>1604</v>
      </c>
      <c r="J298" s="382">
        <v>0</v>
      </c>
      <c r="K298" s="384">
        <v>115.89</v>
      </c>
      <c r="L298" s="384">
        <v>112.09</v>
      </c>
      <c r="M298" s="384">
        <v>5.1100000000000003</v>
      </c>
      <c r="N298" s="384">
        <v>120.61</v>
      </c>
      <c r="O298" s="385">
        <v>910</v>
      </c>
      <c r="P298" s="382">
        <v>100.31</v>
      </c>
      <c r="Q298" s="382">
        <v>93.26</v>
      </c>
      <c r="R298" s="382">
        <v>35.020000000000003</v>
      </c>
      <c r="S298" s="382">
        <v>135.08000000000001</v>
      </c>
      <c r="T298" s="382">
        <v>137</v>
      </c>
      <c r="U298" s="382">
        <v>183.89</v>
      </c>
      <c r="V298" s="382">
        <v>336</v>
      </c>
      <c r="W298" s="382">
        <v>109.9</v>
      </c>
      <c r="X298" s="382">
        <v>3</v>
      </c>
      <c r="Y298" s="382">
        <v>0</v>
      </c>
      <c r="Z298" s="382">
        <v>0</v>
      </c>
      <c r="AA298" s="382">
        <v>4</v>
      </c>
      <c r="AB298" s="382">
        <v>44</v>
      </c>
      <c r="AC298" s="382">
        <v>8</v>
      </c>
      <c r="AD298" s="386">
        <v>1226</v>
      </c>
      <c r="AE298" s="386">
        <v>31</v>
      </c>
      <c r="AF298" s="386">
        <v>9</v>
      </c>
      <c r="AG298" s="386">
        <v>40</v>
      </c>
    </row>
    <row r="299" spans="1:33" x14ac:dyDescent="0.35">
      <c r="A299" s="381" t="s">
        <v>656</v>
      </c>
      <c r="B299" s="387" t="s">
        <v>657</v>
      </c>
      <c r="C299" s="383">
        <v>2331</v>
      </c>
      <c r="D299" s="383">
        <v>0</v>
      </c>
      <c r="E299" s="383">
        <v>97</v>
      </c>
      <c r="F299" s="383">
        <v>307</v>
      </c>
      <c r="G299" s="383">
        <v>599</v>
      </c>
      <c r="H299" s="383">
        <v>3334</v>
      </c>
      <c r="I299" s="382">
        <v>2735</v>
      </c>
      <c r="J299" s="382">
        <v>0</v>
      </c>
      <c r="K299" s="384">
        <v>101.63</v>
      </c>
      <c r="L299" s="384">
        <v>98.02</v>
      </c>
      <c r="M299" s="384">
        <v>6.22</v>
      </c>
      <c r="N299" s="384">
        <v>106.37</v>
      </c>
      <c r="O299" s="385">
        <v>1380</v>
      </c>
      <c r="P299" s="382">
        <v>79.16</v>
      </c>
      <c r="Q299" s="382">
        <v>76.930000000000007</v>
      </c>
      <c r="R299" s="382">
        <v>38.200000000000003</v>
      </c>
      <c r="S299" s="382">
        <v>117.36</v>
      </c>
      <c r="T299" s="382">
        <v>226</v>
      </c>
      <c r="U299" s="382">
        <v>144.93</v>
      </c>
      <c r="V299" s="382">
        <v>929</v>
      </c>
      <c r="W299" s="382">
        <v>186.14</v>
      </c>
      <c r="X299" s="382">
        <v>55</v>
      </c>
      <c r="Y299" s="382">
        <v>0</v>
      </c>
      <c r="Z299" s="382">
        <v>0</v>
      </c>
      <c r="AA299" s="382">
        <v>1</v>
      </c>
      <c r="AB299" s="382">
        <v>45</v>
      </c>
      <c r="AC299" s="382">
        <v>5</v>
      </c>
      <c r="AD299" s="386">
        <v>2313</v>
      </c>
      <c r="AE299" s="386">
        <v>23</v>
      </c>
      <c r="AF299" s="386">
        <v>1</v>
      </c>
      <c r="AG299" s="386">
        <v>24</v>
      </c>
    </row>
    <row r="300" spans="1:33" x14ac:dyDescent="0.35">
      <c r="A300" s="381" t="s">
        <v>658</v>
      </c>
      <c r="B300" s="387" t="s">
        <v>659</v>
      </c>
      <c r="C300" s="383">
        <v>2764</v>
      </c>
      <c r="D300" s="383">
        <v>0</v>
      </c>
      <c r="E300" s="383">
        <v>321</v>
      </c>
      <c r="F300" s="383">
        <v>329</v>
      </c>
      <c r="G300" s="383">
        <v>701</v>
      </c>
      <c r="H300" s="383">
        <v>4115</v>
      </c>
      <c r="I300" s="382">
        <v>3414</v>
      </c>
      <c r="J300" s="382">
        <v>132</v>
      </c>
      <c r="K300" s="384">
        <v>109.44</v>
      </c>
      <c r="L300" s="384">
        <v>108.08</v>
      </c>
      <c r="M300" s="384">
        <v>8.31</v>
      </c>
      <c r="N300" s="384">
        <v>116.52</v>
      </c>
      <c r="O300" s="385">
        <v>2232</v>
      </c>
      <c r="P300" s="382">
        <v>106.13</v>
      </c>
      <c r="Q300" s="382">
        <v>98.73</v>
      </c>
      <c r="R300" s="382">
        <v>46.51</v>
      </c>
      <c r="S300" s="382">
        <v>152.46</v>
      </c>
      <c r="T300" s="382">
        <v>522</v>
      </c>
      <c r="U300" s="382">
        <v>150.77000000000001</v>
      </c>
      <c r="V300" s="382">
        <v>463</v>
      </c>
      <c r="W300" s="382">
        <v>0</v>
      </c>
      <c r="X300" s="382">
        <v>0</v>
      </c>
      <c r="Y300" s="382">
        <v>0</v>
      </c>
      <c r="Z300" s="382">
        <v>0</v>
      </c>
      <c r="AA300" s="382">
        <v>0</v>
      </c>
      <c r="AB300" s="382">
        <v>47</v>
      </c>
      <c r="AC300" s="382">
        <v>11</v>
      </c>
      <c r="AD300" s="386">
        <v>2721</v>
      </c>
      <c r="AE300" s="386">
        <v>20</v>
      </c>
      <c r="AF300" s="386">
        <v>12</v>
      </c>
      <c r="AG300" s="386">
        <v>32</v>
      </c>
    </row>
    <row r="301" spans="1:33" x14ac:dyDescent="0.35">
      <c r="A301" s="381" t="s">
        <v>660</v>
      </c>
      <c r="B301" s="387" t="s">
        <v>661</v>
      </c>
      <c r="C301" s="383">
        <v>7946</v>
      </c>
      <c r="D301" s="383">
        <v>0</v>
      </c>
      <c r="E301" s="383">
        <v>336</v>
      </c>
      <c r="F301" s="383">
        <v>899</v>
      </c>
      <c r="G301" s="383">
        <v>735</v>
      </c>
      <c r="H301" s="383">
        <v>9916</v>
      </c>
      <c r="I301" s="382">
        <v>9181</v>
      </c>
      <c r="J301" s="382">
        <v>26</v>
      </c>
      <c r="K301" s="384">
        <v>115.91</v>
      </c>
      <c r="L301" s="384">
        <v>117.38</v>
      </c>
      <c r="M301" s="384">
        <v>5.08</v>
      </c>
      <c r="N301" s="384">
        <v>118.54</v>
      </c>
      <c r="O301" s="385">
        <v>7514</v>
      </c>
      <c r="P301" s="382">
        <v>107.29</v>
      </c>
      <c r="Q301" s="382">
        <v>105.68</v>
      </c>
      <c r="R301" s="382">
        <v>29.69</v>
      </c>
      <c r="S301" s="382">
        <v>135.49</v>
      </c>
      <c r="T301" s="382">
        <v>1078</v>
      </c>
      <c r="U301" s="382">
        <v>148.25</v>
      </c>
      <c r="V301" s="382">
        <v>385</v>
      </c>
      <c r="W301" s="382">
        <v>184.08</v>
      </c>
      <c r="X301" s="382">
        <v>49</v>
      </c>
      <c r="Y301" s="382">
        <v>0</v>
      </c>
      <c r="Z301" s="382">
        <v>2</v>
      </c>
      <c r="AA301" s="382">
        <v>0</v>
      </c>
      <c r="AB301" s="382">
        <v>6</v>
      </c>
      <c r="AC301" s="382">
        <v>12</v>
      </c>
      <c r="AD301" s="386">
        <v>7890</v>
      </c>
      <c r="AE301" s="386">
        <v>45</v>
      </c>
      <c r="AF301" s="386">
        <v>27</v>
      </c>
      <c r="AG301" s="386">
        <v>72</v>
      </c>
    </row>
    <row r="302" spans="1:33" x14ac:dyDescent="0.35">
      <c r="A302" s="381" t="s">
        <v>662</v>
      </c>
      <c r="B302" s="387" t="s">
        <v>663</v>
      </c>
      <c r="C302" s="383">
        <v>2161</v>
      </c>
      <c r="D302" s="383">
        <v>2</v>
      </c>
      <c r="E302" s="383">
        <v>31</v>
      </c>
      <c r="F302" s="383">
        <v>322</v>
      </c>
      <c r="G302" s="383">
        <v>120</v>
      </c>
      <c r="H302" s="383">
        <v>2636</v>
      </c>
      <c r="I302" s="382">
        <v>2516</v>
      </c>
      <c r="J302" s="382">
        <v>0</v>
      </c>
      <c r="K302" s="384">
        <v>84.94</v>
      </c>
      <c r="L302" s="384">
        <v>81.52</v>
      </c>
      <c r="M302" s="384">
        <v>2.62</v>
      </c>
      <c r="N302" s="384">
        <v>86.74</v>
      </c>
      <c r="O302" s="385">
        <v>1930</v>
      </c>
      <c r="P302" s="382">
        <v>81.239999999999995</v>
      </c>
      <c r="Q302" s="382">
        <v>73.64</v>
      </c>
      <c r="R302" s="382">
        <v>18.670000000000002</v>
      </c>
      <c r="S302" s="382">
        <v>99.77</v>
      </c>
      <c r="T302" s="382">
        <v>277</v>
      </c>
      <c r="U302" s="382">
        <v>115.95</v>
      </c>
      <c r="V302" s="382">
        <v>160</v>
      </c>
      <c r="W302" s="382">
        <v>85.03</v>
      </c>
      <c r="X302" s="382">
        <v>4</v>
      </c>
      <c r="Y302" s="382">
        <v>0</v>
      </c>
      <c r="Z302" s="382">
        <v>0</v>
      </c>
      <c r="AA302" s="382">
        <v>4</v>
      </c>
      <c r="AB302" s="382">
        <v>11</v>
      </c>
      <c r="AC302" s="382">
        <v>4</v>
      </c>
      <c r="AD302" s="386">
        <v>2075</v>
      </c>
      <c r="AE302" s="386">
        <v>15</v>
      </c>
      <c r="AF302" s="386">
        <v>5</v>
      </c>
      <c r="AG302" s="386">
        <v>20</v>
      </c>
    </row>
    <row r="303" spans="1:33" x14ac:dyDescent="0.35">
      <c r="A303" s="381" t="s">
        <v>664</v>
      </c>
      <c r="B303" s="387" t="s">
        <v>665</v>
      </c>
      <c r="C303" s="383">
        <v>876</v>
      </c>
      <c r="D303" s="383">
        <v>4</v>
      </c>
      <c r="E303" s="383">
        <v>199</v>
      </c>
      <c r="F303" s="383">
        <v>371</v>
      </c>
      <c r="G303" s="383">
        <v>373</v>
      </c>
      <c r="H303" s="383">
        <v>1823</v>
      </c>
      <c r="I303" s="382">
        <v>1450</v>
      </c>
      <c r="J303" s="382">
        <v>0</v>
      </c>
      <c r="K303" s="384">
        <v>90.51</v>
      </c>
      <c r="L303" s="384">
        <v>88.76</v>
      </c>
      <c r="M303" s="384">
        <v>4.88</v>
      </c>
      <c r="N303" s="384">
        <v>93.69</v>
      </c>
      <c r="O303" s="385">
        <v>553</v>
      </c>
      <c r="P303" s="382">
        <v>99.96</v>
      </c>
      <c r="Q303" s="382">
        <v>84.62</v>
      </c>
      <c r="R303" s="382">
        <v>39.26</v>
      </c>
      <c r="S303" s="382">
        <v>139.22</v>
      </c>
      <c r="T303" s="382">
        <v>484</v>
      </c>
      <c r="U303" s="382">
        <v>105.73</v>
      </c>
      <c r="V303" s="382">
        <v>268</v>
      </c>
      <c r="W303" s="382">
        <v>0</v>
      </c>
      <c r="X303" s="382">
        <v>0</v>
      </c>
      <c r="Y303" s="382">
        <v>0</v>
      </c>
      <c r="Z303" s="382">
        <v>0</v>
      </c>
      <c r="AA303" s="382">
        <v>2</v>
      </c>
      <c r="AB303" s="382">
        <v>12</v>
      </c>
      <c r="AC303" s="382">
        <v>3</v>
      </c>
      <c r="AD303" s="386">
        <v>866</v>
      </c>
      <c r="AE303" s="386">
        <v>5</v>
      </c>
      <c r="AF303" s="386">
        <v>2</v>
      </c>
      <c r="AG303" s="386">
        <v>7</v>
      </c>
    </row>
    <row r="304" spans="1:33" x14ac:dyDescent="0.35">
      <c r="A304" s="381" t="s">
        <v>666</v>
      </c>
      <c r="B304" s="387" t="s">
        <v>667</v>
      </c>
      <c r="C304" s="383">
        <v>4313</v>
      </c>
      <c r="D304" s="383">
        <v>0</v>
      </c>
      <c r="E304" s="383">
        <v>130</v>
      </c>
      <c r="F304" s="383">
        <v>422</v>
      </c>
      <c r="G304" s="383">
        <v>351</v>
      </c>
      <c r="H304" s="383">
        <v>5216</v>
      </c>
      <c r="I304" s="382">
        <v>4865</v>
      </c>
      <c r="J304" s="382">
        <v>0</v>
      </c>
      <c r="K304" s="384">
        <v>77.67</v>
      </c>
      <c r="L304" s="384">
        <v>78.400000000000006</v>
      </c>
      <c r="M304" s="384">
        <v>5.14</v>
      </c>
      <c r="N304" s="384">
        <v>79.14</v>
      </c>
      <c r="O304" s="385">
        <v>3886</v>
      </c>
      <c r="P304" s="382">
        <v>75.06</v>
      </c>
      <c r="Q304" s="382">
        <v>75.16</v>
      </c>
      <c r="R304" s="382">
        <v>35.369999999999997</v>
      </c>
      <c r="S304" s="382">
        <v>109.99</v>
      </c>
      <c r="T304" s="382">
        <v>492</v>
      </c>
      <c r="U304" s="382">
        <v>99.85</v>
      </c>
      <c r="V304" s="382">
        <v>405</v>
      </c>
      <c r="W304" s="382">
        <v>113.38</v>
      </c>
      <c r="X304" s="382">
        <v>24</v>
      </c>
      <c r="Y304" s="382">
        <v>0</v>
      </c>
      <c r="Z304" s="382">
        <v>9</v>
      </c>
      <c r="AA304" s="382">
        <v>1</v>
      </c>
      <c r="AB304" s="382">
        <v>27</v>
      </c>
      <c r="AC304" s="382">
        <v>2</v>
      </c>
      <c r="AD304" s="386">
        <v>4260</v>
      </c>
      <c r="AE304" s="386">
        <v>54</v>
      </c>
      <c r="AF304" s="386">
        <v>38</v>
      </c>
      <c r="AG304" s="386">
        <v>92</v>
      </c>
    </row>
    <row r="305" spans="1:33" x14ac:dyDescent="0.35">
      <c r="A305" s="388" t="s">
        <v>815</v>
      </c>
      <c r="B305" s="388" t="s">
        <v>813</v>
      </c>
      <c r="C305" s="382">
        <v>11508</v>
      </c>
      <c r="D305" s="382">
        <v>9</v>
      </c>
      <c r="E305" s="382">
        <v>477</v>
      </c>
      <c r="F305" s="382">
        <v>2364</v>
      </c>
      <c r="G305" s="382">
        <v>2396</v>
      </c>
      <c r="H305" s="382">
        <v>16754</v>
      </c>
      <c r="I305" s="382">
        <v>14358</v>
      </c>
      <c r="J305" s="382">
        <v>0</v>
      </c>
      <c r="K305" s="382">
        <v>95.75</v>
      </c>
      <c r="L305" s="382">
        <v>96.04</v>
      </c>
      <c r="M305" s="382">
        <v>5.96</v>
      </c>
      <c r="N305" s="382">
        <v>99.59</v>
      </c>
      <c r="O305" s="382">
        <v>9299</v>
      </c>
      <c r="P305" s="382">
        <v>94.43</v>
      </c>
      <c r="Q305" s="382">
        <v>92.15</v>
      </c>
      <c r="R305" s="382">
        <v>38.9</v>
      </c>
      <c r="S305" s="382">
        <v>124.04</v>
      </c>
      <c r="T305" s="382">
        <v>2706</v>
      </c>
      <c r="U305" s="382">
        <v>123.37</v>
      </c>
      <c r="V305" s="382">
        <v>1796</v>
      </c>
      <c r="W305" s="382">
        <v>170.12</v>
      </c>
      <c r="X305" s="382">
        <v>77</v>
      </c>
      <c r="Y305" s="382">
        <v>0</v>
      </c>
      <c r="Z305" s="382">
        <v>60</v>
      </c>
      <c r="AA305" s="382">
        <v>3</v>
      </c>
      <c r="AB305" s="382">
        <v>150</v>
      </c>
      <c r="AC305" s="382">
        <v>32</v>
      </c>
      <c r="AD305" s="382">
        <v>11241</v>
      </c>
      <c r="AE305" s="382">
        <v>123</v>
      </c>
      <c r="AF305" s="382">
        <v>74</v>
      </c>
      <c r="AG305" s="382">
        <v>197</v>
      </c>
    </row>
    <row r="306" spans="1:33" x14ac:dyDescent="0.35">
      <c r="A306" s="381" t="s">
        <v>668</v>
      </c>
      <c r="B306" s="387" t="s">
        <v>669</v>
      </c>
      <c r="C306" s="383">
        <v>5973</v>
      </c>
      <c r="D306" s="383">
        <v>2</v>
      </c>
      <c r="E306" s="383">
        <v>144</v>
      </c>
      <c r="F306" s="383">
        <v>159</v>
      </c>
      <c r="G306" s="383">
        <v>810</v>
      </c>
      <c r="H306" s="383">
        <v>7088</v>
      </c>
      <c r="I306" s="382">
        <v>6278</v>
      </c>
      <c r="J306" s="382">
        <v>26</v>
      </c>
      <c r="K306" s="384">
        <v>107.99</v>
      </c>
      <c r="L306" s="384">
        <v>109.99</v>
      </c>
      <c r="M306" s="384">
        <v>4.8</v>
      </c>
      <c r="N306" s="384">
        <v>109.96</v>
      </c>
      <c r="O306" s="385">
        <v>4956</v>
      </c>
      <c r="P306" s="382">
        <v>94.56</v>
      </c>
      <c r="Q306" s="382">
        <v>87.9</v>
      </c>
      <c r="R306" s="382">
        <v>65.099999999999994</v>
      </c>
      <c r="S306" s="382">
        <v>155.30000000000001</v>
      </c>
      <c r="T306" s="382">
        <v>298</v>
      </c>
      <c r="U306" s="382">
        <v>166.54</v>
      </c>
      <c r="V306" s="382">
        <v>915</v>
      </c>
      <c r="W306" s="382">
        <v>0</v>
      </c>
      <c r="X306" s="382">
        <v>0</v>
      </c>
      <c r="Y306" s="382">
        <v>18</v>
      </c>
      <c r="Z306" s="382">
        <v>3</v>
      </c>
      <c r="AA306" s="382">
        <v>2</v>
      </c>
      <c r="AB306" s="382">
        <v>53</v>
      </c>
      <c r="AC306" s="382">
        <v>6</v>
      </c>
      <c r="AD306" s="386">
        <v>5847</v>
      </c>
      <c r="AE306" s="386">
        <v>57</v>
      </c>
      <c r="AF306" s="386">
        <v>25</v>
      </c>
      <c r="AG306" s="386">
        <v>82</v>
      </c>
    </row>
    <row r="307" spans="1:33" x14ac:dyDescent="0.35">
      <c r="A307" s="381" t="s">
        <v>670</v>
      </c>
      <c r="B307" s="387" t="s">
        <v>671</v>
      </c>
      <c r="C307" s="382">
        <v>10796</v>
      </c>
      <c r="D307" s="382">
        <v>0</v>
      </c>
      <c r="E307" s="382">
        <v>432</v>
      </c>
      <c r="F307" s="382">
        <v>1126</v>
      </c>
      <c r="G307" s="382">
        <v>761</v>
      </c>
      <c r="H307" s="382">
        <v>13115</v>
      </c>
      <c r="I307" s="382">
        <v>12354</v>
      </c>
      <c r="J307" s="382">
        <v>0</v>
      </c>
      <c r="K307" s="382">
        <v>89.7</v>
      </c>
      <c r="L307" s="384">
        <v>89.74</v>
      </c>
      <c r="M307" s="384">
        <v>4.49</v>
      </c>
      <c r="N307" s="384">
        <v>90.95</v>
      </c>
      <c r="O307" s="385">
        <v>8855</v>
      </c>
      <c r="P307" s="382">
        <v>87.16</v>
      </c>
      <c r="Q307" s="382">
        <v>85.98</v>
      </c>
      <c r="R307" s="382">
        <v>40.729999999999997</v>
      </c>
      <c r="S307" s="382">
        <v>126.54</v>
      </c>
      <c r="T307" s="382">
        <v>1537</v>
      </c>
      <c r="U307" s="382">
        <v>127.92</v>
      </c>
      <c r="V307" s="382">
        <v>1755</v>
      </c>
      <c r="W307" s="382">
        <v>103.62</v>
      </c>
      <c r="X307" s="382">
        <v>21</v>
      </c>
      <c r="Y307" s="382">
        <v>29</v>
      </c>
      <c r="Z307" s="382">
        <v>23</v>
      </c>
      <c r="AA307" s="382">
        <v>7</v>
      </c>
      <c r="AB307" s="382">
        <v>99</v>
      </c>
      <c r="AC307" s="382">
        <v>14</v>
      </c>
      <c r="AD307" s="382">
        <v>10792</v>
      </c>
      <c r="AE307" s="382">
        <v>96</v>
      </c>
      <c r="AF307" s="382">
        <v>50</v>
      </c>
      <c r="AG307" s="382">
        <v>146</v>
      </c>
    </row>
    <row r="308" spans="1:33" x14ac:dyDescent="0.35">
      <c r="A308" s="381" t="s">
        <v>672</v>
      </c>
      <c r="B308" s="387" t="s">
        <v>673</v>
      </c>
      <c r="C308" s="383">
        <v>12785</v>
      </c>
      <c r="D308" s="383">
        <v>420</v>
      </c>
      <c r="E308" s="383">
        <v>1203</v>
      </c>
      <c r="F308" s="383">
        <v>759</v>
      </c>
      <c r="G308" s="383">
        <v>547</v>
      </c>
      <c r="H308" s="383">
        <v>15714</v>
      </c>
      <c r="I308" s="382">
        <v>15167</v>
      </c>
      <c r="J308" s="382">
        <v>69</v>
      </c>
      <c r="K308" s="384">
        <v>129.08000000000001</v>
      </c>
      <c r="L308" s="384">
        <v>140.83000000000001</v>
      </c>
      <c r="M308" s="384">
        <v>12.69</v>
      </c>
      <c r="N308" s="384">
        <v>139.62</v>
      </c>
      <c r="O308" s="385">
        <v>9713</v>
      </c>
      <c r="P308" s="382">
        <v>109.17</v>
      </c>
      <c r="Q308" s="382">
        <v>115.06</v>
      </c>
      <c r="R308" s="382">
        <v>67.95</v>
      </c>
      <c r="S308" s="382">
        <v>164.32</v>
      </c>
      <c r="T308" s="382">
        <v>1767</v>
      </c>
      <c r="U308" s="382">
        <v>209.52</v>
      </c>
      <c r="V308" s="382">
        <v>737</v>
      </c>
      <c r="W308" s="382">
        <v>143.47999999999999</v>
      </c>
      <c r="X308" s="382">
        <v>2</v>
      </c>
      <c r="Y308" s="382">
        <v>0</v>
      </c>
      <c r="Z308" s="382">
        <v>1</v>
      </c>
      <c r="AA308" s="382">
        <v>1</v>
      </c>
      <c r="AB308" s="382">
        <v>0</v>
      </c>
      <c r="AC308" s="382">
        <v>12</v>
      </c>
      <c r="AD308" s="386">
        <v>11112</v>
      </c>
      <c r="AE308" s="386">
        <v>44</v>
      </c>
      <c r="AF308" s="386">
        <v>95</v>
      </c>
      <c r="AG308" s="386">
        <v>139</v>
      </c>
    </row>
    <row r="309" spans="1:33" x14ac:dyDescent="0.35">
      <c r="A309" s="381" t="s">
        <v>674</v>
      </c>
      <c r="B309" s="387" t="s">
        <v>675</v>
      </c>
      <c r="C309" s="383">
        <v>2410</v>
      </c>
      <c r="D309" s="383">
        <v>0</v>
      </c>
      <c r="E309" s="383">
        <v>927</v>
      </c>
      <c r="F309" s="383">
        <v>831</v>
      </c>
      <c r="G309" s="383">
        <v>342</v>
      </c>
      <c r="H309" s="383">
        <v>4510</v>
      </c>
      <c r="I309" s="382">
        <v>4168</v>
      </c>
      <c r="J309" s="382">
        <v>0</v>
      </c>
      <c r="K309" s="384">
        <v>78.2</v>
      </c>
      <c r="L309" s="384">
        <v>74.67</v>
      </c>
      <c r="M309" s="384">
        <v>5.57</v>
      </c>
      <c r="N309" s="384">
        <v>81.37</v>
      </c>
      <c r="O309" s="385">
        <v>1729</v>
      </c>
      <c r="P309" s="382">
        <v>91.08</v>
      </c>
      <c r="Q309" s="382">
        <v>79.73</v>
      </c>
      <c r="R309" s="382">
        <v>83.65</v>
      </c>
      <c r="S309" s="382">
        <v>173.2</v>
      </c>
      <c r="T309" s="382">
        <v>1586</v>
      </c>
      <c r="U309" s="382">
        <v>96.81</v>
      </c>
      <c r="V309" s="382">
        <v>602</v>
      </c>
      <c r="W309" s="382">
        <v>0</v>
      </c>
      <c r="X309" s="382">
        <v>0</v>
      </c>
      <c r="Y309" s="382">
        <v>0</v>
      </c>
      <c r="Z309" s="382">
        <v>1</v>
      </c>
      <c r="AA309" s="382">
        <v>5</v>
      </c>
      <c r="AB309" s="382">
        <v>76</v>
      </c>
      <c r="AC309" s="382">
        <v>9</v>
      </c>
      <c r="AD309" s="386">
        <v>2361</v>
      </c>
      <c r="AE309" s="386">
        <v>47</v>
      </c>
      <c r="AF309" s="386">
        <v>11</v>
      </c>
      <c r="AG309" s="386">
        <v>58</v>
      </c>
    </row>
    <row r="310" spans="1:33" x14ac:dyDescent="0.35">
      <c r="A310" s="381" t="s">
        <v>676</v>
      </c>
      <c r="B310" s="387" t="s">
        <v>677</v>
      </c>
      <c r="C310" s="383">
        <v>22223</v>
      </c>
      <c r="D310" s="383">
        <v>25</v>
      </c>
      <c r="E310" s="383">
        <v>646</v>
      </c>
      <c r="F310" s="383">
        <v>3041</v>
      </c>
      <c r="G310" s="383">
        <v>1945</v>
      </c>
      <c r="H310" s="383">
        <v>27880</v>
      </c>
      <c r="I310" s="382">
        <v>25935</v>
      </c>
      <c r="J310" s="382">
        <v>12</v>
      </c>
      <c r="K310" s="384">
        <v>97.56</v>
      </c>
      <c r="L310" s="384">
        <v>96.57</v>
      </c>
      <c r="M310" s="384">
        <v>3.68</v>
      </c>
      <c r="N310" s="384">
        <v>99.65</v>
      </c>
      <c r="O310" s="385">
        <v>18528</v>
      </c>
      <c r="P310" s="382">
        <v>91.87</v>
      </c>
      <c r="Q310" s="382">
        <v>89.81</v>
      </c>
      <c r="R310" s="382">
        <v>25.71</v>
      </c>
      <c r="S310" s="382">
        <v>116.57</v>
      </c>
      <c r="T310" s="382">
        <v>3265</v>
      </c>
      <c r="U310" s="382">
        <v>128.38999999999999</v>
      </c>
      <c r="V310" s="382">
        <v>3030</v>
      </c>
      <c r="W310" s="382">
        <v>162.72999999999999</v>
      </c>
      <c r="X310" s="382">
        <v>72</v>
      </c>
      <c r="Y310" s="382">
        <v>230</v>
      </c>
      <c r="Z310" s="382">
        <v>13</v>
      </c>
      <c r="AA310" s="382">
        <v>80</v>
      </c>
      <c r="AB310" s="382">
        <v>157</v>
      </c>
      <c r="AC310" s="382">
        <v>54</v>
      </c>
      <c r="AD310" s="386">
        <v>21566</v>
      </c>
      <c r="AE310" s="386">
        <v>146</v>
      </c>
      <c r="AF310" s="386">
        <v>138</v>
      </c>
      <c r="AG310" s="386">
        <v>284</v>
      </c>
    </row>
    <row r="311" spans="1:33" x14ac:dyDescent="0.35">
      <c r="A311" s="381" t="s">
        <v>678</v>
      </c>
      <c r="B311" s="387" t="s">
        <v>679</v>
      </c>
      <c r="C311" s="383">
        <v>2408</v>
      </c>
      <c r="D311" s="383">
        <v>6</v>
      </c>
      <c r="E311" s="383">
        <v>195</v>
      </c>
      <c r="F311" s="383">
        <v>239</v>
      </c>
      <c r="G311" s="383">
        <v>435</v>
      </c>
      <c r="H311" s="383">
        <v>3283</v>
      </c>
      <c r="I311" s="382">
        <v>2848</v>
      </c>
      <c r="J311" s="382">
        <v>0</v>
      </c>
      <c r="K311" s="384">
        <v>111.61</v>
      </c>
      <c r="L311" s="384">
        <v>108.29</v>
      </c>
      <c r="M311" s="384">
        <v>7.35</v>
      </c>
      <c r="N311" s="384">
        <v>118.37</v>
      </c>
      <c r="O311" s="385">
        <v>1749</v>
      </c>
      <c r="P311" s="382">
        <v>101.44</v>
      </c>
      <c r="Q311" s="382">
        <v>95.13</v>
      </c>
      <c r="R311" s="382">
        <v>35.340000000000003</v>
      </c>
      <c r="S311" s="382">
        <v>134.1</v>
      </c>
      <c r="T311" s="382">
        <v>382</v>
      </c>
      <c r="U311" s="382">
        <v>164.89</v>
      </c>
      <c r="V311" s="382">
        <v>503</v>
      </c>
      <c r="W311" s="382">
        <v>0</v>
      </c>
      <c r="X311" s="382">
        <v>0</v>
      </c>
      <c r="Y311" s="382">
        <v>0</v>
      </c>
      <c r="Z311" s="382">
        <v>0</v>
      </c>
      <c r="AA311" s="382">
        <v>3</v>
      </c>
      <c r="AB311" s="382">
        <v>27</v>
      </c>
      <c r="AC311" s="382">
        <v>12</v>
      </c>
      <c r="AD311" s="386">
        <v>2223</v>
      </c>
      <c r="AE311" s="386">
        <v>10</v>
      </c>
      <c r="AF311" s="386">
        <v>3</v>
      </c>
      <c r="AG311" s="386">
        <v>13</v>
      </c>
    </row>
    <row r="312" spans="1:33" x14ac:dyDescent="0.35">
      <c r="A312" s="381" t="s">
        <v>680</v>
      </c>
      <c r="B312" s="387" t="s">
        <v>681</v>
      </c>
      <c r="C312" s="383">
        <v>6819</v>
      </c>
      <c r="D312" s="383">
        <v>0</v>
      </c>
      <c r="E312" s="383">
        <v>131</v>
      </c>
      <c r="F312" s="383">
        <v>892</v>
      </c>
      <c r="G312" s="383">
        <v>306</v>
      </c>
      <c r="H312" s="383">
        <v>8148</v>
      </c>
      <c r="I312" s="382">
        <v>7842</v>
      </c>
      <c r="J312" s="382">
        <v>0</v>
      </c>
      <c r="K312" s="384">
        <v>119.66</v>
      </c>
      <c r="L312" s="384">
        <v>120.96</v>
      </c>
      <c r="M312" s="384">
        <v>8.65</v>
      </c>
      <c r="N312" s="384">
        <v>123.42</v>
      </c>
      <c r="O312" s="385">
        <v>6401</v>
      </c>
      <c r="P312" s="382">
        <v>107.98</v>
      </c>
      <c r="Q312" s="382">
        <v>107.69</v>
      </c>
      <c r="R312" s="382">
        <v>26.86</v>
      </c>
      <c r="S312" s="382">
        <v>132.94</v>
      </c>
      <c r="T312" s="382">
        <v>1019</v>
      </c>
      <c r="U312" s="382">
        <v>177.27</v>
      </c>
      <c r="V312" s="382">
        <v>330</v>
      </c>
      <c r="W312" s="382">
        <v>142.4</v>
      </c>
      <c r="X312" s="382">
        <v>1</v>
      </c>
      <c r="Y312" s="382">
        <v>3</v>
      </c>
      <c r="Z312" s="382">
        <v>0</v>
      </c>
      <c r="AA312" s="382">
        <v>2</v>
      </c>
      <c r="AB312" s="382">
        <v>12</v>
      </c>
      <c r="AC312" s="382">
        <v>6</v>
      </c>
      <c r="AD312" s="386">
        <v>6816</v>
      </c>
      <c r="AE312" s="386">
        <v>45</v>
      </c>
      <c r="AF312" s="386">
        <v>16</v>
      </c>
      <c r="AG312" s="386">
        <v>61</v>
      </c>
    </row>
    <row r="313" spans="1:33" x14ac:dyDescent="0.35">
      <c r="A313" s="381" t="s">
        <v>682</v>
      </c>
      <c r="B313" s="387" t="s">
        <v>683</v>
      </c>
      <c r="C313" s="383">
        <v>17759</v>
      </c>
      <c r="D313" s="383">
        <v>25</v>
      </c>
      <c r="E313" s="383">
        <v>1312</v>
      </c>
      <c r="F313" s="383">
        <v>3720</v>
      </c>
      <c r="G313" s="383">
        <v>462</v>
      </c>
      <c r="H313" s="383">
        <v>23278</v>
      </c>
      <c r="I313" s="382">
        <v>22816</v>
      </c>
      <c r="J313" s="382">
        <v>64</v>
      </c>
      <c r="K313" s="384">
        <v>84.73</v>
      </c>
      <c r="L313" s="384">
        <v>82.14</v>
      </c>
      <c r="M313" s="384">
        <v>7.8</v>
      </c>
      <c r="N313" s="384">
        <v>87.49</v>
      </c>
      <c r="O313" s="385">
        <v>13832</v>
      </c>
      <c r="P313" s="382">
        <v>85.37</v>
      </c>
      <c r="Q313" s="382">
        <v>76.38</v>
      </c>
      <c r="R313" s="382">
        <v>28.02</v>
      </c>
      <c r="S313" s="382">
        <v>112.49</v>
      </c>
      <c r="T313" s="382">
        <v>3805</v>
      </c>
      <c r="U313" s="382">
        <v>106.85</v>
      </c>
      <c r="V313" s="382">
        <v>2078</v>
      </c>
      <c r="W313" s="382">
        <v>140.94</v>
      </c>
      <c r="X313" s="382">
        <v>147</v>
      </c>
      <c r="Y313" s="382">
        <v>0</v>
      </c>
      <c r="Z313" s="382">
        <v>64</v>
      </c>
      <c r="AA313" s="382">
        <v>8</v>
      </c>
      <c r="AB313" s="382">
        <v>39</v>
      </c>
      <c r="AC313" s="382">
        <v>9</v>
      </c>
      <c r="AD313" s="386">
        <v>15795</v>
      </c>
      <c r="AE313" s="386">
        <v>101</v>
      </c>
      <c r="AF313" s="386">
        <v>171</v>
      </c>
      <c r="AG313" s="386">
        <v>272</v>
      </c>
    </row>
    <row r="314" spans="1:33" x14ac:dyDescent="0.35">
      <c r="A314" s="381" t="s">
        <v>684</v>
      </c>
      <c r="B314" s="387" t="s">
        <v>685</v>
      </c>
      <c r="C314" s="383">
        <v>1158</v>
      </c>
      <c r="D314" s="383">
        <v>7</v>
      </c>
      <c r="E314" s="383">
        <v>199</v>
      </c>
      <c r="F314" s="383">
        <v>354</v>
      </c>
      <c r="G314" s="383">
        <v>291</v>
      </c>
      <c r="H314" s="383">
        <v>2009</v>
      </c>
      <c r="I314" s="382">
        <v>1718</v>
      </c>
      <c r="J314" s="382">
        <v>1</v>
      </c>
      <c r="K314" s="384">
        <v>128.72</v>
      </c>
      <c r="L314" s="384">
        <v>117.17</v>
      </c>
      <c r="M314" s="384">
        <v>9.99</v>
      </c>
      <c r="N314" s="384">
        <v>137.36000000000001</v>
      </c>
      <c r="O314" s="385">
        <v>946</v>
      </c>
      <c r="P314" s="382">
        <v>100.76</v>
      </c>
      <c r="Q314" s="382">
        <v>93.78</v>
      </c>
      <c r="R314" s="382">
        <v>32.11</v>
      </c>
      <c r="S314" s="382">
        <v>132.61000000000001</v>
      </c>
      <c r="T314" s="382">
        <v>254</v>
      </c>
      <c r="U314" s="382">
        <v>211.38</v>
      </c>
      <c r="V314" s="382">
        <v>75</v>
      </c>
      <c r="W314" s="382">
        <v>149.5</v>
      </c>
      <c r="X314" s="382">
        <v>27</v>
      </c>
      <c r="Y314" s="382">
        <v>2</v>
      </c>
      <c r="Z314" s="382">
        <v>0</v>
      </c>
      <c r="AA314" s="382">
        <v>0</v>
      </c>
      <c r="AB314" s="382">
        <v>0</v>
      </c>
      <c r="AC314" s="382">
        <v>7</v>
      </c>
      <c r="AD314" s="386">
        <v>1036</v>
      </c>
      <c r="AE314" s="386">
        <v>1</v>
      </c>
      <c r="AF314" s="386">
        <v>3</v>
      </c>
      <c r="AG314" s="386">
        <v>4</v>
      </c>
    </row>
    <row r="315" spans="1:33" x14ac:dyDescent="0.35">
      <c r="A315" s="381" t="s">
        <v>686</v>
      </c>
      <c r="B315" s="387" t="s">
        <v>687</v>
      </c>
      <c r="C315" s="383">
        <v>1980</v>
      </c>
      <c r="D315" s="383">
        <v>0</v>
      </c>
      <c r="E315" s="383">
        <v>193</v>
      </c>
      <c r="F315" s="383">
        <v>223</v>
      </c>
      <c r="G315" s="383">
        <v>1227</v>
      </c>
      <c r="H315" s="383">
        <v>3623</v>
      </c>
      <c r="I315" s="382">
        <v>2396</v>
      </c>
      <c r="J315" s="382">
        <v>1</v>
      </c>
      <c r="K315" s="384">
        <v>129.29</v>
      </c>
      <c r="L315" s="384">
        <v>127.61</v>
      </c>
      <c r="M315" s="384">
        <v>7.21</v>
      </c>
      <c r="N315" s="384">
        <v>135.41</v>
      </c>
      <c r="O315" s="385">
        <v>1782</v>
      </c>
      <c r="P315" s="382">
        <v>109.08</v>
      </c>
      <c r="Q315" s="382">
        <v>109.99</v>
      </c>
      <c r="R315" s="382">
        <v>42.07</v>
      </c>
      <c r="S315" s="382">
        <v>149.56</v>
      </c>
      <c r="T315" s="382">
        <v>292</v>
      </c>
      <c r="U315" s="382">
        <v>163.05000000000001</v>
      </c>
      <c r="V315" s="382">
        <v>153</v>
      </c>
      <c r="W315" s="382">
        <v>0</v>
      </c>
      <c r="X315" s="382">
        <v>0</v>
      </c>
      <c r="Y315" s="382">
        <v>0</v>
      </c>
      <c r="Z315" s="382">
        <v>0</v>
      </c>
      <c r="AA315" s="382">
        <v>0</v>
      </c>
      <c r="AB315" s="382">
        <v>109</v>
      </c>
      <c r="AC315" s="382">
        <v>15</v>
      </c>
      <c r="AD315" s="386">
        <v>1957</v>
      </c>
      <c r="AE315" s="386">
        <v>32</v>
      </c>
      <c r="AF315" s="386">
        <v>14</v>
      </c>
      <c r="AG315" s="386">
        <v>46</v>
      </c>
    </row>
    <row r="316" spans="1:33" x14ac:dyDescent="0.35">
      <c r="A316" s="381" t="s">
        <v>688</v>
      </c>
      <c r="B316" s="387" t="s">
        <v>689</v>
      </c>
      <c r="C316" s="383">
        <v>4540</v>
      </c>
      <c r="D316" s="383">
        <v>4</v>
      </c>
      <c r="E316" s="383">
        <v>596</v>
      </c>
      <c r="F316" s="383">
        <v>1450</v>
      </c>
      <c r="G316" s="383">
        <v>293</v>
      </c>
      <c r="H316" s="383">
        <v>6883</v>
      </c>
      <c r="I316" s="382">
        <v>6590</v>
      </c>
      <c r="J316" s="382">
        <v>0</v>
      </c>
      <c r="K316" s="384">
        <v>87.1</v>
      </c>
      <c r="L316" s="384">
        <v>83.22</v>
      </c>
      <c r="M316" s="384">
        <v>6.98</v>
      </c>
      <c r="N316" s="384">
        <v>92.96</v>
      </c>
      <c r="O316" s="385">
        <v>3898</v>
      </c>
      <c r="P316" s="382">
        <v>97.16</v>
      </c>
      <c r="Q316" s="382">
        <v>88.6</v>
      </c>
      <c r="R316" s="382">
        <v>56.52</v>
      </c>
      <c r="S316" s="382">
        <v>150.09</v>
      </c>
      <c r="T316" s="382">
        <v>1781</v>
      </c>
      <c r="U316" s="382">
        <v>105.91</v>
      </c>
      <c r="V316" s="382">
        <v>487</v>
      </c>
      <c r="W316" s="382">
        <v>170.73</v>
      </c>
      <c r="X316" s="382">
        <v>36</v>
      </c>
      <c r="Y316" s="382">
        <v>0</v>
      </c>
      <c r="Z316" s="382">
        <v>18</v>
      </c>
      <c r="AA316" s="382">
        <v>20</v>
      </c>
      <c r="AB316" s="382">
        <v>5</v>
      </c>
      <c r="AC316" s="382">
        <v>13</v>
      </c>
      <c r="AD316" s="386">
        <v>4540</v>
      </c>
      <c r="AE316" s="386">
        <v>52</v>
      </c>
      <c r="AF316" s="386">
        <v>8</v>
      </c>
      <c r="AG316" s="386">
        <v>60</v>
      </c>
    </row>
    <row r="317" spans="1:33" x14ac:dyDescent="0.35">
      <c r="A317" s="381" t="s">
        <v>690</v>
      </c>
      <c r="B317" s="387" t="s">
        <v>691</v>
      </c>
      <c r="C317" s="383">
        <v>6206</v>
      </c>
      <c r="D317" s="383">
        <v>46</v>
      </c>
      <c r="E317" s="383">
        <v>476</v>
      </c>
      <c r="F317" s="383">
        <v>946</v>
      </c>
      <c r="G317" s="383">
        <v>481</v>
      </c>
      <c r="H317" s="383">
        <v>8155</v>
      </c>
      <c r="I317" s="382">
        <v>7674</v>
      </c>
      <c r="J317" s="382">
        <v>14</v>
      </c>
      <c r="K317" s="384">
        <v>85.43</v>
      </c>
      <c r="L317" s="384">
        <v>86.73</v>
      </c>
      <c r="M317" s="384">
        <v>5.8</v>
      </c>
      <c r="N317" s="384">
        <v>90.79</v>
      </c>
      <c r="O317" s="385">
        <v>5276</v>
      </c>
      <c r="P317" s="382">
        <v>81.430000000000007</v>
      </c>
      <c r="Q317" s="382">
        <v>75.95</v>
      </c>
      <c r="R317" s="382">
        <v>42</v>
      </c>
      <c r="S317" s="382">
        <v>122.66</v>
      </c>
      <c r="T317" s="382">
        <v>1098</v>
      </c>
      <c r="U317" s="382">
        <v>108.98</v>
      </c>
      <c r="V317" s="382">
        <v>860</v>
      </c>
      <c r="W317" s="382">
        <v>195.69</v>
      </c>
      <c r="X317" s="382">
        <v>162</v>
      </c>
      <c r="Y317" s="382">
        <v>0</v>
      </c>
      <c r="Z317" s="382">
        <v>8</v>
      </c>
      <c r="AA317" s="382">
        <v>0</v>
      </c>
      <c r="AB317" s="382">
        <v>8</v>
      </c>
      <c r="AC317" s="382">
        <v>5</v>
      </c>
      <c r="AD317" s="386">
        <v>6142</v>
      </c>
      <c r="AE317" s="386">
        <v>23</v>
      </c>
      <c r="AF317" s="386">
        <v>16</v>
      </c>
      <c r="AG317" s="386">
        <v>39</v>
      </c>
    </row>
    <row r="318" spans="1:33" x14ac:dyDescent="0.35">
      <c r="A318" s="381" t="s">
        <v>692</v>
      </c>
      <c r="B318" s="387" t="s">
        <v>693</v>
      </c>
      <c r="C318" s="383">
        <v>4040</v>
      </c>
      <c r="D318" s="383">
        <v>15</v>
      </c>
      <c r="E318" s="383">
        <v>235</v>
      </c>
      <c r="F318" s="383">
        <v>556</v>
      </c>
      <c r="G318" s="383">
        <v>184</v>
      </c>
      <c r="H318" s="383">
        <v>5030</v>
      </c>
      <c r="I318" s="382">
        <v>4846</v>
      </c>
      <c r="J318" s="382">
        <v>32</v>
      </c>
      <c r="K318" s="384">
        <v>99.77</v>
      </c>
      <c r="L318" s="384">
        <v>98.34</v>
      </c>
      <c r="M318" s="384">
        <v>6.93</v>
      </c>
      <c r="N318" s="384">
        <v>104.08</v>
      </c>
      <c r="O318" s="385">
        <v>3699</v>
      </c>
      <c r="P318" s="382">
        <v>87.79</v>
      </c>
      <c r="Q318" s="382">
        <v>82.98</v>
      </c>
      <c r="R318" s="382">
        <v>34.79</v>
      </c>
      <c r="S318" s="382">
        <v>121.51</v>
      </c>
      <c r="T318" s="382">
        <v>552</v>
      </c>
      <c r="U318" s="382">
        <v>147.66999999999999</v>
      </c>
      <c r="V318" s="382">
        <v>221</v>
      </c>
      <c r="W318" s="382">
        <v>135.07</v>
      </c>
      <c r="X318" s="382">
        <v>35</v>
      </c>
      <c r="Y318" s="382">
        <v>0</v>
      </c>
      <c r="Z318" s="382">
        <v>5</v>
      </c>
      <c r="AA318" s="382">
        <v>0</v>
      </c>
      <c r="AB318" s="382">
        <v>37</v>
      </c>
      <c r="AC318" s="382">
        <v>3</v>
      </c>
      <c r="AD318" s="386">
        <v>4024</v>
      </c>
      <c r="AE318" s="386">
        <v>15</v>
      </c>
      <c r="AF318" s="386">
        <v>7</v>
      </c>
      <c r="AG318" s="386">
        <v>22</v>
      </c>
    </row>
    <row r="319" spans="1:33" x14ac:dyDescent="0.35">
      <c r="A319" s="381" t="s">
        <v>694</v>
      </c>
      <c r="B319" s="387" t="s">
        <v>695</v>
      </c>
      <c r="C319" s="383">
        <v>7961</v>
      </c>
      <c r="D319" s="383">
        <v>7</v>
      </c>
      <c r="E319" s="383">
        <v>108</v>
      </c>
      <c r="F319" s="383">
        <v>898</v>
      </c>
      <c r="G319" s="383">
        <v>627</v>
      </c>
      <c r="H319" s="383">
        <v>9601</v>
      </c>
      <c r="I319" s="382">
        <v>8974</v>
      </c>
      <c r="J319" s="382">
        <v>1</v>
      </c>
      <c r="K319" s="384">
        <v>92.76</v>
      </c>
      <c r="L319" s="384">
        <v>91.02</v>
      </c>
      <c r="M319" s="384">
        <v>4.17</v>
      </c>
      <c r="N319" s="384">
        <v>95</v>
      </c>
      <c r="O319" s="385">
        <v>6815</v>
      </c>
      <c r="P319" s="382">
        <v>84.29</v>
      </c>
      <c r="Q319" s="382">
        <v>85.73</v>
      </c>
      <c r="R319" s="382">
        <v>34.03</v>
      </c>
      <c r="S319" s="382">
        <v>116.94</v>
      </c>
      <c r="T319" s="382">
        <v>859</v>
      </c>
      <c r="U319" s="382">
        <v>114.76</v>
      </c>
      <c r="V319" s="382">
        <v>1145</v>
      </c>
      <c r="W319" s="382">
        <v>222.03</v>
      </c>
      <c r="X319" s="382">
        <v>84</v>
      </c>
      <c r="Y319" s="382">
        <v>0</v>
      </c>
      <c r="Z319" s="382">
        <v>57</v>
      </c>
      <c r="AA319" s="382">
        <v>0</v>
      </c>
      <c r="AB319" s="382">
        <v>44</v>
      </c>
      <c r="AC319" s="382">
        <v>6</v>
      </c>
      <c r="AD319" s="386">
        <v>7961</v>
      </c>
      <c r="AE319" s="386">
        <v>42</v>
      </c>
      <c r="AF319" s="386">
        <v>16</v>
      </c>
      <c r="AG319" s="386">
        <v>58</v>
      </c>
    </row>
    <row r="320" spans="1:33" x14ac:dyDescent="0.35">
      <c r="A320" s="382" t="s">
        <v>696</v>
      </c>
      <c r="B320" s="383" t="s">
        <v>697</v>
      </c>
      <c r="C320" s="387">
        <v>3239</v>
      </c>
      <c r="D320" s="387">
        <v>0</v>
      </c>
      <c r="E320" s="387">
        <v>260</v>
      </c>
      <c r="F320" s="387">
        <v>387</v>
      </c>
      <c r="G320" s="387">
        <v>239</v>
      </c>
      <c r="H320" s="387">
        <v>4125</v>
      </c>
      <c r="I320" s="381">
        <v>3886</v>
      </c>
      <c r="J320" s="381">
        <v>3</v>
      </c>
      <c r="K320" s="390">
        <v>84.93</v>
      </c>
      <c r="L320" s="390">
        <v>84.48</v>
      </c>
      <c r="M320" s="390">
        <v>4.1900000000000004</v>
      </c>
      <c r="N320" s="390">
        <v>87.38</v>
      </c>
      <c r="O320" s="391">
        <v>2840</v>
      </c>
      <c r="P320" s="381">
        <v>98</v>
      </c>
      <c r="Q320" s="381">
        <v>84.03</v>
      </c>
      <c r="R320" s="381">
        <v>36.85</v>
      </c>
      <c r="S320" s="381">
        <v>134.72</v>
      </c>
      <c r="T320" s="381">
        <v>580</v>
      </c>
      <c r="U320" s="381">
        <v>105.78</v>
      </c>
      <c r="V320" s="381">
        <v>341</v>
      </c>
      <c r="W320" s="381">
        <v>0</v>
      </c>
      <c r="X320" s="381">
        <v>0</v>
      </c>
      <c r="Y320" s="381">
        <v>0</v>
      </c>
      <c r="Z320" s="381">
        <v>4</v>
      </c>
      <c r="AA320" s="381">
        <v>6</v>
      </c>
      <c r="AB320" s="381">
        <v>9</v>
      </c>
      <c r="AC320" s="381">
        <v>8</v>
      </c>
      <c r="AD320" s="392">
        <v>3195</v>
      </c>
      <c r="AE320" s="392">
        <v>25</v>
      </c>
      <c r="AF320" s="392">
        <v>35</v>
      </c>
      <c r="AG320" s="392">
        <v>60</v>
      </c>
    </row>
    <row r="321" spans="1:33" x14ac:dyDescent="0.35">
      <c r="A321" s="381" t="s">
        <v>698</v>
      </c>
      <c r="B321" s="387" t="s">
        <v>699</v>
      </c>
      <c r="C321" s="387">
        <v>4401</v>
      </c>
      <c r="D321" s="387">
        <v>0</v>
      </c>
      <c r="E321" s="387">
        <v>2197</v>
      </c>
      <c r="F321" s="387">
        <v>58</v>
      </c>
      <c r="G321" s="387">
        <v>443</v>
      </c>
      <c r="H321" s="387">
        <v>7099</v>
      </c>
      <c r="I321" s="381">
        <v>6656</v>
      </c>
      <c r="J321" s="381">
        <v>0</v>
      </c>
      <c r="K321" s="390">
        <v>86.63</v>
      </c>
      <c r="L321" s="390">
        <v>83.96</v>
      </c>
      <c r="M321" s="390">
        <v>4.5199999999999996</v>
      </c>
      <c r="N321" s="390">
        <v>90.97</v>
      </c>
      <c r="O321" s="391">
        <v>4048</v>
      </c>
      <c r="P321" s="381">
        <v>83.36</v>
      </c>
      <c r="Q321" s="381">
        <v>77.41</v>
      </c>
      <c r="R321" s="381">
        <v>16.91</v>
      </c>
      <c r="S321" s="381">
        <v>100.26</v>
      </c>
      <c r="T321" s="381">
        <v>2122</v>
      </c>
      <c r="U321" s="381">
        <v>97.75</v>
      </c>
      <c r="V321" s="381">
        <v>326</v>
      </c>
      <c r="W321" s="381">
        <v>200.22</v>
      </c>
      <c r="X321" s="381">
        <v>126</v>
      </c>
      <c r="Y321" s="381">
        <v>0</v>
      </c>
      <c r="Z321" s="381">
        <v>38</v>
      </c>
      <c r="AA321" s="381">
        <v>11</v>
      </c>
      <c r="AB321" s="381">
        <v>20</v>
      </c>
      <c r="AC321" s="381">
        <v>18</v>
      </c>
      <c r="AD321" s="392">
        <v>4401</v>
      </c>
      <c r="AE321" s="392">
        <v>29</v>
      </c>
      <c r="AF321" s="392">
        <v>69</v>
      </c>
      <c r="AG321" s="392">
        <v>98</v>
      </c>
    </row>
    <row r="322" spans="1:33" x14ac:dyDescent="0.35">
      <c r="A322" s="381" t="s">
        <v>700</v>
      </c>
      <c r="B322" s="387" t="s">
        <v>701</v>
      </c>
      <c r="C322" s="387">
        <v>3977</v>
      </c>
      <c r="D322" s="387">
        <v>6</v>
      </c>
      <c r="E322" s="387">
        <v>294</v>
      </c>
      <c r="F322" s="387">
        <v>721</v>
      </c>
      <c r="G322" s="387">
        <v>427</v>
      </c>
      <c r="H322" s="387">
        <v>5425</v>
      </c>
      <c r="I322" s="381">
        <v>4998</v>
      </c>
      <c r="J322" s="381">
        <v>76</v>
      </c>
      <c r="K322" s="390">
        <v>91.81</v>
      </c>
      <c r="L322" s="390">
        <v>90.52</v>
      </c>
      <c r="M322" s="390">
        <v>7.6</v>
      </c>
      <c r="N322" s="390">
        <v>95.48</v>
      </c>
      <c r="O322" s="391">
        <v>3064</v>
      </c>
      <c r="P322" s="381">
        <v>83.17</v>
      </c>
      <c r="Q322" s="381">
        <v>75.599999999999994</v>
      </c>
      <c r="R322" s="381">
        <v>29.43</v>
      </c>
      <c r="S322" s="381">
        <v>112.3</v>
      </c>
      <c r="T322" s="381">
        <v>698</v>
      </c>
      <c r="U322" s="381">
        <v>106.06</v>
      </c>
      <c r="V322" s="381">
        <v>502</v>
      </c>
      <c r="W322" s="381">
        <v>0</v>
      </c>
      <c r="X322" s="381">
        <v>0</v>
      </c>
      <c r="Y322" s="381">
        <v>0</v>
      </c>
      <c r="Z322" s="381">
        <v>0</v>
      </c>
      <c r="AA322" s="381">
        <v>6</v>
      </c>
      <c r="AB322" s="381">
        <v>15</v>
      </c>
      <c r="AC322" s="381">
        <v>9</v>
      </c>
      <c r="AD322" s="392">
        <v>3645</v>
      </c>
      <c r="AE322" s="392">
        <v>28</v>
      </c>
      <c r="AF322" s="392">
        <v>9</v>
      </c>
      <c r="AG322" s="392">
        <v>37</v>
      </c>
    </row>
  </sheetData>
  <pageMargins left="0.7" right="0.7" top="0.75" bottom="0.75" header="0.3" footer="0.3"/>
  <pageSetup paperSize="9" orientation="portrait" r:id="rId1"/>
  <headerFooter>
    <oddFooter>&amp;C&amp;1#&amp;"Calibri"&amp;12&amp;K0078D7OFFICIAL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8A0EB-1456-4582-85BE-4817D5A3A9ED}">
  <sheetPr codeName="Sheet11">
    <tabColor rgb="FFFFFF00"/>
  </sheetPr>
  <dimension ref="A1:BD322"/>
  <sheetViews>
    <sheetView zoomScale="80" zoomScaleNormal="80" workbookViewId="0">
      <selection activeCell="C4" sqref="C4:AG322"/>
    </sheetView>
  </sheetViews>
  <sheetFormatPr defaultColWidth="9.1796875" defaultRowHeight="13" x14ac:dyDescent="0.3"/>
  <cols>
    <col min="1" max="2" width="9.1796875" style="164"/>
    <col min="3" max="3" width="10.54296875" style="164" customWidth="1"/>
    <col min="4" max="7" width="9.1796875" style="164"/>
    <col min="8" max="8" width="11" style="164" customWidth="1"/>
    <col min="9" max="10" width="10.453125" style="164" customWidth="1"/>
    <col min="11" max="11" width="10.453125" style="164" bestFit="1" customWidth="1"/>
    <col min="12" max="14" width="9.1796875" style="164"/>
    <col min="15" max="15" width="12.453125" style="164" bestFit="1" customWidth="1"/>
    <col min="16" max="29" width="9.1796875" style="164"/>
    <col min="30" max="30" width="13.26953125" style="164" customWidth="1"/>
    <col min="31" max="33" width="9.1796875" style="164"/>
    <col min="34" max="56" width="9.1796875" style="398"/>
    <col min="57" max="16384" width="9.1796875" style="164"/>
  </cols>
  <sheetData>
    <row r="1" spans="1:33" s="163" customFormat="1" x14ac:dyDescent="0.3">
      <c r="A1" s="153"/>
      <c r="B1" s="153"/>
      <c r="C1" s="154" t="s">
        <v>42</v>
      </c>
      <c r="D1" s="154" t="s">
        <v>42</v>
      </c>
      <c r="E1" s="154" t="s">
        <v>42</v>
      </c>
      <c r="F1" s="154" t="s">
        <v>42</v>
      </c>
      <c r="G1" s="154" t="s">
        <v>42</v>
      </c>
      <c r="H1" s="154" t="s">
        <v>42</v>
      </c>
      <c r="I1" s="155" t="s">
        <v>43</v>
      </c>
      <c r="J1" s="155" t="s">
        <v>43</v>
      </c>
      <c r="K1" s="156" t="s">
        <v>44</v>
      </c>
      <c r="L1" s="156" t="s">
        <v>44</v>
      </c>
      <c r="M1" s="156" t="s">
        <v>44</v>
      </c>
      <c r="N1" s="157" t="s">
        <v>44</v>
      </c>
      <c r="O1" s="156" t="s">
        <v>44</v>
      </c>
      <c r="P1" s="158" t="s">
        <v>45</v>
      </c>
      <c r="Q1" s="158" t="s">
        <v>45</v>
      </c>
      <c r="R1" s="158" t="s">
        <v>45</v>
      </c>
      <c r="S1" s="158" t="s">
        <v>45</v>
      </c>
      <c r="T1" s="158" t="s">
        <v>45</v>
      </c>
      <c r="U1" s="159" t="s">
        <v>46</v>
      </c>
      <c r="V1" s="159" t="s">
        <v>46</v>
      </c>
      <c r="W1" s="160" t="s">
        <v>47</v>
      </c>
      <c r="X1" s="160" t="s">
        <v>47</v>
      </c>
      <c r="Y1" s="161" t="s">
        <v>48</v>
      </c>
      <c r="Z1" s="161" t="s">
        <v>48</v>
      </c>
      <c r="AA1" s="161" t="s">
        <v>48</v>
      </c>
      <c r="AB1" s="161" t="s">
        <v>48</v>
      </c>
      <c r="AC1" s="161" t="s">
        <v>48</v>
      </c>
      <c r="AD1" s="162" t="s">
        <v>49</v>
      </c>
      <c r="AE1" s="162" t="s">
        <v>49</v>
      </c>
      <c r="AF1" s="162" t="s">
        <v>49</v>
      </c>
      <c r="AG1" s="162" t="s">
        <v>49</v>
      </c>
    </row>
    <row r="2" spans="1:33" x14ac:dyDescent="0.3">
      <c r="B2" s="165">
        <v>1</v>
      </c>
      <c r="C2" s="165">
        <v>2</v>
      </c>
      <c r="D2" s="165">
        <v>3</v>
      </c>
      <c r="E2" s="165">
        <v>4</v>
      </c>
      <c r="F2" s="165">
        <v>5</v>
      </c>
      <c r="G2" s="165">
        <v>6</v>
      </c>
      <c r="H2" s="165">
        <v>7</v>
      </c>
      <c r="I2" s="165">
        <v>8</v>
      </c>
      <c r="J2" s="165">
        <v>9</v>
      </c>
      <c r="K2" s="165">
        <v>10</v>
      </c>
      <c r="L2" s="165">
        <v>11</v>
      </c>
      <c r="M2" s="165">
        <v>12</v>
      </c>
      <c r="N2" s="165">
        <v>13</v>
      </c>
      <c r="O2" s="165">
        <v>14</v>
      </c>
      <c r="P2" s="165">
        <v>15</v>
      </c>
      <c r="Q2" s="165">
        <v>16</v>
      </c>
      <c r="R2" s="165">
        <v>17</v>
      </c>
      <c r="S2" s="165">
        <v>18</v>
      </c>
      <c r="T2" s="165">
        <v>19</v>
      </c>
      <c r="U2" s="165">
        <v>20</v>
      </c>
      <c r="V2" s="165">
        <v>21</v>
      </c>
      <c r="W2" s="165">
        <v>22</v>
      </c>
      <c r="X2" s="165">
        <v>23</v>
      </c>
      <c r="Y2" s="165">
        <v>24</v>
      </c>
      <c r="Z2" s="165">
        <v>25</v>
      </c>
      <c r="AA2" s="165">
        <v>26</v>
      </c>
      <c r="AB2" s="165">
        <v>27</v>
      </c>
      <c r="AC2" s="165">
        <v>28</v>
      </c>
      <c r="AD2" s="165">
        <v>29</v>
      </c>
      <c r="AE2" s="165">
        <v>30</v>
      </c>
      <c r="AF2" s="165">
        <v>31</v>
      </c>
      <c r="AG2" s="165">
        <v>32</v>
      </c>
    </row>
    <row r="3" spans="1:33" ht="63" x14ac:dyDescent="0.3">
      <c r="A3" s="164" t="s">
        <v>50</v>
      </c>
      <c r="B3" s="164" t="s">
        <v>51</v>
      </c>
      <c r="C3" s="166" t="s">
        <v>52</v>
      </c>
      <c r="D3" s="166" t="s">
        <v>53</v>
      </c>
      <c r="E3" s="166" t="s">
        <v>54</v>
      </c>
      <c r="F3" s="166" t="s">
        <v>55</v>
      </c>
      <c r="G3" s="166" t="s">
        <v>56</v>
      </c>
      <c r="H3" s="166" t="s">
        <v>57</v>
      </c>
      <c r="I3" s="167" t="s">
        <v>58</v>
      </c>
      <c r="J3" s="167" t="s">
        <v>59</v>
      </c>
      <c r="K3" s="168" t="s">
        <v>60</v>
      </c>
      <c r="L3" s="168" t="s">
        <v>61</v>
      </c>
      <c r="M3" s="168" t="s">
        <v>62</v>
      </c>
      <c r="N3" s="169" t="s">
        <v>63</v>
      </c>
      <c r="O3" s="168" t="s">
        <v>64</v>
      </c>
      <c r="P3" s="170" t="s">
        <v>65</v>
      </c>
      <c r="Q3" s="170" t="s">
        <v>66</v>
      </c>
      <c r="R3" s="170" t="s">
        <v>62</v>
      </c>
      <c r="S3" s="170" t="s">
        <v>67</v>
      </c>
      <c r="T3" s="170" t="s">
        <v>68</v>
      </c>
      <c r="U3" s="171" t="s">
        <v>69</v>
      </c>
      <c r="V3" s="171" t="s">
        <v>70</v>
      </c>
      <c r="W3" s="172" t="s">
        <v>71</v>
      </c>
      <c r="X3" s="172" t="s">
        <v>72</v>
      </c>
      <c r="Y3" s="173" t="s">
        <v>73</v>
      </c>
      <c r="Z3" s="173" t="s">
        <v>74</v>
      </c>
      <c r="AA3" s="173" t="s">
        <v>75</v>
      </c>
      <c r="AB3" s="173" t="s">
        <v>76</v>
      </c>
      <c r="AC3" s="173" t="s">
        <v>77</v>
      </c>
      <c r="AD3" s="174" t="s">
        <v>78</v>
      </c>
      <c r="AE3" s="174" t="s">
        <v>79</v>
      </c>
      <c r="AF3" s="174" t="s">
        <v>80</v>
      </c>
      <c r="AG3" s="174" t="s">
        <v>81</v>
      </c>
    </row>
    <row r="4" spans="1:33" x14ac:dyDescent="0.3">
      <c r="A4" s="396" t="s">
        <v>15</v>
      </c>
      <c r="B4" s="396" t="s">
        <v>15</v>
      </c>
      <c r="C4" s="402">
        <v>2184736</v>
      </c>
      <c r="D4" s="400">
        <v>10643</v>
      </c>
      <c r="E4" s="400">
        <v>141255</v>
      </c>
      <c r="F4" s="400">
        <v>261912</v>
      </c>
      <c r="G4" s="400">
        <v>205804</v>
      </c>
      <c r="H4" s="402">
        <v>2804350</v>
      </c>
      <c r="I4" s="400">
        <v>2598546</v>
      </c>
      <c r="J4" s="400">
        <v>10772</v>
      </c>
      <c r="K4" s="401">
        <v>96.6</v>
      </c>
      <c r="L4" s="401">
        <v>96.19</v>
      </c>
      <c r="M4" s="401">
        <v>7.12</v>
      </c>
      <c r="N4" s="401">
        <v>166.27</v>
      </c>
      <c r="O4" s="402">
        <v>1826469</v>
      </c>
      <c r="P4" s="401">
        <v>93.69</v>
      </c>
      <c r="Q4" s="401">
        <v>85.46</v>
      </c>
      <c r="R4" s="401">
        <v>45.91</v>
      </c>
      <c r="S4" s="401">
        <v>143.97999999999999</v>
      </c>
      <c r="T4" s="402">
        <v>334866</v>
      </c>
      <c r="U4" s="401">
        <v>133.31</v>
      </c>
      <c r="V4" s="402">
        <v>272045</v>
      </c>
      <c r="W4" s="401">
        <v>176.5</v>
      </c>
      <c r="X4" s="402">
        <v>16901</v>
      </c>
      <c r="Y4" s="400">
        <v>5225</v>
      </c>
      <c r="Z4" s="400">
        <v>3193</v>
      </c>
      <c r="AA4" s="400">
        <v>2531</v>
      </c>
      <c r="AB4" s="400">
        <v>12576</v>
      </c>
      <c r="AC4" s="400">
        <v>4297</v>
      </c>
      <c r="AD4" s="402">
        <v>2127268</v>
      </c>
      <c r="AE4" s="400">
        <v>15784</v>
      </c>
      <c r="AF4" s="400">
        <v>13111</v>
      </c>
      <c r="AG4" s="400">
        <v>28895</v>
      </c>
    </row>
    <row r="5" spans="1:33" x14ac:dyDescent="0.3">
      <c r="A5" s="397" t="s">
        <v>82</v>
      </c>
      <c r="B5" s="397" t="s">
        <v>82</v>
      </c>
      <c r="C5" s="403">
        <v>116719</v>
      </c>
      <c r="D5" s="403">
        <v>537</v>
      </c>
      <c r="E5" s="403">
        <v>9086</v>
      </c>
      <c r="F5" s="403">
        <v>22179</v>
      </c>
      <c r="G5" s="403">
        <v>15100</v>
      </c>
      <c r="H5" s="400">
        <v>163621</v>
      </c>
      <c r="I5" s="400">
        <v>148521</v>
      </c>
      <c r="J5" s="403">
        <v>541</v>
      </c>
      <c r="K5" s="401">
        <v>89.01</v>
      </c>
      <c r="L5" s="401">
        <v>87.96</v>
      </c>
      <c r="M5" s="401">
        <v>5.26</v>
      </c>
      <c r="N5" s="401">
        <v>92.42</v>
      </c>
      <c r="O5" s="402">
        <v>95236</v>
      </c>
      <c r="P5" s="401">
        <v>89.77</v>
      </c>
      <c r="Q5" s="401">
        <v>79.680000000000007</v>
      </c>
      <c r="R5" s="401">
        <v>43.34</v>
      </c>
      <c r="S5" s="401">
        <v>131.22</v>
      </c>
      <c r="T5" s="402">
        <v>27499</v>
      </c>
      <c r="U5" s="401">
        <v>109.02</v>
      </c>
      <c r="V5" s="402">
        <v>17089</v>
      </c>
      <c r="W5" s="401">
        <v>164.87</v>
      </c>
      <c r="X5" s="402">
        <v>970</v>
      </c>
      <c r="Y5" s="403">
        <v>406</v>
      </c>
      <c r="Z5" s="403">
        <v>219</v>
      </c>
      <c r="AA5" s="403">
        <v>104</v>
      </c>
      <c r="AB5" s="403">
        <v>1130</v>
      </c>
      <c r="AC5" s="403">
        <v>276</v>
      </c>
      <c r="AD5" s="403">
        <v>114246</v>
      </c>
      <c r="AE5" s="403">
        <v>723</v>
      </c>
      <c r="AF5" s="403">
        <v>524</v>
      </c>
      <c r="AG5" s="403">
        <v>1247</v>
      </c>
    </row>
    <row r="6" spans="1:33" x14ac:dyDescent="0.3">
      <c r="A6" s="397" t="s">
        <v>83</v>
      </c>
      <c r="B6" s="397" t="s">
        <v>83</v>
      </c>
      <c r="C6" s="403">
        <v>223417</v>
      </c>
      <c r="D6" s="403">
        <v>1685</v>
      </c>
      <c r="E6" s="403">
        <v>12034</v>
      </c>
      <c r="F6" s="403">
        <v>27963</v>
      </c>
      <c r="G6" s="403">
        <v>23392</v>
      </c>
      <c r="H6" s="400">
        <v>288491</v>
      </c>
      <c r="I6" s="400">
        <v>265099</v>
      </c>
      <c r="J6" s="403">
        <v>1140</v>
      </c>
      <c r="K6" s="401">
        <v>100.52</v>
      </c>
      <c r="L6" s="401">
        <v>100.55</v>
      </c>
      <c r="M6" s="401">
        <v>6.13</v>
      </c>
      <c r="N6" s="401">
        <v>103.79</v>
      </c>
      <c r="O6" s="402">
        <v>184119</v>
      </c>
      <c r="P6" s="401">
        <v>96.04</v>
      </c>
      <c r="Q6" s="401">
        <v>88.48</v>
      </c>
      <c r="R6" s="401">
        <v>42.21</v>
      </c>
      <c r="S6" s="401">
        <v>137.04</v>
      </c>
      <c r="T6" s="402">
        <v>34466</v>
      </c>
      <c r="U6" s="401">
        <v>139.15</v>
      </c>
      <c r="V6" s="402">
        <v>33288</v>
      </c>
      <c r="W6" s="401">
        <v>156.33000000000001</v>
      </c>
      <c r="X6" s="402">
        <v>657</v>
      </c>
      <c r="Y6" s="403">
        <v>783</v>
      </c>
      <c r="Z6" s="403">
        <v>154</v>
      </c>
      <c r="AA6" s="403">
        <v>219</v>
      </c>
      <c r="AB6" s="403">
        <v>1801</v>
      </c>
      <c r="AC6" s="403">
        <v>416</v>
      </c>
      <c r="AD6" s="403">
        <v>221575</v>
      </c>
      <c r="AE6" s="403">
        <v>1438</v>
      </c>
      <c r="AF6" s="403">
        <v>1201</v>
      </c>
      <c r="AG6" s="403">
        <v>2639</v>
      </c>
    </row>
    <row r="7" spans="1:33" x14ac:dyDescent="0.3">
      <c r="A7" s="397" t="s">
        <v>84</v>
      </c>
      <c r="B7" s="397" t="s">
        <v>84</v>
      </c>
      <c r="C7" s="403">
        <v>357842</v>
      </c>
      <c r="D7" s="403">
        <v>5670</v>
      </c>
      <c r="E7" s="403">
        <v>27071</v>
      </c>
      <c r="F7" s="403">
        <v>28003</v>
      </c>
      <c r="G7" s="403">
        <v>51139</v>
      </c>
      <c r="H7" s="400">
        <v>469725</v>
      </c>
      <c r="I7" s="400">
        <v>418586</v>
      </c>
      <c r="J7" s="403">
        <v>3220</v>
      </c>
      <c r="K7" s="401">
        <v>123.2</v>
      </c>
      <c r="L7" s="401">
        <v>126.96</v>
      </c>
      <c r="M7" s="401">
        <v>13.07</v>
      </c>
      <c r="N7" s="401">
        <v>132.85</v>
      </c>
      <c r="O7" s="402">
        <v>289352</v>
      </c>
      <c r="P7" s="401">
        <v>113.06</v>
      </c>
      <c r="Q7" s="401">
        <v>107.44</v>
      </c>
      <c r="R7" s="401">
        <v>60.89</v>
      </c>
      <c r="S7" s="401">
        <v>170.66</v>
      </c>
      <c r="T7" s="402">
        <v>43312</v>
      </c>
      <c r="U7" s="401">
        <v>197</v>
      </c>
      <c r="V7" s="402">
        <v>36351</v>
      </c>
      <c r="W7" s="401">
        <v>231.12</v>
      </c>
      <c r="X7" s="402">
        <v>1692</v>
      </c>
      <c r="Y7" s="403">
        <v>1082</v>
      </c>
      <c r="Z7" s="403">
        <v>99</v>
      </c>
      <c r="AA7" s="403">
        <v>643</v>
      </c>
      <c r="AB7" s="403">
        <v>1975</v>
      </c>
      <c r="AC7" s="403">
        <v>1493</v>
      </c>
      <c r="AD7" s="403">
        <v>336478</v>
      </c>
      <c r="AE7" s="403">
        <v>3270</v>
      </c>
      <c r="AF7" s="403">
        <v>2070</v>
      </c>
      <c r="AG7" s="403">
        <v>5340</v>
      </c>
    </row>
    <row r="8" spans="1:33" x14ac:dyDescent="0.3">
      <c r="A8" s="397" t="s">
        <v>85</v>
      </c>
      <c r="B8" s="397" t="s">
        <v>85</v>
      </c>
      <c r="C8" s="403">
        <v>158846</v>
      </c>
      <c r="D8" s="403">
        <v>214</v>
      </c>
      <c r="E8" s="403">
        <v>6713</v>
      </c>
      <c r="F8" s="403">
        <v>16797</v>
      </c>
      <c r="G8" s="403">
        <v>3560</v>
      </c>
      <c r="H8" s="400">
        <v>186130</v>
      </c>
      <c r="I8" s="400">
        <v>182570</v>
      </c>
      <c r="J8" s="403">
        <v>102</v>
      </c>
      <c r="K8" s="401">
        <v>79.25</v>
      </c>
      <c r="L8" s="401">
        <v>78.27</v>
      </c>
      <c r="M8" s="401">
        <v>6.13</v>
      </c>
      <c r="N8" s="401">
        <v>81.22</v>
      </c>
      <c r="O8" s="402">
        <v>139998</v>
      </c>
      <c r="P8" s="401">
        <v>87.52</v>
      </c>
      <c r="Q8" s="401">
        <v>74.8</v>
      </c>
      <c r="R8" s="401">
        <v>52.48</v>
      </c>
      <c r="S8" s="401">
        <v>135.01</v>
      </c>
      <c r="T8" s="402">
        <v>19505</v>
      </c>
      <c r="U8" s="401">
        <v>97.96</v>
      </c>
      <c r="V8" s="402">
        <v>16166</v>
      </c>
      <c r="W8" s="401">
        <v>160.77000000000001</v>
      </c>
      <c r="X8" s="402">
        <v>2368</v>
      </c>
      <c r="Y8" s="403">
        <v>98</v>
      </c>
      <c r="Z8" s="403">
        <v>389</v>
      </c>
      <c r="AA8" s="403">
        <v>61</v>
      </c>
      <c r="AB8" s="403">
        <v>239</v>
      </c>
      <c r="AC8" s="403">
        <v>70</v>
      </c>
      <c r="AD8" s="403">
        <v>156801</v>
      </c>
      <c r="AE8" s="403">
        <v>1537</v>
      </c>
      <c r="AF8" s="403">
        <v>1522</v>
      </c>
      <c r="AG8" s="403">
        <v>3059</v>
      </c>
    </row>
    <row r="9" spans="1:33" x14ac:dyDescent="0.3">
      <c r="A9" s="397" t="s">
        <v>86</v>
      </c>
      <c r="B9" s="397" t="s">
        <v>86</v>
      </c>
      <c r="C9" s="403">
        <v>431252</v>
      </c>
      <c r="D9" s="403">
        <v>345</v>
      </c>
      <c r="E9" s="403">
        <v>24127</v>
      </c>
      <c r="F9" s="403">
        <v>52070</v>
      </c>
      <c r="G9" s="403">
        <v>16073</v>
      </c>
      <c r="H9" s="400">
        <v>523867</v>
      </c>
      <c r="I9" s="400">
        <v>507794</v>
      </c>
      <c r="J9" s="403">
        <v>517</v>
      </c>
      <c r="K9" s="401">
        <v>83.58</v>
      </c>
      <c r="L9" s="401">
        <v>82.64</v>
      </c>
      <c r="M9" s="401">
        <v>5.05</v>
      </c>
      <c r="N9" s="401">
        <v>86.41</v>
      </c>
      <c r="O9" s="402">
        <v>368761</v>
      </c>
      <c r="P9" s="401">
        <v>85.95</v>
      </c>
      <c r="Q9" s="401">
        <v>76.459999999999994</v>
      </c>
      <c r="R9" s="401">
        <v>40.369999999999997</v>
      </c>
      <c r="S9" s="401">
        <v>124.1</v>
      </c>
      <c r="T9" s="402">
        <v>66255</v>
      </c>
      <c r="U9" s="401">
        <v>105.84</v>
      </c>
      <c r="V9" s="402">
        <v>51246</v>
      </c>
      <c r="W9" s="401">
        <v>159.72</v>
      </c>
      <c r="X9" s="402">
        <v>2810</v>
      </c>
      <c r="Y9" s="403">
        <v>249</v>
      </c>
      <c r="Z9" s="403">
        <v>1298</v>
      </c>
      <c r="AA9" s="403">
        <v>336</v>
      </c>
      <c r="AB9" s="403">
        <v>1202</v>
      </c>
      <c r="AC9" s="403">
        <v>248</v>
      </c>
      <c r="AD9" s="403">
        <v>421054</v>
      </c>
      <c r="AE9" s="403">
        <v>2519</v>
      </c>
      <c r="AF9" s="403">
        <v>2812</v>
      </c>
      <c r="AG9" s="403">
        <v>5331</v>
      </c>
    </row>
    <row r="10" spans="1:33" x14ac:dyDescent="0.3">
      <c r="A10" s="397" t="s">
        <v>87</v>
      </c>
      <c r="B10" s="397" t="s">
        <v>87</v>
      </c>
      <c r="C10" s="403">
        <v>303417</v>
      </c>
      <c r="D10" s="403">
        <v>999</v>
      </c>
      <c r="E10" s="403">
        <v>15953</v>
      </c>
      <c r="F10" s="403">
        <v>38958</v>
      </c>
      <c r="G10" s="403">
        <v>48052</v>
      </c>
      <c r="H10" s="400">
        <v>407379</v>
      </c>
      <c r="I10" s="400">
        <v>359327</v>
      </c>
      <c r="J10" s="403">
        <v>1284</v>
      </c>
      <c r="K10" s="401">
        <v>109.68</v>
      </c>
      <c r="L10" s="401">
        <v>107.94</v>
      </c>
      <c r="M10" s="401">
        <v>6.51</v>
      </c>
      <c r="N10" s="401">
        <v>113.8</v>
      </c>
      <c r="O10" s="402">
        <v>245436</v>
      </c>
      <c r="P10" s="401">
        <v>99.62</v>
      </c>
      <c r="Q10" s="401">
        <v>92.13</v>
      </c>
      <c r="R10" s="401">
        <v>38.61</v>
      </c>
      <c r="S10" s="401">
        <v>136.52000000000001</v>
      </c>
      <c r="T10" s="402">
        <v>43373</v>
      </c>
      <c r="U10" s="401">
        <v>159.16999999999999</v>
      </c>
      <c r="V10" s="402">
        <v>46530</v>
      </c>
      <c r="W10" s="401">
        <v>183.62</v>
      </c>
      <c r="X10" s="402">
        <v>2474</v>
      </c>
      <c r="Y10" s="403">
        <v>1726</v>
      </c>
      <c r="Z10" s="403">
        <v>144</v>
      </c>
      <c r="AA10" s="403">
        <v>322</v>
      </c>
      <c r="AB10" s="403">
        <v>3213</v>
      </c>
      <c r="AC10" s="403">
        <v>902</v>
      </c>
      <c r="AD10" s="403">
        <v>296044</v>
      </c>
      <c r="AE10" s="403">
        <v>2173</v>
      </c>
      <c r="AF10" s="403">
        <v>1476</v>
      </c>
      <c r="AG10" s="403">
        <v>3649</v>
      </c>
    </row>
    <row r="11" spans="1:33" x14ac:dyDescent="0.3">
      <c r="A11" s="397" t="s">
        <v>88</v>
      </c>
      <c r="B11" s="397" t="s">
        <v>88</v>
      </c>
      <c r="C11" s="403">
        <v>200731</v>
      </c>
      <c r="D11" s="403">
        <v>195</v>
      </c>
      <c r="E11" s="403">
        <v>14437</v>
      </c>
      <c r="F11" s="403">
        <v>29938</v>
      </c>
      <c r="G11" s="403">
        <v>22569</v>
      </c>
      <c r="H11" s="400">
        <v>267870</v>
      </c>
      <c r="I11" s="400">
        <v>245301</v>
      </c>
      <c r="J11" s="403">
        <v>839</v>
      </c>
      <c r="K11" s="401">
        <v>93.91</v>
      </c>
      <c r="L11" s="401">
        <v>92.05</v>
      </c>
      <c r="M11" s="401">
        <v>5</v>
      </c>
      <c r="N11" s="401">
        <v>97.33</v>
      </c>
      <c r="O11" s="402">
        <v>164609</v>
      </c>
      <c r="P11" s="401">
        <v>88.6</v>
      </c>
      <c r="Q11" s="401">
        <v>82.5</v>
      </c>
      <c r="R11" s="401">
        <v>35.119999999999997</v>
      </c>
      <c r="S11" s="401">
        <v>122.62</v>
      </c>
      <c r="T11" s="402">
        <v>37126</v>
      </c>
      <c r="U11" s="401">
        <v>125.61</v>
      </c>
      <c r="V11" s="402">
        <v>27624</v>
      </c>
      <c r="W11" s="401">
        <v>154.30000000000001</v>
      </c>
      <c r="X11" s="402">
        <v>2006</v>
      </c>
      <c r="Y11" s="403">
        <v>269</v>
      </c>
      <c r="Z11" s="403">
        <v>207</v>
      </c>
      <c r="AA11" s="403">
        <v>336</v>
      </c>
      <c r="AB11" s="403">
        <v>1206</v>
      </c>
      <c r="AC11" s="403">
        <v>385</v>
      </c>
      <c r="AD11" s="403">
        <v>194205</v>
      </c>
      <c r="AE11" s="403">
        <v>1010</v>
      </c>
      <c r="AF11" s="403">
        <v>1281</v>
      </c>
      <c r="AG11" s="403">
        <v>2291</v>
      </c>
    </row>
    <row r="12" spans="1:33" x14ac:dyDescent="0.3">
      <c r="A12" s="397" t="s">
        <v>89</v>
      </c>
      <c r="B12" s="397" t="s">
        <v>89</v>
      </c>
      <c r="C12" s="403">
        <v>224054</v>
      </c>
      <c r="D12" s="403">
        <v>966</v>
      </c>
      <c r="E12" s="403">
        <v>19396</v>
      </c>
      <c r="F12" s="403">
        <v>27764</v>
      </c>
      <c r="G12" s="403">
        <v>17594</v>
      </c>
      <c r="H12" s="400">
        <v>289774</v>
      </c>
      <c r="I12" s="400">
        <v>272180</v>
      </c>
      <c r="J12" s="403">
        <v>622</v>
      </c>
      <c r="K12" s="401">
        <v>90.01</v>
      </c>
      <c r="L12" s="401">
        <v>88.6</v>
      </c>
      <c r="M12" s="401">
        <v>6.29</v>
      </c>
      <c r="N12" s="401">
        <v>94.28</v>
      </c>
      <c r="O12" s="402">
        <v>194547</v>
      </c>
      <c r="P12" s="401">
        <v>89.6</v>
      </c>
      <c r="Q12" s="401">
        <v>82.57</v>
      </c>
      <c r="R12" s="401">
        <v>59.46</v>
      </c>
      <c r="S12" s="401">
        <v>147.58000000000001</v>
      </c>
      <c r="T12" s="402">
        <v>37900</v>
      </c>
      <c r="U12" s="401">
        <v>113.31</v>
      </c>
      <c r="V12" s="402">
        <v>23299</v>
      </c>
      <c r="W12" s="401">
        <v>191.99</v>
      </c>
      <c r="X12" s="402">
        <v>2866</v>
      </c>
      <c r="Y12" s="403">
        <v>223</v>
      </c>
      <c r="Z12" s="403">
        <v>407</v>
      </c>
      <c r="AA12" s="403">
        <v>328</v>
      </c>
      <c r="AB12" s="403">
        <v>1106</v>
      </c>
      <c r="AC12" s="403">
        <v>344</v>
      </c>
      <c r="AD12" s="403">
        <v>220286</v>
      </c>
      <c r="AE12" s="403">
        <v>1569</v>
      </c>
      <c r="AF12" s="403">
        <v>1180</v>
      </c>
      <c r="AG12" s="403">
        <v>2749</v>
      </c>
    </row>
    <row r="13" spans="1:33" x14ac:dyDescent="0.3">
      <c r="A13" s="397" t="s">
        <v>792</v>
      </c>
      <c r="B13" s="397" t="s">
        <v>792</v>
      </c>
      <c r="C13" s="403">
        <v>168458</v>
      </c>
      <c r="D13" s="403">
        <v>32</v>
      </c>
      <c r="E13" s="403">
        <v>12438</v>
      </c>
      <c r="F13" s="403">
        <v>18240</v>
      </c>
      <c r="G13" s="403">
        <v>8325</v>
      </c>
      <c r="H13" s="400">
        <v>207493</v>
      </c>
      <c r="I13" s="400">
        <v>199168</v>
      </c>
      <c r="J13" s="403">
        <v>2507</v>
      </c>
      <c r="K13" s="401">
        <v>83.05</v>
      </c>
      <c r="L13" s="401">
        <v>82.01</v>
      </c>
      <c r="M13" s="401">
        <v>5.34</v>
      </c>
      <c r="N13" s="401">
        <v>86.15</v>
      </c>
      <c r="O13" s="402">
        <v>144411</v>
      </c>
      <c r="P13" s="401">
        <v>90.11</v>
      </c>
      <c r="Q13" s="401">
        <v>77.37</v>
      </c>
      <c r="R13" s="401">
        <v>45.92</v>
      </c>
      <c r="S13" s="401">
        <v>134.47</v>
      </c>
      <c r="T13" s="402">
        <v>25430</v>
      </c>
      <c r="U13" s="401">
        <v>101.99</v>
      </c>
      <c r="V13" s="402">
        <v>20452</v>
      </c>
      <c r="W13" s="401">
        <v>175.64</v>
      </c>
      <c r="X13" s="402">
        <v>1058</v>
      </c>
      <c r="Y13" s="403">
        <v>389</v>
      </c>
      <c r="Z13" s="403">
        <v>276</v>
      </c>
      <c r="AA13" s="403">
        <v>182</v>
      </c>
      <c r="AB13" s="403">
        <v>704</v>
      </c>
      <c r="AC13" s="403">
        <v>163</v>
      </c>
      <c r="AD13" s="403">
        <v>166579</v>
      </c>
      <c r="AE13" s="403">
        <v>1545</v>
      </c>
      <c r="AF13" s="403">
        <v>1045</v>
      </c>
      <c r="AG13" s="403">
        <v>2590</v>
      </c>
    </row>
    <row r="14" spans="1:33" x14ac:dyDescent="0.3">
      <c r="A14" s="396" t="s">
        <v>90</v>
      </c>
      <c r="B14" s="396" t="s">
        <v>91</v>
      </c>
      <c r="C14" s="403">
        <v>875</v>
      </c>
      <c r="D14" s="403">
        <v>0</v>
      </c>
      <c r="E14" s="403">
        <v>76</v>
      </c>
      <c r="F14" s="403">
        <v>138</v>
      </c>
      <c r="G14" s="403">
        <v>204</v>
      </c>
      <c r="H14" s="400">
        <v>1293</v>
      </c>
      <c r="I14" s="400">
        <v>1089</v>
      </c>
      <c r="J14" s="403">
        <v>15</v>
      </c>
      <c r="K14" s="401">
        <v>113.78</v>
      </c>
      <c r="L14" s="401">
        <v>110.62</v>
      </c>
      <c r="M14" s="401">
        <v>5.99</v>
      </c>
      <c r="N14" s="401">
        <v>118.11</v>
      </c>
      <c r="O14" s="402">
        <v>727</v>
      </c>
      <c r="P14" s="401">
        <v>85.66</v>
      </c>
      <c r="Q14" s="401">
        <v>84.14</v>
      </c>
      <c r="R14" s="401">
        <v>41.87</v>
      </c>
      <c r="S14" s="401">
        <v>127.29</v>
      </c>
      <c r="T14" s="402">
        <v>179</v>
      </c>
      <c r="U14" s="401">
        <v>159.61000000000001</v>
      </c>
      <c r="V14" s="402">
        <v>120</v>
      </c>
      <c r="W14" s="401">
        <v>150.08000000000001</v>
      </c>
      <c r="X14" s="402">
        <v>23</v>
      </c>
      <c r="Y14" s="403">
        <v>0</v>
      </c>
      <c r="Z14" s="403">
        <v>0</v>
      </c>
      <c r="AA14" s="403">
        <v>0</v>
      </c>
      <c r="AB14" s="403">
        <v>0</v>
      </c>
      <c r="AC14" s="403">
        <v>5</v>
      </c>
      <c r="AD14" s="403">
        <v>854</v>
      </c>
      <c r="AE14" s="403">
        <v>4</v>
      </c>
      <c r="AF14" s="403">
        <v>32</v>
      </c>
      <c r="AG14" s="403">
        <v>36</v>
      </c>
    </row>
    <row r="15" spans="1:33" x14ac:dyDescent="0.3">
      <c r="A15" s="396" t="s">
        <v>92</v>
      </c>
      <c r="B15" s="396" t="s">
        <v>93</v>
      </c>
      <c r="C15" s="403">
        <v>8306</v>
      </c>
      <c r="D15" s="403">
        <v>0</v>
      </c>
      <c r="E15" s="403">
        <v>147</v>
      </c>
      <c r="F15" s="403">
        <v>404</v>
      </c>
      <c r="G15" s="403">
        <v>124</v>
      </c>
      <c r="H15" s="400">
        <v>8981</v>
      </c>
      <c r="I15" s="400">
        <v>8857</v>
      </c>
      <c r="J15" s="403">
        <v>19</v>
      </c>
      <c r="K15" s="401">
        <v>86.79</v>
      </c>
      <c r="L15" s="401">
        <v>85.31</v>
      </c>
      <c r="M15" s="401">
        <v>2.4500000000000002</v>
      </c>
      <c r="N15" s="401">
        <v>88.83</v>
      </c>
      <c r="O15" s="402">
        <v>7288</v>
      </c>
      <c r="P15" s="401">
        <v>83.26</v>
      </c>
      <c r="Q15" s="401">
        <v>76.17</v>
      </c>
      <c r="R15" s="401">
        <v>41.78</v>
      </c>
      <c r="S15" s="401">
        <v>123.41</v>
      </c>
      <c r="T15" s="402">
        <v>464</v>
      </c>
      <c r="U15" s="401">
        <v>108.62</v>
      </c>
      <c r="V15" s="402">
        <v>458</v>
      </c>
      <c r="W15" s="401">
        <v>142.12</v>
      </c>
      <c r="X15" s="402">
        <v>49</v>
      </c>
      <c r="Y15" s="403">
        <v>0</v>
      </c>
      <c r="Z15" s="403">
        <v>10</v>
      </c>
      <c r="AA15" s="403">
        <v>12</v>
      </c>
      <c r="AB15" s="403">
        <v>2</v>
      </c>
      <c r="AC15" s="403">
        <v>0</v>
      </c>
      <c r="AD15" s="403">
        <v>7615</v>
      </c>
      <c r="AE15" s="403">
        <v>51</v>
      </c>
      <c r="AF15" s="403">
        <v>107</v>
      </c>
      <c r="AG15" s="403">
        <v>158</v>
      </c>
    </row>
    <row r="16" spans="1:33" x14ac:dyDescent="0.3">
      <c r="A16" s="396" t="s">
        <v>94</v>
      </c>
      <c r="B16" s="396" t="s">
        <v>95</v>
      </c>
      <c r="C16" s="403">
        <v>4709</v>
      </c>
      <c r="D16" s="403">
        <v>0</v>
      </c>
      <c r="E16" s="403">
        <v>171</v>
      </c>
      <c r="F16" s="403">
        <v>2434</v>
      </c>
      <c r="G16" s="403">
        <v>245</v>
      </c>
      <c r="H16" s="400">
        <v>7559</v>
      </c>
      <c r="I16" s="400">
        <v>7314</v>
      </c>
      <c r="J16" s="403">
        <v>2</v>
      </c>
      <c r="K16" s="401">
        <v>90.23</v>
      </c>
      <c r="L16" s="401">
        <v>88.53</v>
      </c>
      <c r="M16" s="401">
        <v>2.37</v>
      </c>
      <c r="N16" s="401">
        <v>92.4</v>
      </c>
      <c r="O16" s="402">
        <v>4271</v>
      </c>
      <c r="P16" s="401">
        <v>85.03</v>
      </c>
      <c r="Q16" s="401">
        <v>79.819999999999993</v>
      </c>
      <c r="R16" s="401">
        <v>9.35</v>
      </c>
      <c r="S16" s="401">
        <v>94.3</v>
      </c>
      <c r="T16" s="402">
        <v>2550</v>
      </c>
      <c r="U16" s="401">
        <v>103.28</v>
      </c>
      <c r="V16" s="402">
        <v>430</v>
      </c>
      <c r="W16" s="401">
        <v>0</v>
      </c>
      <c r="X16" s="402">
        <v>0</v>
      </c>
      <c r="Y16" s="403">
        <v>0</v>
      </c>
      <c r="Z16" s="403">
        <v>24</v>
      </c>
      <c r="AA16" s="403">
        <v>2</v>
      </c>
      <c r="AB16" s="403">
        <v>41</v>
      </c>
      <c r="AC16" s="403">
        <v>1</v>
      </c>
      <c r="AD16" s="403">
        <v>4682</v>
      </c>
      <c r="AE16" s="403">
        <v>27</v>
      </c>
      <c r="AF16" s="403">
        <v>2</v>
      </c>
      <c r="AG16" s="403">
        <v>29</v>
      </c>
    </row>
    <row r="17" spans="1:33" x14ac:dyDescent="0.3">
      <c r="A17" s="396" t="s">
        <v>96</v>
      </c>
      <c r="B17" s="396" t="s">
        <v>97</v>
      </c>
      <c r="C17" s="403">
        <v>3044</v>
      </c>
      <c r="D17" s="403">
        <v>1</v>
      </c>
      <c r="E17" s="403">
        <v>221</v>
      </c>
      <c r="F17" s="403">
        <v>378</v>
      </c>
      <c r="G17" s="403">
        <v>704</v>
      </c>
      <c r="H17" s="400">
        <v>4348</v>
      </c>
      <c r="I17" s="400">
        <v>3644</v>
      </c>
      <c r="J17" s="403">
        <v>7</v>
      </c>
      <c r="K17" s="401">
        <v>110.5</v>
      </c>
      <c r="L17" s="401">
        <v>108.11</v>
      </c>
      <c r="M17" s="401">
        <v>5.29</v>
      </c>
      <c r="N17" s="401">
        <v>114.78</v>
      </c>
      <c r="O17" s="402">
        <v>2233</v>
      </c>
      <c r="P17" s="401">
        <v>96.44</v>
      </c>
      <c r="Q17" s="401">
        <v>89.01</v>
      </c>
      <c r="R17" s="401">
        <v>52.93</v>
      </c>
      <c r="S17" s="401">
        <v>149</v>
      </c>
      <c r="T17" s="402">
        <v>424</v>
      </c>
      <c r="U17" s="401">
        <v>155.04</v>
      </c>
      <c r="V17" s="402">
        <v>741</v>
      </c>
      <c r="W17" s="401">
        <v>0</v>
      </c>
      <c r="X17" s="402">
        <v>0</v>
      </c>
      <c r="Y17" s="403">
        <v>0</v>
      </c>
      <c r="Z17" s="403">
        <v>0</v>
      </c>
      <c r="AA17" s="403">
        <v>6</v>
      </c>
      <c r="AB17" s="403">
        <v>52</v>
      </c>
      <c r="AC17" s="403">
        <v>13</v>
      </c>
      <c r="AD17" s="403">
        <v>3042</v>
      </c>
      <c r="AE17" s="403">
        <v>10</v>
      </c>
      <c r="AF17" s="403">
        <v>3</v>
      </c>
      <c r="AG17" s="403">
        <v>13</v>
      </c>
    </row>
    <row r="18" spans="1:33" x14ac:dyDescent="0.3">
      <c r="A18" s="396" t="s">
        <v>98</v>
      </c>
      <c r="B18" s="396" t="s">
        <v>99</v>
      </c>
      <c r="C18" s="403">
        <v>1638</v>
      </c>
      <c r="D18" s="403">
        <v>0</v>
      </c>
      <c r="E18" s="403">
        <v>179</v>
      </c>
      <c r="F18" s="403">
        <v>284</v>
      </c>
      <c r="G18" s="403">
        <v>191</v>
      </c>
      <c r="H18" s="400">
        <v>2292</v>
      </c>
      <c r="I18" s="400">
        <v>2101</v>
      </c>
      <c r="J18" s="403">
        <v>0</v>
      </c>
      <c r="K18" s="401">
        <v>87.36</v>
      </c>
      <c r="L18" s="401">
        <v>85.8</v>
      </c>
      <c r="M18" s="401">
        <v>5.48</v>
      </c>
      <c r="N18" s="401">
        <v>90.07</v>
      </c>
      <c r="O18" s="402">
        <v>1339</v>
      </c>
      <c r="P18" s="401">
        <v>98.81</v>
      </c>
      <c r="Q18" s="401">
        <v>84.89</v>
      </c>
      <c r="R18" s="401">
        <v>51.48</v>
      </c>
      <c r="S18" s="401">
        <v>146.5</v>
      </c>
      <c r="T18" s="402">
        <v>462</v>
      </c>
      <c r="U18" s="401">
        <v>103.11</v>
      </c>
      <c r="V18" s="402">
        <v>227</v>
      </c>
      <c r="W18" s="401">
        <v>0</v>
      </c>
      <c r="X18" s="402">
        <v>0</v>
      </c>
      <c r="Y18" s="403">
        <v>0</v>
      </c>
      <c r="Z18" s="403">
        <v>6</v>
      </c>
      <c r="AA18" s="403">
        <v>4</v>
      </c>
      <c r="AB18" s="403">
        <v>25</v>
      </c>
      <c r="AC18" s="403">
        <v>3</v>
      </c>
      <c r="AD18" s="403">
        <v>1638</v>
      </c>
      <c r="AE18" s="403">
        <v>6</v>
      </c>
      <c r="AF18" s="403">
        <v>8</v>
      </c>
      <c r="AG18" s="403">
        <v>14</v>
      </c>
    </row>
    <row r="19" spans="1:33" x14ac:dyDescent="0.3">
      <c r="A19" s="396" t="s">
        <v>100</v>
      </c>
      <c r="B19" s="396" t="s">
        <v>101</v>
      </c>
      <c r="C19" s="403">
        <v>2359</v>
      </c>
      <c r="D19" s="403">
        <v>0</v>
      </c>
      <c r="E19" s="403">
        <v>113</v>
      </c>
      <c r="F19" s="403">
        <v>185</v>
      </c>
      <c r="G19" s="403">
        <v>817</v>
      </c>
      <c r="H19" s="400">
        <v>3474</v>
      </c>
      <c r="I19" s="400">
        <v>2657</v>
      </c>
      <c r="J19" s="403">
        <v>16</v>
      </c>
      <c r="K19" s="401">
        <v>101.67</v>
      </c>
      <c r="L19" s="401">
        <v>98.85</v>
      </c>
      <c r="M19" s="401">
        <v>7.44</v>
      </c>
      <c r="N19" s="401">
        <v>107.71</v>
      </c>
      <c r="O19" s="402">
        <v>1768</v>
      </c>
      <c r="P19" s="401">
        <v>114.28</v>
      </c>
      <c r="Q19" s="401">
        <v>82.82</v>
      </c>
      <c r="R19" s="401">
        <v>51.43</v>
      </c>
      <c r="S19" s="401">
        <v>164.25</v>
      </c>
      <c r="T19" s="402">
        <v>247</v>
      </c>
      <c r="U19" s="401">
        <v>142.19999999999999</v>
      </c>
      <c r="V19" s="402">
        <v>527</v>
      </c>
      <c r="W19" s="401">
        <v>205.17</v>
      </c>
      <c r="X19" s="402">
        <v>51</v>
      </c>
      <c r="Y19" s="403">
        <v>0</v>
      </c>
      <c r="Z19" s="403">
        <v>0</v>
      </c>
      <c r="AA19" s="403">
        <v>6</v>
      </c>
      <c r="AB19" s="403">
        <v>78</v>
      </c>
      <c r="AC19" s="403">
        <v>9</v>
      </c>
      <c r="AD19" s="403">
        <v>2319</v>
      </c>
      <c r="AE19" s="403">
        <v>15</v>
      </c>
      <c r="AF19" s="403">
        <v>2</v>
      </c>
      <c r="AG19" s="403">
        <v>17</v>
      </c>
    </row>
    <row r="20" spans="1:33" x14ac:dyDescent="0.3">
      <c r="A20" s="396" t="s">
        <v>102</v>
      </c>
      <c r="B20" s="396" t="s">
        <v>103</v>
      </c>
      <c r="C20" s="403">
        <v>1830</v>
      </c>
      <c r="D20" s="403">
        <v>0</v>
      </c>
      <c r="E20" s="403">
        <v>118</v>
      </c>
      <c r="F20" s="403">
        <v>92</v>
      </c>
      <c r="G20" s="403">
        <v>179</v>
      </c>
      <c r="H20" s="400">
        <v>2219</v>
      </c>
      <c r="I20" s="400">
        <v>2040</v>
      </c>
      <c r="J20" s="403">
        <v>1</v>
      </c>
      <c r="K20" s="401">
        <v>94.43</v>
      </c>
      <c r="L20" s="401">
        <v>94.02</v>
      </c>
      <c r="M20" s="401">
        <v>4.34</v>
      </c>
      <c r="N20" s="401">
        <v>96.87</v>
      </c>
      <c r="O20" s="402">
        <v>1273</v>
      </c>
      <c r="P20" s="401">
        <v>109.78</v>
      </c>
      <c r="Q20" s="401">
        <v>89.88</v>
      </c>
      <c r="R20" s="401">
        <v>59.97</v>
      </c>
      <c r="S20" s="401">
        <v>167.21</v>
      </c>
      <c r="T20" s="402">
        <v>189</v>
      </c>
      <c r="U20" s="401">
        <v>122.12</v>
      </c>
      <c r="V20" s="402">
        <v>533</v>
      </c>
      <c r="W20" s="401">
        <v>109.94</v>
      </c>
      <c r="X20" s="402">
        <v>2</v>
      </c>
      <c r="Y20" s="403">
        <v>0</v>
      </c>
      <c r="Z20" s="403">
        <v>0</v>
      </c>
      <c r="AA20" s="403">
        <v>0</v>
      </c>
      <c r="AB20" s="403">
        <v>8</v>
      </c>
      <c r="AC20" s="403">
        <v>2</v>
      </c>
      <c r="AD20" s="403">
        <v>1830</v>
      </c>
      <c r="AE20" s="403">
        <v>7</v>
      </c>
      <c r="AF20" s="403">
        <v>8</v>
      </c>
      <c r="AG20" s="403">
        <v>15</v>
      </c>
    </row>
    <row r="21" spans="1:33" x14ac:dyDescent="0.3">
      <c r="A21" s="396" t="s">
        <v>104</v>
      </c>
      <c r="B21" s="396" t="s">
        <v>105</v>
      </c>
      <c r="C21" s="403">
        <v>4463</v>
      </c>
      <c r="D21" s="403">
        <v>0</v>
      </c>
      <c r="E21" s="403">
        <v>373</v>
      </c>
      <c r="F21" s="403">
        <v>455</v>
      </c>
      <c r="G21" s="403">
        <v>1262</v>
      </c>
      <c r="H21" s="400">
        <v>6553</v>
      </c>
      <c r="I21" s="400">
        <v>5291</v>
      </c>
      <c r="J21" s="403">
        <v>33</v>
      </c>
      <c r="K21" s="401">
        <v>118.71</v>
      </c>
      <c r="L21" s="401">
        <v>115.12</v>
      </c>
      <c r="M21" s="401">
        <v>8.27</v>
      </c>
      <c r="N21" s="401">
        <v>123.42</v>
      </c>
      <c r="O21" s="402">
        <v>2773</v>
      </c>
      <c r="P21" s="401">
        <v>105.17</v>
      </c>
      <c r="Q21" s="401">
        <v>100.49</v>
      </c>
      <c r="R21" s="401">
        <v>70.03</v>
      </c>
      <c r="S21" s="401">
        <v>175</v>
      </c>
      <c r="T21" s="402">
        <v>669</v>
      </c>
      <c r="U21" s="401">
        <v>174.12</v>
      </c>
      <c r="V21" s="402">
        <v>820</v>
      </c>
      <c r="W21" s="401">
        <v>0</v>
      </c>
      <c r="X21" s="402">
        <v>0</v>
      </c>
      <c r="Y21" s="403">
        <v>0</v>
      </c>
      <c r="Z21" s="403">
        <v>2</v>
      </c>
      <c r="AA21" s="403">
        <v>2</v>
      </c>
      <c r="AB21" s="403">
        <v>125</v>
      </c>
      <c r="AC21" s="403">
        <v>26</v>
      </c>
      <c r="AD21" s="403">
        <v>4448</v>
      </c>
      <c r="AE21" s="403">
        <v>88</v>
      </c>
      <c r="AF21" s="403">
        <v>21</v>
      </c>
      <c r="AG21" s="403">
        <v>109</v>
      </c>
    </row>
    <row r="22" spans="1:33" x14ac:dyDescent="0.3">
      <c r="A22" s="396" t="s">
        <v>106</v>
      </c>
      <c r="B22" s="396" t="s">
        <v>107</v>
      </c>
      <c r="C22" s="403">
        <v>7796</v>
      </c>
      <c r="D22" s="403">
        <v>29</v>
      </c>
      <c r="E22" s="403">
        <v>572</v>
      </c>
      <c r="F22" s="403">
        <v>1151</v>
      </c>
      <c r="G22" s="403">
        <v>1500</v>
      </c>
      <c r="H22" s="400">
        <v>11048</v>
      </c>
      <c r="I22" s="400">
        <v>9548</v>
      </c>
      <c r="J22" s="403">
        <v>19</v>
      </c>
      <c r="K22" s="401">
        <v>128.78</v>
      </c>
      <c r="L22" s="401">
        <v>129.13999999999999</v>
      </c>
      <c r="M22" s="401">
        <v>15.52</v>
      </c>
      <c r="N22" s="401">
        <v>141.71</v>
      </c>
      <c r="O22" s="402">
        <v>5771</v>
      </c>
      <c r="P22" s="401">
        <v>117.76</v>
      </c>
      <c r="Q22" s="401">
        <v>110.7</v>
      </c>
      <c r="R22" s="401">
        <v>55.49</v>
      </c>
      <c r="S22" s="401">
        <v>169.39</v>
      </c>
      <c r="T22" s="402">
        <v>906</v>
      </c>
      <c r="U22" s="401">
        <v>216.2</v>
      </c>
      <c r="V22" s="402">
        <v>1433</v>
      </c>
      <c r="W22" s="401">
        <v>225.96</v>
      </c>
      <c r="X22" s="402">
        <v>41</v>
      </c>
      <c r="Y22" s="403">
        <v>16</v>
      </c>
      <c r="Z22" s="403">
        <v>0</v>
      </c>
      <c r="AA22" s="403">
        <v>7</v>
      </c>
      <c r="AB22" s="403">
        <v>57</v>
      </c>
      <c r="AC22" s="403">
        <v>43</v>
      </c>
      <c r="AD22" s="403">
        <v>7009</v>
      </c>
      <c r="AE22" s="403">
        <v>21</v>
      </c>
      <c r="AF22" s="403">
        <v>73</v>
      </c>
      <c r="AG22" s="403">
        <v>94</v>
      </c>
    </row>
    <row r="23" spans="1:33" x14ac:dyDescent="0.3">
      <c r="A23" s="396" t="s">
        <v>108</v>
      </c>
      <c r="B23" s="396" t="s">
        <v>109</v>
      </c>
      <c r="C23" s="403">
        <v>3141</v>
      </c>
      <c r="D23" s="403">
        <v>0</v>
      </c>
      <c r="E23" s="403">
        <v>340</v>
      </c>
      <c r="F23" s="403">
        <v>672</v>
      </c>
      <c r="G23" s="403">
        <v>328</v>
      </c>
      <c r="H23" s="400">
        <v>4481</v>
      </c>
      <c r="I23" s="400">
        <v>4153</v>
      </c>
      <c r="J23" s="403">
        <v>10</v>
      </c>
      <c r="K23" s="401">
        <v>86.51</v>
      </c>
      <c r="L23" s="401">
        <v>83.19</v>
      </c>
      <c r="M23" s="401">
        <v>4.79</v>
      </c>
      <c r="N23" s="401">
        <v>88.7</v>
      </c>
      <c r="O23" s="402">
        <v>1884</v>
      </c>
      <c r="P23" s="401">
        <v>89.94</v>
      </c>
      <c r="Q23" s="401">
        <v>83.79</v>
      </c>
      <c r="R23" s="401">
        <v>39.19</v>
      </c>
      <c r="S23" s="401">
        <v>125.73</v>
      </c>
      <c r="T23" s="402">
        <v>979</v>
      </c>
      <c r="U23" s="401">
        <v>96.08</v>
      </c>
      <c r="V23" s="402">
        <v>1163</v>
      </c>
      <c r="W23" s="401">
        <v>0</v>
      </c>
      <c r="X23" s="402">
        <v>0</v>
      </c>
      <c r="Y23" s="403">
        <v>0</v>
      </c>
      <c r="Z23" s="403">
        <v>0</v>
      </c>
      <c r="AA23" s="403">
        <v>7</v>
      </c>
      <c r="AB23" s="403">
        <v>23</v>
      </c>
      <c r="AC23" s="403">
        <v>7</v>
      </c>
      <c r="AD23" s="403">
        <v>3136</v>
      </c>
      <c r="AE23" s="403">
        <v>24</v>
      </c>
      <c r="AF23" s="403">
        <v>18</v>
      </c>
      <c r="AG23" s="403">
        <v>42</v>
      </c>
    </row>
    <row r="24" spans="1:33" x14ac:dyDescent="0.3">
      <c r="A24" s="396" t="s">
        <v>110</v>
      </c>
      <c r="B24" s="396" t="s">
        <v>111</v>
      </c>
      <c r="C24" s="403">
        <v>518</v>
      </c>
      <c r="D24" s="403">
        <v>0</v>
      </c>
      <c r="E24" s="403">
        <v>252</v>
      </c>
      <c r="F24" s="403">
        <v>196</v>
      </c>
      <c r="G24" s="403">
        <v>11</v>
      </c>
      <c r="H24" s="400">
        <v>977</v>
      </c>
      <c r="I24" s="400">
        <v>966</v>
      </c>
      <c r="J24" s="403">
        <v>2</v>
      </c>
      <c r="K24" s="401">
        <v>80.8</v>
      </c>
      <c r="L24" s="401">
        <v>77.39</v>
      </c>
      <c r="M24" s="401">
        <v>6.89</v>
      </c>
      <c r="N24" s="401">
        <v>85.27</v>
      </c>
      <c r="O24" s="402">
        <v>474</v>
      </c>
      <c r="P24" s="401">
        <v>100.22</v>
      </c>
      <c r="Q24" s="401">
        <v>78.53</v>
      </c>
      <c r="R24" s="401">
        <v>87.99</v>
      </c>
      <c r="S24" s="401">
        <v>183.26</v>
      </c>
      <c r="T24" s="402">
        <v>391</v>
      </c>
      <c r="U24" s="401">
        <v>109.83</v>
      </c>
      <c r="V24" s="402">
        <v>27</v>
      </c>
      <c r="W24" s="401">
        <v>0</v>
      </c>
      <c r="X24" s="402">
        <v>0</v>
      </c>
      <c r="Y24" s="403">
        <v>22</v>
      </c>
      <c r="Z24" s="403">
        <v>0</v>
      </c>
      <c r="AA24" s="403">
        <v>1</v>
      </c>
      <c r="AB24" s="403">
        <v>0</v>
      </c>
      <c r="AC24" s="403">
        <v>0</v>
      </c>
      <c r="AD24" s="403">
        <v>516</v>
      </c>
      <c r="AE24" s="403">
        <v>0</v>
      </c>
      <c r="AF24" s="403">
        <v>1</v>
      </c>
      <c r="AG24" s="403">
        <v>1</v>
      </c>
    </row>
    <row r="25" spans="1:33" x14ac:dyDescent="0.3">
      <c r="A25" s="396" t="s">
        <v>112</v>
      </c>
      <c r="B25" s="396" t="s">
        <v>113</v>
      </c>
      <c r="C25" s="403">
        <v>5307</v>
      </c>
      <c r="D25" s="403">
        <v>0</v>
      </c>
      <c r="E25" s="403">
        <v>272</v>
      </c>
      <c r="F25" s="403">
        <v>331</v>
      </c>
      <c r="G25" s="403">
        <v>755</v>
      </c>
      <c r="H25" s="400">
        <v>6665</v>
      </c>
      <c r="I25" s="400">
        <v>5910</v>
      </c>
      <c r="J25" s="403">
        <v>0</v>
      </c>
      <c r="K25" s="401">
        <v>111.59</v>
      </c>
      <c r="L25" s="401">
        <v>110.99</v>
      </c>
      <c r="M25" s="401">
        <v>5.46</v>
      </c>
      <c r="N25" s="401">
        <v>114.52</v>
      </c>
      <c r="O25" s="402">
        <v>4985</v>
      </c>
      <c r="P25" s="401">
        <v>100.38</v>
      </c>
      <c r="Q25" s="401">
        <v>92.68</v>
      </c>
      <c r="R25" s="401">
        <v>49.41</v>
      </c>
      <c r="S25" s="401">
        <v>148.82</v>
      </c>
      <c r="T25" s="402">
        <v>512</v>
      </c>
      <c r="U25" s="401">
        <v>132.82</v>
      </c>
      <c r="V25" s="402">
        <v>186</v>
      </c>
      <c r="W25" s="401">
        <v>0</v>
      </c>
      <c r="X25" s="402">
        <v>0</v>
      </c>
      <c r="Y25" s="403">
        <v>0</v>
      </c>
      <c r="Z25" s="403">
        <v>0</v>
      </c>
      <c r="AA25" s="403">
        <v>2</v>
      </c>
      <c r="AB25" s="403">
        <v>14</v>
      </c>
      <c r="AC25" s="403">
        <v>8</v>
      </c>
      <c r="AD25" s="403">
        <v>5307</v>
      </c>
      <c r="AE25" s="403">
        <v>13</v>
      </c>
      <c r="AF25" s="403">
        <v>13</v>
      </c>
      <c r="AG25" s="403">
        <v>26</v>
      </c>
    </row>
    <row r="26" spans="1:33" x14ac:dyDescent="0.3">
      <c r="A26" s="396" t="s">
        <v>114</v>
      </c>
      <c r="B26" s="396" t="s">
        <v>115</v>
      </c>
      <c r="C26" s="403">
        <v>12931</v>
      </c>
      <c r="D26" s="403">
        <v>312</v>
      </c>
      <c r="E26" s="403">
        <v>399</v>
      </c>
      <c r="F26" s="403">
        <v>862</v>
      </c>
      <c r="G26" s="403">
        <v>1430</v>
      </c>
      <c r="H26" s="400">
        <v>15934</v>
      </c>
      <c r="I26" s="400">
        <v>14504</v>
      </c>
      <c r="J26" s="403">
        <v>3</v>
      </c>
      <c r="K26" s="401">
        <v>113.84</v>
      </c>
      <c r="L26" s="401">
        <v>110.77</v>
      </c>
      <c r="M26" s="401">
        <v>5.32</v>
      </c>
      <c r="N26" s="401">
        <v>115.99</v>
      </c>
      <c r="O26" s="402">
        <v>11367</v>
      </c>
      <c r="P26" s="401">
        <v>102.82</v>
      </c>
      <c r="Q26" s="401">
        <v>92.24</v>
      </c>
      <c r="R26" s="401">
        <v>36.94</v>
      </c>
      <c r="S26" s="401">
        <v>137.1</v>
      </c>
      <c r="T26" s="402">
        <v>1112</v>
      </c>
      <c r="U26" s="401">
        <v>155.66999999999999</v>
      </c>
      <c r="V26" s="402">
        <v>1286</v>
      </c>
      <c r="W26" s="401">
        <v>151.15</v>
      </c>
      <c r="X26" s="402">
        <v>2</v>
      </c>
      <c r="Y26" s="403">
        <v>22</v>
      </c>
      <c r="Z26" s="403">
        <v>9</v>
      </c>
      <c r="AA26" s="403">
        <v>1</v>
      </c>
      <c r="AB26" s="403">
        <v>81</v>
      </c>
      <c r="AC26" s="403">
        <v>31</v>
      </c>
      <c r="AD26" s="403">
        <v>12892</v>
      </c>
      <c r="AE26" s="403">
        <v>84</v>
      </c>
      <c r="AF26" s="403">
        <v>30</v>
      </c>
      <c r="AG26" s="403">
        <v>114</v>
      </c>
    </row>
    <row r="27" spans="1:33" x14ac:dyDescent="0.3">
      <c r="A27" s="396" t="s">
        <v>116</v>
      </c>
      <c r="B27" s="396" t="s">
        <v>117</v>
      </c>
      <c r="C27" s="403">
        <v>1102</v>
      </c>
      <c r="D27" s="403">
        <v>0</v>
      </c>
      <c r="E27" s="403">
        <v>284</v>
      </c>
      <c r="F27" s="403">
        <v>141</v>
      </c>
      <c r="G27" s="403">
        <v>127</v>
      </c>
      <c r="H27" s="400">
        <v>1654</v>
      </c>
      <c r="I27" s="400">
        <v>1527</v>
      </c>
      <c r="J27" s="403">
        <v>1</v>
      </c>
      <c r="K27" s="401">
        <v>87.54</v>
      </c>
      <c r="L27" s="401">
        <v>85.68</v>
      </c>
      <c r="M27" s="401">
        <v>3.25</v>
      </c>
      <c r="N27" s="401">
        <v>89.62</v>
      </c>
      <c r="O27" s="402">
        <v>893</v>
      </c>
      <c r="P27" s="401">
        <v>123.58</v>
      </c>
      <c r="Q27" s="401">
        <v>71.3</v>
      </c>
      <c r="R27" s="401">
        <v>76.17</v>
      </c>
      <c r="S27" s="401">
        <v>199.53</v>
      </c>
      <c r="T27" s="402">
        <v>362</v>
      </c>
      <c r="U27" s="401">
        <v>104.15</v>
      </c>
      <c r="V27" s="402">
        <v>191</v>
      </c>
      <c r="W27" s="401">
        <v>147.1</v>
      </c>
      <c r="X27" s="402">
        <v>21</v>
      </c>
      <c r="Y27" s="403">
        <v>0</v>
      </c>
      <c r="Z27" s="403">
        <v>2</v>
      </c>
      <c r="AA27" s="403">
        <v>5</v>
      </c>
      <c r="AB27" s="403">
        <v>11</v>
      </c>
      <c r="AC27" s="403">
        <v>3</v>
      </c>
      <c r="AD27" s="403">
        <v>1099</v>
      </c>
      <c r="AE27" s="403">
        <v>6</v>
      </c>
      <c r="AF27" s="403">
        <v>8</v>
      </c>
      <c r="AG27" s="403">
        <v>14</v>
      </c>
    </row>
    <row r="28" spans="1:33" x14ac:dyDescent="0.3">
      <c r="A28" s="396" t="s">
        <v>118</v>
      </c>
      <c r="B28" s="396" t="s">
        <v>119</v>
      </c>
      <c r="C28" s="403">
        <v>9297</v>
      </c>
      <c r="D28" s="403">
        <v>0</v>
      </c>
      <c r="E28" s="403">
        <v>392</v>
      </c>
      <c r="F28" s="403">
        <v>2110</v>
      </c>
      <c r="G28" s="403">
        <v>687</v>
      </c>
      <c r="H28" s="400">
        <v>12486</v>
      </c>
      <c r="I28" s="400">
        <v>11799</v>
      </c>
      <c r="J28" s="403">
        <v>8</v>
      </c>
      <c r="K28" s="401">
        <v>101.89</v>
      </c>
      <c r="L28" s="401">
        <v>99.03</v>
      </c>
      <c r="M28" s="401">
        <v>4.8</v>
      </c>
      <c r="N28" s="401">
        <v>106.08</v>
      </c>
      <c r="O28" s="402">
        <v>8479</v>
      </c>
      <c r="P28" s="401">
        <v>94.81</v>
      </c>
      <c r="Q28" s="401">
        <v>87.53</v>
      </c>
      <c r="R28" s="401">
        <v>18.43</v>
      </c>
      <c r="S28" s="401">
        <v>112.99</v>
      </c>
      <c r="T28" s="402">
        <v>2201</v>
      </c>
      <c r="U28" s="401">
        <v>138.97999999999999</v>
      </c>
      <c r="V28" s="402">
        <v>728</v>
      </c>
      <c r="W28" s="401">
        <v>121.93</v>
      </c>
      <c r="X28" s="402">
        <v>79</v>
      </c>
      <c r="Y28" s="403">
        <v>0</v>
      </c>
      <c r="Z28" s="403">
        <v>12</v>
      </c>
      <c r="AA28" s="403">
        <v>3</v>
      </c>
      <c r="AB28" s="403">
        <v>22</v>
      </c>
      <c r="AC28" s="403">
        <v>10</v>
      </c>
      <c r="AD28" s="403">
        <v>9231</v>
      </c>
      <c r="AE28" s="403">
        <v>12</v>
      </c>
      <c r="AF28" s="403">
        <v>110</v>
      </c>
      <c r="AG28" s="403">
        <v>122</v>
      </c>
    </row>
    <row r="29" spans="1:33" x14ac:dyDescent="0.3">
      <c r="A29" s="396" t="s">
        <v>120</v>
      </c>
      <c r="B29" s="396" t="s">
        <v>121</v>
      </c>
      <c r="C29" s="403">
        <v>10902</v>
      </c>
      <c r="D29" s="403">
        <v>0</v>
      </c>
      <c r="E29" s="403">
        <v>419</v>
      </c>
      <c r="F29" s="403">
        <v>1114</v>
      </c>
      <c r="G29" s="403">
        <v>1375</v>
      </c>
      <c r="H29" s="400">
        <v>13810</v>
      </c>
      <c r="I29" s="400">
        <v>12435</v>
      </c>
      <c r="J29" s="403">
        <v>0</v>
      </c>
      <c r="K29" s="401">
        <v>99.52</v>
      </c>
      <c r="L29" s="401">
        <v>98.97</v>
      </c>
      <c r="M29" s="401">
        <v>8.6300000000000008</v>
      </c>
      <c r="N29" s="401">
        <v>105.61</v>
      </c>
      <c r="O29" s="402">
        <v>9148</v>
      </c>
      <c r="P29" s="401">
        <v>103.08</v>
      </c>
      <c r="Q29" s="401">
        <v>94.41</v>
      </c>
      <c r="R29" s="401">
        <v>52.78</v>
      </c>
      <c r="S29" s="401">
        <v>154.83000000000001</v>
      </c>
      <c r="T29" s="402">
        <v>1278</v>
      </c>
      <c r="U29" s="401">
        <v>136.6</v>
      </c>
      <c r="V29" s="402">
        <v>1456</v>
      </c>
      <c r="W29" s="401">
        <v>110.03</v>
      </c>
      <c r="X29" s="402">
        <v>5</v>
      </c>
      <c r="Y29" s="403">
        <v>16</v>
      </c>
      <c r="Z29" s="403">
        <v>3</v>
      </c>
      <c r="AA29" s="403">
        <v>5</v>
      </c>
      <c r="AB29" s="403">
        <v>118</v>
      </c>
      <c r="AC29" s="403">
        <v>19</v>
      </c>
      <c r="AD29" s="403">
        <v>10819</v>
      </c>
      <c r="AE29" s="403">
        <v>56</v>
      </c>
      <c r="AF29" s="403">
        <v>18</v>
      </c>
      <c r="AG29" s="403">
        <v>74</v>
      </c>
    </row>
    <row r="30" spans="1:33" x14ac:dyDescent="0.3">
      <c r="A30" s="396" t="s">
        <v>122</v>
      </c>
      <c r="B30" s="396" t="s">
        <v>123</v>
      </c>
      <c r="C30" s="403">
        <v>12120</v>
      </c>
      <c r="D30" s="403">
        <v>60</v>
      </c>
      <c r="E30" s="403">
        <v>158</v>
      </c>
      <c r="F30" s="403">
        <v>1302</v>
      </c>
      <c r="G30" s="403">
        <v>1345</v>
      </c>
      <c r="H30" s="400">
        <v>14985</v>
      </c>
      <c r="I30" s="400">
        <v>13640</v>
      </c>
      <c r="J30" s="403">
        <v>18</v>
      </c>
      <c r="K30" s="401">
        <v>112.22</v>
      </c>
      <c r="L30" s="401">
        <v>109.57</v>
      </c>
      <c r="M30" s="401">
        <v>12.24</v>
      </c>
      <c r="N30" s="401">
        <v>123.59</v>
      </c>
      <c r="O30" s="402">
        <v>9592</v>
      </c>
      <c r="P30" s="401">
        <v>98.35</v>
      </c>
      <c r="Q30" s="401">
        <v>94.11</v>
      </c>
      <c r="R30" s="401">
        <v>36.64</v>
      </c>
      <c r="S30" s="401">
        <v>134.35</v>
      </c>
      <c r="T30" s="402">
        <v>1319</v>
      </c>
      <c r="U30" s="401">
        <v>165.37</v>
      </c>
      <c r="V30" s="402">
        <v>1545</v>
      </c>
      <c r="W30" s="401">
        <v>0</v>
      </c>
      <c r="X30" s="402">
        <v>0</v>
      </c>
      <c r="Y30" s="403">
        <v>1</v>
      </c>
      <c r="Z30" s="403">
        <v>15</v>
      </c>
      <c r="AA30" s="403">
        <v>13</v>
      </c>
      <c r="AB30" s="403">
        <v>26</v>
      </c>
      <c r="AC30" s="403">
        <v>49</v>
      </c>
      <c r="AD30" s="403">
        <v>11267</v>
      </c>
      <c r="AE30" s="403">
        <v>164</v>
      </c>
      <c r="AF30" s="403">
        <v>46</v>
      </c>
      <c r="AG30" s="403">
        <v>210</v>
      </c>
    </row>
    <row r="31" spans="1:33" x14ac:dyDescent="0.3">
      <c r="A31" s="396" t="s">
        <v>124</v>
      </c>
      <c r="B31" s="396" t="s">
        <v>125</v>
      </c>
      <c r="C31" s="403">
        <v>33803</v>
      </c>
      <c r="D31" s="403">
        <v>836</v>
      </c>
      <c r="E31" s="403">
        <v>9396</v>
      </c>
      <c r="F31" s="403">
        <v>4476</v>
      </c>
      <c r="G31" s="403">
        <v>3038</v>
      </c>
      <c r="H31" s="400">
        <v>51549</v>
      </c>
      <c r="I31" s="400">
        <v>48511</v>
      </c>
      <c r="J31" s="403">
        <v>243</v>
      </c>
      <c r="K31" s="401">
        <v>93.74</v>
      </c>
      <c r="L31" s="401">
        <v>92.35</v>
      </c>
      <c r="M31" s="401">
        <v>8.32</v>
      </c>
      <c r="N31" s="401">
        <v>100.16</v>
      </c>
      <c r="O31" s="402">
        <v>30212</v>
      </c>
      <c r="P31" s="401">
        <v>85.78</v>
      </c>
      <c r="Q31" s="401">
        <v>80.540000000000006</v>
      </c>
      <c r="R31" s="401">
        <v>100.53</v>
      </c>
      <c r="S31" s="401">
        <v>185.5</v>
      </c>
      <c r="T31" s="402">
        <v>10478</v>
      </c>
      <c r="U31" s="401">
        <v>118.6</v>
      </c>
      <c r="V31" s="402">
        <v>1731</v>
      </c>
      <c r="W31" s="401">
        <v>183.32</v>
      </c>
      <c r="X31" s="402">
        <v>132</v>
      </c>
      <c r="Y31" s="403">
        <v>75</v>
      </c>
      <c r="Z31" s="403">
        <v>39</v>
      </c>
      <c r="AA31" s="403">
        <v>35</v>
      </c>
      <c r="AB31" s="403">
        <v>62</v>
      </c>
      <c r="AC31" s="403">
        <v>83</v>
      </c>
      <c r="AD31" s="403">
        <v>32407</v>
      </c>
      <c r="AE31" s="403">
        <v>167</v>
      </c>
      <c r="AF31" s="403">
        <v>82</v>
      </c>
      <c r="AG31" s="403">
        <v>249</v>
      </c>
    </row>
    <row r="32" spans="1:33" x14ac:dyDescent="0.3">
      <c r="A32" s="396" t="s">
        <v>126</v>
      </c>
      <c r="B32" s="396" t="s">
        <v>127</v>
      </c>
      <c r="C32" s="403">
        <v>2219</v>
      </c>
      <c r="D32" s="403">
        <v>0</v>
      </c>
      <c r="E32" s="403">
        <v>117</v>
      </c>
      <c r="F32" s="403">
        <v>1361</v>
      </c>
      <c r="G32" s="403">
        <v>412</v>
      </c>
      <c r="H32" s="400">
        <v>4109</v>
      </c>
      <c r="I32" s="400">
        <v>3697</v>
      </c>
      <c r="J32" s="403">
        <v>1</v>
      </c>
      <c r="K32" s="401">
        <v>87.79</v>
      </c>
      <c r="L32" s="401">
        <v>88.81</v>
      </c>
      <c r="M32" s="401">
        <v>4.67</v>
      </c>
      <c r="N32" s="401">
        <v>90.52</v>
      </c>
      <c r="O32" s="402">
        <v>1617</v>
      </c>
      <c r="P32" s="401">
        <v>76.47</v>
      </c>
      <c r="Q32" s="401">
        <v>75.239999999999995</v>
      </c>
      <c r="R32" s="401">
        <v>17.170000000000002</v>
      </c>
      <c r="S32" s="401">
        <v>93.5</v>
      </c>
      <c r="T32" s="402">
        <v>1361</v>
      </c>
      <c r="U32" s="401">
        <v>112.78</v>
      </c>
      <c r="V32" s="402">
        <v>512</v>
      </c>
      <c r="W32" s="401">
        <v>108.87</v>
      </c>
      <c r="X32" s="402">
        <v>112</v>
      </c>
      <c r="Y32" s="403">
        <v>0</v>
      </c>
      <c r="Z32" s="403">
        <v>4</v>
      </c>
      <c r="AA32" s="403">
        <v>3</v>
      </c>
      <c r="AB32" s="403">
        <v>7</v>
      </c>
      <c r="AC32" s="403">
        <v>7</v>
      </c>
      <c r="AD32" s="403">
        <v>2219</v>
      </c>
      <c r="AE32" s="403">
        <v>16</v>
      </c>
      <c r="AF32" s="403">
        <v>6</v>
      </c>
      <c r="AG32" s="403">
        <v>22</v>
      </c>
    </row>
    <row r="33" spans="1:33" x14ac:dyDescent="0.3">
      <c r="A33" s="396" t="s">
        <v>128</v>
      </c>
      <c r="B33" s="396" t="s">
        <v>129</v>
      </c>
      <c r="C33" s="403">
        <v>9942</v>
      </c>
      <c r="D33" s="403">
        <v>0</v>
      </c>
      <c r="E33" s="403">
        <v>534</v>
      </c>
      <c r="F33" s="403">
        <v>1093</v>
      </c>
      <c r="G33" s="403">
        <v>199</v>
      </c>
      <c r="H33" s="400">
        <v>11768</v>
      </c>
      <c r="I33" s="400">
        <v>11569</v>
      </c>
      <c r="J33" s="403">
        <v>1</v>
      </c>
      <c r="K33" s="401">
        <v>79.2</v>
      </c>
      <c r="L33" s="401">
        <v>75.709999999999994</v>
      </c>
      <c r="M33" s="401">
        <v>1.91</v>
      </c>
      <c r="N33" s="401">
        <v>80.89</v>
      </c>
      <c r="O33" s="402">
        <v>8411</v>
      </c>
      <c r="P33" s="401">
        <v>88.55</v>
      </c>
      <c r="Q33" s="401">
        <v>71.12</v>
      </c>
      <c r="R33" s="401">
        <v>60.03</v>
      </c>
      <c r="S33" s="401">
        <v>146.54</v>
      </c>
      <c r="T33" s="402">
        <v>1317</v>
      </c>
      <c r="U33" s="401">
        <v>96.95</v>
      </c>
      <c r="V33" s="402">
        <v>1449</v>
      </c>
      <c r="W33" s="401">
        <v>153.52000000000001</v>
      </c>
      <c r="X33" s="402">
        <v>215</v>
      </c>
      <c r="Y33" s="403">
        <v>0</v>
      </c>
      <c r="Z33" s="403">
        <v>42</v>
      </c>
      <c r="AA33" s="403">
        <v>2</v>
      </c>
      <c r="AB33" s="403">
        <v>1</v>
      </c>
      <c r="AC33" s="403">
        <v>5</v>
      </c>
      <c r="AD33" s="403">
        <v>9933</v>
      </c>
      <c r="AE33" s="403">
        <v>55</v>
      </c>
      <c r="AF33" s="403">
        <v>65</v>
      </c>
      <c r="AG33" s="403">
        <v>120</v>
      </c>
    </row>
    <row r="34" spans="1:33" x14ac:dyDescent="0.3">
      <c r="A34" s="396" t="s">
        <v>130</v>
      </c>
      <c r="B34" s="396" t="s">
        <v>131</v>
      </c>
      <c r="C34" s="403">
        <v>1772</v>
      </c>
      <c r="D34" s="403">
        <v>0</v>
      </c>
      <c r="E34" s="403">
        <v>490</v>
      </c>
      <c r="F34" s="403">
        <v>201</v>
      </c>
      <c r="G34" s="403">
        <v>148</v>
      </c>
      <c r="H34" s="400">
        <v>2611</v>
      </c>
      <c r="I34" s="400">
        <v>2463</v>
      </c>
      <c r="J34" s="403">
        <v>0</v>
      </c>
      <c r="K34" s="401">
        <v>86.95</v>
      </c>
      <c r="L34" s="401">
        <v>84.49</v>
      </c>
      <c r="M34" s="401">
        <v>4.6900000000000004</v>
      </c>
      <c r="N34" s="401">
        <v>90.65</v>
      </c>
      <c r="O34" s="402">
        <v>1191</v>
      </c>
      <c r="P34" s="401">
        <v>113.23</v>
      </c>
      <c r="Q34" s="401">
        <v>84.96</v>
      </c>
      <c r="R34" s="401">
        <v>71.41</v>
      </c>
      <c r="S34" s="401">
        <v>178.73</v>
      </c>
      <c r="T34" s="402">
        <v>605</v>
      </c>
      <c r="U34" s="401">
        <v>106.33</v>
      </c>
      <c r="V34" s="402">
        <v>460</v>
      </c>
      <c r="W34" s="401">
        <v>0</v>
      </c>
      <c r="X34" s="402">
        <v>0</v>
      </c>
      <c r="Y34" s="403">
        <v>0</v>
      </c>
      <c r="Z34" s="403">
        <v>4</v>
      </c>
      <c r="AA34" s="403">
        <v>0</v>
      </c>
      <c r="AB34" s="403">
        <v>0</v>
      </c>
      <c r="AC34" s="403">
        <v>2</v>
      </c>
      <c r="AD34" s="403">
        <v>1681</v>
      </c>
      <c r="AE34" s="403">
        <v>7</v>
      </c>
      <c r="AF34" s="403">
        <v>15</v>
      </c>
      <c r="AG34" s="403">
        <v>22</v>
      </c>
    </row>
    <row r="35" spans="1:33" x14ac:dyDescent="0.3">
      <c r="A35" s="396" t="s">
        <v>132</v>
      </c>
      <c r="B35" s="396" t="s">
        <v>133</v>
      </c>
      <c r="C35" s="403">
        <v>814</v>
      </c>
      <c r="D35" s="403">
        <v>0</v>
      </c>
      <c r="E35" s="403">
        <v>102</v>
      </c>
      <c r="F35" s="403">
        <v>261</v>
      </c>
      <c r="G35" s="403">
        <v>49</v>
      </c>
      <c r="H35" s="400">
        <v>1226</v>
      </c>
      <c r="I35" s="400">
        <v>1177</v>
      </c>
      <c r="J35" s="403">
        <v>0</v>
      </c>
      <c r="K35" s="401">
        <v>90.32</v>
      </c>
      <c r="L35" s="401">
        <v>88.49</v>
      </c>
      <c r="M35" s="401">
        <v>3.79</v>
      </c>
      <c r="N35" s="401">
        <v>92.61</v>
      </c>
      <c r="O35" s="402">
        <v>650</v>
      </c>
      <c r="P35" s="401">
        <v>103.04</v>
      </c>
      <c r="Q35" s="401">
        <v>86.91</v>
      </c>
      <c r="R35" s="401">
        <v>33.840000000000003</v>
      </c>
      <c r="S35" s="401">
        <v>134.05000000000001</v>
      </c>
      <c r="T35" s="402">
        <v>346</v>
      </c>
      <c r="U35" s="401">
        <v>93.92</v>
      </c>
      <c r="V35" s="402">
        <v>130</v>
      </c>
      <c r="W35" s="401">
        <v>0</v>
      </c>
      <c r="X35" s="402">
        <v>0</v>
      </c>
      <c r="Y35" s="403">
        <v>0</v>
      </c>
      <c r="Z35" s="403">
        <v>2</v>
      </c>
      <c r="AA35" s="403">
        <v>0</v>
      </c>
      <c r="AB35" s="403">
        <v>13</v>
      </c>
      <c r="AC35" s="403">
        <v>0</v>
      </c>
      <c r="AD35" s="403">
        <v>762</v>
      </c>
      <c r="AE35" s="403">
        <v>5</v>
      </c>
      <c r="AF35" s="403">
        <v>0</v>
      </c>
      <c r="AG35" s="403">
        <v>5</v>
      </c>
    </row>
    <row r="36" spans="1:33" x14ac:dyDescent="0.3">
      <c r="A36" s="396" t="s">
        <v>134</v>
      </c>
      <c r="B36" s="396" t="s">
        <v>135</v>
      </c>
      <c r="C36" s="403">
        <v>20520</v>
      </c>
      <c r="D36" s="403">
        <v>25</v>
      </c>
      <c r="E36" s="403">
        <v>859</v>
      </c>
      <c r="F36" s="403">
        <v>3995</v>
      </c>
      <c r="G36" s="403">
        <v>343</v>
      </c>
      <c r="H36" s="400">
        <v>25742</v>
      </c>
      <c r="I36" s="400">
        <v>25399</v>
      </c>
      <c r="J36" s="403">
        <v>73</v>
      </c>
      <c r="K36" s="401">
        <v>78.37</v>
      </c>
      <c r="L36" s="401">
        <v>79.680000000000007</v>
      </c>
      <c r="M36" s="401">
        <v>3.65</v>
      </c>
      <c r="N36" s="401">
        <v>81.67</v>
      </c>
      <c r="O36" s="402">
        <v>16983</v>
      </c>
      <c r="P36" s="401">
        <v>77.709999999999994</v>
      </c>
      <c r="Q36" s="401">
        <v>72.16</v>
      </c>
      <c r="R36" s="401">
        <v>35.79</v>
      </c>
      <c r="S36" s="401">
        <v>113.29</v>
      </c>
      <c r="T36" s="402">
        <v>4767</v>
      </c>
      <c r="U36" s="401">
        <v>97.15</v>
      </c>
      <c r="V36" s="402">
        <v>3280</v>
      </c>
      <c r="W36" s="401">
        <v>94.69</v>
      </c>
      <c r="X36" s="402">
        <v>1</v>
      </c>
      <c r="Y36" s="403">
        <v>0</v>
      </c>
      <c r="Z36" s="403">
        <v>113</v>
      </c>
      <c r="AA36" s="403">
        <v>2</v>
      </c>
      <c r="AB36" s="403">
        <v>14</v>
      </c>
      <c r="AC36" s="403">
        <v>7</v>
      </c>
      <c r="AD36" s="403">
        <v>20485</v>
      </c>
      <c r="AE36" s="403">
        <v>74</v>
      </c>
      <c r="AF36" s="403">
        <v>250</v>
      </c>
      <c r="AG36" s="403">
        <v>324</v>
      </c>
    </row>
    <row r="37" spans="1:33" x14ac:dyDescent="0.3">
      <c r="A37" s="396" t="s">
        <v>136</v>
      </c>
      <c r="B37" s="396" t="s">
        <v>137</v>
      </c>
      <c r="C37" s="403">
        <v>4774</v>
      </c>
      <c r="D37" s="403">
        <v>0</v>
      </c>
      <c r="E37" s="403">
        <v>172</v>
      </c>
      <c r="F37" s="403">
        <v>904</v>
      </c>
      <c r="G37" s="403">
        <v>361</v>
      </c>
      <c r="H37" s="400">
        <v>6211</v>
      </c>
      <c r="I37" s="400">
        <v>5850</v>
      </c>
      <c r="J37" s="403">
        <v>1</v>
      </c>
      <c r="K37" s="401">
        <v>80.819999999999993</v>
      </c>
      <c r="L37" s="401">
        <v>77.77</v>
      </c>
      <c r="M37" s="401">
        <v>2.14</v>
      </c>
      <c r="N37" s="401">
        <v>82.94</v>
      </c>
      <c r="O37" s="402">
        <v>4058</v>
      </c>
      <c r="P37" s="401">
        <v>79.53</v>
      </c>
      <c r="Q37" s="401">
        <v>72.12</v>
      </c>
      <c r="R37" s="401">
        <v>25.46</v>
      </c>
      <c r="S37" s="401">
        <v>104.99</v>
      </c>
      <c r="T37" s="402">
        <v>1026</v>
      </c>
      <c r="U37" s="401">
        <v>107.86</v>
      </c>
      <c r="V37" s="402">
        <v>555</v>
      </c>
      <c r="W37" s="401">
        <v>335.65</v>
      </c>
      <c r="X37" s="402">
        <v>6</v>
      </c>
      <c r="Y37" s="403">
        <v>0</v>
      </c>
      <c r="Z37" s="403">
        <v>13</v>
      </c>
      <c r="AA37" s="403">
        <v>0</v>
      </c>
      <c r="AB37" s="403">
        <v>33</v>
      </c>
      <c r="AC37" s="403">
        <v>6</v>
      </c>
      <c r="AD37" s="403">
        <v>4738</v>
      </c>
      <c r="AE37" s="403">
        <v>19</v>
      </c>
      <c r="AF37" s="403">
        <v>15</v>
      </c>
      <c r="AG37" s="403">
        <v>34</v>
      </c>
    </row>
    <row r="38" spans="1:33" x14ac:dyDescent="0.3">
      <c r="A38" s="396" t="s">
        <v>138</v>
      </c>
      <c r="B38" s="396" t="s">
        <v>139</v>
      </c>
      <c r="C38" s="403">
        <v>6868</v>
      </c>
      <c r="D38" s="403">
        <v>20</v>
      </c>
      <c r="E38" s="403">
        <v>1241</v>
      </c>
      <c r="F38" s="403">
        <v>975</v>
      </c>
      <c r="G38" s="403">
        <v>882</v>
      </c>
      <c r="H38" s="400">
        <v>9986</v>
      </c>
      <c r="I38" s="400">
        <v>9104</v>
      </c>
      <c r="J38" s="403">
        <v>20</v>
      </c>
      <c r="K38" s="401">
        <v>105.12</v>
      </c>
      <c r="L38" s="401">
        <v>103.01</v>
      </c>
      <c r="M38" s="401">
        <v>5.88</v>
      </c>
      <c r="N38" s="401">
        <v>109.28</v>
      </c>
      <c r="O38" s="402">
        <v>5846</v>
      </c>
      <c r="P38" s="401">
        <v>98.52</v>
      </c>
      <c r="Q38" s="401">
        <v>84.03</v>
      </c>
      <c r="R38" s="401">
        <v>49.68</v>
      </c>
      <c r="S38" s="401">
        <v>145.77000000000001</v>
      </c>
      <c r="T38" s="402">
        <v>1740</v>
      </c>
      <c r="U38" s="401">
        <v>146.06</v>
      </c>
      <c r="V38" s="402">
        <v>581</v>
      </c>
      <c r="W38" s="401">
        <v>343.62</v>
      </c>
      <c r="X38" s="402">
        <v>50</v>
      </c>
      <c r="Y38" s="403">
        <v>11</v>
      </c>
      <c r="Z38" s="403">
        <v>0</v>
      </c>
      <c r="AA38" s="403">
        <v>2</v>
      </c>
      <c r="AB38" s="403">
        <v>7</v>
      </c>
      <c r="AC38" s="403">
        <v>12</v>
      </c>
      <c r="AD38" s="403">
        <v>6431</v>
      </c>
      <c r="AE38" s="403">
        <v>36</v>
      </c>
      <c r="AF38" s="403">
        <v>34</v>
      </c>
      <c r="AG38" s="403">
        <v>70</v>
      </c>
    </row>
    <row r="39" spans="1:33" x14ac:dyDescent="0.3">
      <c r="A39" s="396" t="s">
        <v>140</v>
      </c>
      <c r="B39" s="396" t="s">
        <v>141</v>
      </c>
      <c r="C39" s="403">
        <v>7413</v>
      </c>
      <c r="D39" s="403">
        <v>0</v>
      </c>
      <c r="E39" s="403">
        <v>259</v>
      </c>
      <c r="F39" s="403">
        <v>545</v>
      </c>
      <c r="G39" s="403">
        <v>800</v>
      </c>
      <c r="H39" s="400">
        <v>9017</v>
      </c>
      <c r="I39" s="400">
        <v>8217</v>
      </c>
      <c r="J39" s="403">
        <v>22</v>
      </c>
      <c r="K39" s="401">
        <v>110.38</v>
      </c>
      <c r="L39" s="401">
        <v>110.04</v>
      </c>
      <c r="M39" s="401">
        <v>8.0299999999999994</v>
      </c>
      <c r="N39" s="401">
        <v>113.48</v>
      </c>
      <c r="O39" s="402">
        <v>6705</v>
      </c>
      <c r="P39" s="401">
        <v>99.4</v>
      </c>
      <c r="Q39" s="401">
        <v>97.67</v>
      </c>
      <c r="R39" s="401">
        <v>36.020000000000003</v>
      </c>
      <c r="S39" s="401">
        <v>133.87</v>
      </c>
      <c r="T39" s="402">
        <v>773</v>
      </c>
      <c r="U39" s="401">
        <v>167.26</v>
      </c>
      <c r="V39" s="402">
        <v>647</v>
      </c>
      <c r="W39" s="401">
        <v>0</v>
      </c>
      <c r="X39" s="402">
        <v>0</v>
      </c>
      <c r="Y39" s="403">
        <v>12</v>
      </c>
      <c r="Z39" s="403">
        <v>9</v>
      </c>
      <c r="AA39" s="403">
        <v>0</v>
      </c>
      <c r="AB39" s="403">
        <v>62</v>
      </c>
      <c r="AC39" s="403">
        <v>12</v>
      </c>
      <c r="AD39" s="403">
        <v>7401</v>
      </c>
      <c r="AE39" s="403">
        <v>29</v>
      </c>
      <c r="AF39" s="403">
        <v>170</v>
      </c>
      <c r="AG39" s="403">
        <v>199</v>
      </c>
    </row>
    <row r="40" spans="1:33" x14ac:dyDescent="0.3">
      <c r="A40" s="396" t="s">
        <v>142</v>
      </c>
      <c r="B40" s="396" t="s">
        <v>143</v>
      </c>
      <c r="C40" s="403">
        <v>26878</v>
      </c>
      <c r="D40" s="403">
        <v>0</v>
      </c>
      <c r="E40" s="403">
        <v>1808</v>
      </c>
      <c r="F40" s="403">
        <v>2846</v>
      </c>
      <c r="G40" s="403">
        <v>584</v>
      </c>
      <c r="H40" s="400">
        <v>32116</v>
      </c>
      <c r="I40" s="400">
        <v>31532</v>
      </c>
      <c r="J40" s="403">
        <v>2102</v>
      </c>
      <c r="K40" s="401">
        <v>79.72</v>
      </c>
      <c r="L40" s="401">
        <v>79.23</v>
      </c>
      <c r="M40" s="401">
        <v>5.34</v>
      </c>
      <c r="N40" s="401">
        <v>84.81</v>
      </c>
      <c r="O40" s="402">
        <v>23401</v>
      </c>
      <c r="P40" s="401">
        <v>85.11</v>
      </c>
      <c r="Q40" s="401">
        <v>75.959999999999994</v>
      </c>
      <c r="R40" s="401">
        <v>44.38</v>
      </c>
      <c r="S40" s="401">
        <v>128.26</v>
      </c>
      <c r="T40" s="402">
        <v>3651</v>
      </c>
      <c r="U40" s="401">
        <v>100.08</v>
      </c>
      <c r="V40" s="402">
        <v>3408</v>
      </c>
      <c r="W40" s="401">
        <v>154.87</v>
      </c>
      <c r="X40" s="402">
        <v>152</v>
      </c>
      <c r="Y40" s="403">
        <v>100</v>
      </c>
      <c r="Z40" s="403">
        <v>59</v>
      </c>
      <c r="AA40" s="403">
        <v>32</v>
      </c>
      <c r="AB40" s="403">
        <v>16</v>
      </c>
      <c r="AC40" s="403">
        <v>16</v>
      </c>
      <c r="AD40" s="403">
        <v>26860</v>
      </c>
      <c r="AE40" s="403">
        <v>306</v>
      </c>
      <c r="AF40" s="403">
        <v>189</v>
      </c>
      <c r="AG40" s="403">
        <v>495</v>
      </c>
    </row>
    <row r="41" spans="1:33" x14ac:dyDescent="0.3">
      <c r="A41" s="396" t="s">
        <v>144</v>
      </c>
      <c r="B41" s="396" t="s">
        <v>145</v>
      </c>
      <c r="C41" s="403">
        <v>9876</v>
      </c>
      <c r="D41" s="403">
        <v>0</v>
      </c>
      <c r="E41" s="403">
        <v>305</v>
      </c>
      <c r="F41" s="403">
        <v>701</v>
      </c>
      <c r="G41" s="403">
        <v>460</v>
      </c>
      <c r="H41" s="400">
        <v>11342</v>
      </c>
      <c r="I41" s="400">
        <v>10882</v>
      </c>
      <c r="J41" s="403">
        <v>0</v>
      </c>
      <c r="K41" s="401">
        <v>97.4</v>
      </c>
      <c r="L41" s="401">
        <v>97.59</v>
      </c>
      <c r="M41" s="401">
        <v>4.08</v>
      </c>
      <c r="N41" s="401">
        <v>98.53</v>
      </c>
      <c r="O41" s="402">
        <v>8725</v>
      </c>
      <c r="P41" s="401">
        <v>90</v>
      </c>
      <c r="Q41" s="401">
        <v>85.75</v>
      </c>
      <c r="R41" s="401">
        <v>44.84</v>
      </c>
      <c r="S41" s="401">
        <v>133.66999999999999</v>
      </c>
      <c r="T41" s="402">
        <v>842</v>
      </c>
      <c r="U41" s="401">
        <v>142.29</v>
      </c>
      <c r="V41" s="402">
        <v>1058</v>
      </c>
      <c r="W41" s="401">
        <v>157.13</v>
      </c>
      <c r="X41" s="402">
        <v>24</v>
      </c>
      <c r="Y41" s="403">
        <v>10</v>
      </c>
      <c r="Z41" s="403">
        <v>10</v>
      </c>
      <c r="AA41" s="403">
        <v>1</v>
      </c>
      <c r="AB41" s="403">
        <v>75</v>
      </c>
      <c r="AC41" s="403">
        <v>5</v>
      </c>
      <c r="AD41" s="403">
        <v>9864</v>
      </c>
      <c r="AE41" s="403">
        <v>22</v>
      </c>
      <c r="AF41" s="403">
        <v>65</v>
      </c>
      <c r="AG41" s="403">
        <v>87</v>
      </c>
    </row>
    <row r="42" spans="1:33" x14ac:dyDescent="0.3">
      <c r="A42" s="396" t="s">
        <v>146</v>
      </c>
      <c r="B42" s="396" t="s">
        <v>147</v>
      </c>
      <c r="C42" s="403">
        <v>7486</v>
      </c>
      <c r="D42" s="403">
        <v>0</v>
      </c>
      <c r="E42" s="403">
        <v>179</v>
      </c>
      <c r="F42" s="403">
        <v>975</v>
      </c>
      <c r="G42" s="403">
        <v>313</v>
      </c>
      <c r="H42" s="400">
        <v>8953</v>
      </c>
      <c r="I42" s="400">
        <v>8640</v>
      </c>
      <c r="J42" s="403">
        <v>0</v>
      </c>
      <c r="K42" s="401">
        <v>89.64</v>
      </c>
      <c r="L42" s="401">
        <v>89.79</v>
      </c>
      <c r="M42" s="401">
        <v>3.25</v>
      </c>
      <c r="N42" s="401">
        <v>90.57</v>
      </c>
      <c r="O42" s="402">
        <v>6742</v>
      </c>
      <c r="P42" s="401">
        <v>82</v>
      </c>
      <c r="Q42" s="401">
        <v>79.180000000000007</v>
      </c>
      <c r="R42" s="401">
        <v>22.44</v>
      </c>
      <c r="S42" s="401">
        <v>104.02</v>
      </c>
      <c r="T42" s="402">
        <v>1112</v>
      </c>
      <c r="U42" s="401">
        <v>114.61</v>
      </c>
      <c r="V42" s="402">
        <v>732</v>
      </c>
      <c r="W42" s="401">
        <v>0</v>
      </c>
      <c r="X42" s="402">
        <v>0</v>
      </c>
      <c r="Y42" s="403">
        <v>36</v>
      </c>
      <c r="Z42" s="403">
        <v>5</v>
      </c>
      <c r="AA42" s="403">
        <v>9</v>
      </c>
      <c r="AB42" s="403">
        <v>28</v>
      </c>
      <c r="AC42" s="403">
        <v>7</v>
      </c>
      <c r="AD42" s="403">
        <v>7486</v>
      </c>
      <c r="AE42" s="403">
        <v>39</v>
      </c>
      <c r="AF42" s="403">
        <v>41</v>
      </c>
      <c r="AG42" s="403">
        <v>80</v>
      </c>
    </row>
    <row r="43" spans="1:33" x14ac:dyDescent="0.3">
      <c r="A43" s="396" t="s">
        <v>148</v>
      </c>
      <c r="B43" s="396" t="s">
        <v>149</v>
      </c>
      <c r="C43" s="403">
        <v>16493</v>
      </c>
      <c r="D43" s="403">
        <v>171</v>
      </c>
      <c r="E43" s="403">
        <v>1038</v>
      </c>
      <c r="F43" s="403">
        <v>1072</v>
      </c>
      <c r="G43" s="403">
        <v>2207</v>
      </c>
      <c r="H43" s="400">
        <v>20981</v>
      </c>
      <c r="I43" s="400">
        <v>18774</v>
      </c>
      <c r="J43" s="403">
        <v>43</v>
      </c>
      <c r="K43" s="401">
        <v>127.79</v>
      </c>
      <c r="L43" s="401">
        <v>130.30000000000001</v>
      </c>
      <c r="M43" s="401">
        <v>11.31</v>
      </c>
      <c r="N43" s="401">
        <v>135.86000000000001</v>
      </c>
      <c r="O43" s="402">
        <v>11794</v>
      </c>
      <c r="P43" s="401">
        <v>116.94</v>
      </c>
      <c r="Q43" s="401">
        <v>98.59</v>
      </c>
      <c r="R43" s="401">
        <v>54.14</v>
      </c>
      <c r="S43" s="401">
        <v>161.74</v>
      </c>
      <c r="T43" s="402">
        <v>1772</v>
      </c>
      <c r="U43" s="401">
        <v>225.14</v>
      </c>
      <c r="V43" s="402">
        <v>1954</v>
      </c>
      <c r="W43" s="401">
        <v>208.69</v>
      </c>
      <c r="X43" s="402">
        <v>139</v>
      </c>
      <c r="Y43" s="403">
        <v>0</v>
      </c>
      <c r="Z43" s="403">
        <v>1</v>
      </c>
      <c r="AA43" s="403">
        <v>22</v>
      </c>
      <c r="AB43" s="403">
        <v>105</v>
      </c>
      <c r="AC43" s="403">
        <v>77</v>
      </c>
      <c r="AD43" s="403">
        <v>14644</v>
      </c>
      <c r="AE43" s="403">
        <v>270</v>
      </c>
      <c r="AF43" s="403">
        <v>26</v>
      </c>
      <c r="AG43" s="403">
        <v>296</v>
      </c>
    </row>
    <row r="44" spans="1:33" x14ac:dyDescent="0.3">
      <c r="A44" s="396" t="s">
        <v>150</v>
      </c>
      <c r="B44" s="396" t="s">
        <v>151</v>
      </c>
      <c r="C44" s="403">
        <v>851</v>
      </c>
      <c r="D44" s="403">
        <v>7</v>
      </c>
      <c r="E44" s="403">
        <v>79</v>
      </c>
      <c r="F44" s="403">
        <v>168</v>
      </c>
      <c r="G44" s="403">
        <v>200</v>
      </c>
      <c r="H44" s="400">
        <v>1305</v>
      </c>
      <c r="I44" s="400">
        <v>1105</v>
      </c>
      <c r="J44" s="403">
        <v>0</v>
      </c>
      <c r="K44" s="401">
        <v>118.82</v>
      </c>
      <c r="L44" s="401">
        <v>116.83</v>
      </c>
      <c r="M44" s="401">
        <v>8.8699999999999992</v>
      </c>
      <c r="N44" s="401">
        <v>127.05</v>
      </c>
      <c r="O44" s="402">
        <v>512</v>
      </c>
      <c r="P44" s="401">
        <v>99.64</v>
      </c>
      <c r="Q44" s="401">
        <v>95.78</v>
      </c>
      <c r="R44" s="401">
        <v>52.76</v>
      </c>
      <c r="S44" s="401">
        <v>152.16999999999999</v>
      </c>
      <c r="T44" s="402">
        <v>241</v>
      </c>
      <c r="U44" s="401">
        <v>146.38999999999999</v>
      </c>
      <c r="V44" s="402">
        <v>109</v>
      </c>
      <c r="W44" s="401">
        <v>0</v>
      </c>
      <c r="X44" s="402">
        <v>0</v>
      </c>
      <c r="Y44" s="403">
        <v>3</v>
      </c>
      <c r="Z44" s="403">
        <v>0</v>
      </c>
      <c r="AA44" s="403">
        <v>0</v>
      </c>
      <c r="AB44" s="403">
        <v>0</v>
      </c>
      <c r="AC44" s="403">
        <v>3</v>
      </c>
      <c r="AD44" s="403">
        <v>624</v>
      </c>
      <c r="AE44" s="403">
        <v>5</v>
      </c>
      <c r="AF44" s="403">
        <v>0</v>
      </c>
      <c r="AG44" s="403">
        <v>5</v>
      </c>
    </row>
    <row r="45" spans="1:33" x14ac:dyDescent="0.3">
      <c r="A45" s="396" t="s">
        <v>152</v>
      </c>
      <c r="B45" s="396" t="s">
        <v>153</v>
      </c>
      <c r="C45" s="403">
        <v>4689</v>
      </c>
      <c r="D45" s="403">
        <v>16</v>
      </c>
      <c r="E45" s="403">
        <v>1007</v>
      </c>
      <c r="F45" s="403">
        <v>953</v>
      </c>
      <c r="G45" s="403">
        <v>885</v>
      </c>
      <c r="H45" s="400">
        <v>7550</v>
      </c>
      <c r="I45" s="400">
        <v>6665</v>
      </c>
      <c r="J45" s="403">
        <v>68</v>
      </c>
      <c r="K45" s="401">
        <v>96.87</v>
      </c>
      <c r="L45" s="401">
        <v>94.4</v>
      </c>
      <c r="M45" s="401">
        <v>9.6300000000000008</v>
      </c>
      <c r="N45" s="401">
        <v>104.61</v>
      </c>
      <c r="O45" s="402">
        <v>3781</v>
      </c>
      <c r="P45" s="401">
        <v>94.3</v>
      </c>
      <c r="Q45" s="401">
        <v>82.94</v>
      </c>
      <c r="R45" s="401">
        <v>67.180000000000007</v>
      </c>
      <c r="S45" s="401">
        <v>158.49</v>
      </c>
      <c r="T45" s="402">
        <v>1193</v>
      </c>
      <c r="U45" s="401">
        <v>164.62</v>
      </c>
      <c r="V45" s="402">
        <v>455</v>
      </c>
      <c r="W45" s="401">
        <v>149.86000000000001</v>
      </c>
      <c r="X45" s="402">
        <v>26</v>
      </c>
      <c r="Y45" s="403">
        <v>21</v>
      </c>
      <c r="Z45" s="403">
        <v>0</v>
      </c>
      <c r="AA45" s="403">
        <v>3</v>
      </c>
      <c r="AB45" s="403">
        <v>30</v>
      </c>
      <c r="AC45" s="403">
        <v>34</v>
      </c>
      <c r="AD45" s="403">
        <v>4293</v>
      </c>
      <c r="AE45" s="403">
        <v>37</v>
      </c>
      <c r="AF45" s="403">
        <v>30</v>
      </c>
      <c r="AG45" s="403">
        <v>67</v>
      </c>
    </row>
    <row r="46" spans="1:33" x14ac:dyDescent="0.3">
      <c r="A46" s="396" t="s">
        <v>154</v>
      </c>
      <c r="B46" s="396" t="s">
        <v>155</v>
      </c>
      <c r="C46" s="403">
        <v>8851</v>
      </c>
      <c r="D46" s="403">
        <v>41</v>
      </c>
      <c r="E46" s="403">
        <v>2711</v>
      </c>
      <c r="F46" s="403">
        <v>1039</v>
      </c>
      <c r="G46" s="403">
        <v>1423</v>
      </c>
      <c r="H46" s="400">
        <v>14065</v>
      </c>
      <c r="I46" s="400">
        <v>12642</v>
      </c>
      <c r="J46" s="403">
        <v>94</v>
      </c>
      <c r="K46" s="401">
        <v>98.27</v>
      </c>
      <c r="L46" s="401">
        <v>96.98</v>
      </c>
      <c r="M46" s="401">
        <v>9.9700000000000006</v>
      </c>
      <c r="N46" s="401">
        <v>105.34</v>
      </c>
      <c r="O46" s="402">
        <v>7054</v>
      </c>
      <c r="P46" s="401">
        <v>90.57</v>
      </c>
      <c r="Q46" s="401">
        <v>89.66</v>
      </c>
      <c r="R46" s="401">
        <v>41.22</v>
      </c>
      <c r="S46" s="401">
        <v>130.06</v>
      </c>
      <c r="T46" s="402">
        <v>3071</v>
      </c>
      <c r="U46" s="401">
        <v>137.71</v>
      </c>
      <c r="V46" s="402">
        <v>1181</v>
      </c>
      <c r="W46" s="401">
        <v>143.13999999999999</v>
      </c>
      <c r="X46" s="402">
        <v>65</v>
      </c>
      <c r="Y46" s="403">
        <v>5</v>
      </c>
      <c r="Z46" s="403">
        <v>4</v>
      </c>
      <c r="AA46" s="403">
        <v>4</v>
      </c>
      <c r="AB46" s="403">
        <v>57</v>
      </c>
      <c r="AC46" s="403">
        <v>36</v>
      </c>
      <c r="AD46" s="403">
        <v>8450</v>
      </c>
      <c r="AE46" s="403">
        <v>42</v>
      </c>
      <c r="AF46" s="403">
        <v>32</v>
      </c>
      <c r="AG46" s="403">
        <v>74</v>
      </c>
    </row>
    <row r="47" spans="1:33" x14ac:dyDescent="0.3">
      <c r="A47" s="396" t="s">
        <v>156</v>
      </c>
      <c r="B47" s="396" t="s">
        <v>157</v>
      </c>
      <c r="C47" s="403">
        <v>4992</v>
      </c>
      <c r="D47" s="403">
        <v>0</v>
      </c>
      <c r="E47" s="403">
        <v>145</v>
      </c>
      <c r="F47" s="403">
        <v>559</v>
      </c>
      <c r="G47" s="403">
        <v>423</v>
      </c>
      <c r="H47" s="400">
        <v>6119</v>
      </c>
      <c r="I47" s="400">
        <v>5696</v>
      </c>
      <c r="J47" s="403">
        <v>0</v>
      </c>
      <c r="K47" s="401">
        <v>93.18</v>
      </c>
      <c r="L47" s="401">
        <v>90.02</v>
      </c>
      <c r="M47" s="401">
        <v>2.5099999999999998</v>
      </c>
      <c r="N47" s="401">
        <v>94.87</v>
      </c>
      <c r="O47" s="402">
        <v>3698</v>
      </c>
      <c r="P47" s="401">
        <v>91.2</v>
      </c>
      <c r="Q47" s="401">
        <v>79.59</v>
      </c>
      <c r="R47" s="401">
        <v>32.51</v>
      </c>
      <c r="S47" s="401">
        <v>123.61</v>
      </c>
      <c r="T47" s="402">
        <v>702</v>
      </c>
      <c r="U47" s="401">
        <v>113.11</v>
      </c>
      <c r="V47" s="402">
        <v>1143</v>
      </c>
      <c r="W47" s="401">
        <v>0</v>
      </c>
      <c r="X47" s="402">
        <v>0</v>
      </c>
      <c r="Y47" s="403">
        <v>44</v>
      </c>
      <c r="Z47" s="403">
        <v>4</v>
      </c>
      <c r="AA47" s="403">
        <v>4</v>
      </c>
      <c r="AB47" s="403">
        <v>34</v>
      </c>
      <c r="AC47" s="403">
        <v>3</v>
      </c>
      <c r="AD47" s="403">
        <v>4992</v>
      </c>
      <c r="AE47" s="403">
        <v>35</v>
      </c>
      <c r="AF47" s="403">
        <v>25</v>
      </c>
      <c r="AG47" s="403">
        <v>60</v>
      </c>
    </row>
    <row r="48" spans="1:33" x14ac:dyDescent="0.3">
      <c r="A48" s="396" t="s">
        <v>158</v>
      </c>
      <c r="B48" s="396" t="s">
        <v>159</v>
      </c>
      <c r="C48" s="403">
        <v>16202</v>
      </c>
      <c r="D48" s="403">
        <v>108</v>
      </c>
      <c r="E48" s="403">
        <v>600</v>
      </c>
      <c r="F48" s="403">
        <v>2012</v>
      </c>
      <c r="G48" s="403">
        <v>1221</v>
      </c>
      <c r="H48" s="400">
        <v>20143</v>
      </c>
      <c r="I48" s="400">
        <v>18922</v>
      </c>
      <c r="J48" s="403">
        <v>21</v>
      </c>
      <c r="K48" s="401">
        <v>116.32</v>
      </c>
      <c r="L48" s="401">
        <v>112.21</v>
      </c>
      <c r="M48" s="401">
        <v>11.1</v>
      </c>
      <c r="N48" s="401">
        <v>122.78</v>
      </c>
      <c r="O48" s="402">
        <v>13350</v>
      </c>
      <c r="P48" s="401">
        <v>112.3</v>
      </c>
      <c r="Q48" s="401">
        <v>100.32</v>
      </c>
      <c r="R48" s="401">
        <v>52.08</v>
      </c>
      <c r="S48" s="401">
        <v>163.71</v>
      </c>
      <c r="T48" s="402">
        <v>2085</v>
      </c>
      <c r="U48" s="401">
        <v>177.19</v>
      </c>
      <c r="V48" s="402">
        <v>1800</v>
      </c>
      <c r="W48" s="401">
        <v>0</v>
      </c>
      <c r="X48" s="402">
        <v>0</v>
      </c>
      <c r="Y48" s="403">
        <v>13</v>
      </c>
      <c r="Z48" s="403">
        <v>5</v>
      </c>
      <c r="AA48" s="403">
        <v>31</v>
      </c>
      <c r="AB48" s="403">
        <v>46</v>
      </c>
      <c r="AC48" s="403">
        <v>36</v>
      </c>
      <c r="AD48" s="403">
        <v>15361</v>
      </c>
      <c r="AE48" s="403">
        <v>145</v>
      </c>
      <c r="AF48" s="403">
        <v>79</v>
      </c>
      <c r="AG48" s="403">
        <v>224</v>
      </c>
    </row>
    <row r="49" spans="1:33" x14ac:dyDescent="0.3">
      <c r="A49" s="396" t="s">
        <v>160</v>
      </c>
      <c r="B49" s="396" t="s">
        <v>161</v>
      </c>
      <c r="C49" s="403">
        <v>3473</v>
      </c>
      <c r="D49" s="403">
        <v>0</v>
      </c>
      <c r="E49" s="403">
        <v>93</v>
      </c>
      <c r="F49" s="403">
        <v>1002</v>
      </c>
      <c r="G49" s="403">
        <v>452</v>
      </c>
      <c r="H49" s="400">
        <v>5020</v>
      </c>
      <c r="I49" s="400">
        <v>4568</v>
      </c>
      <c r="J49" s="403">
        <v>0</v>
      </c>
      <c r="K49" s="401">
        <v>92.8</v>
      </c>
      <c r="L49" s="401">
        <v>92.59</v>
      </c>
      <c r="M49" s="401">
        <v>4.7699999999999996</v>
      </c>
      <c r="N49" s="401">
        <v>95.66</v>
      </c>
      <c r="O49" s="402">
        <v>3096</v>
      </c>
      <c r="P49" s="401">
        <v>86.57</v>
      </c>
      <c r="Q49" s="401">
        <v>85.9</v>
      </c>
      <c r="R49" s="401">
        <v>25.83</v>
      </c>
      <c r="S49" s="401">
        <v>112.13</v>
      </c>
      <c r="T49" s="402">
        <v>1053</v>
      </c>
      <c r="U49" s="401">
        <v>117.04</v>
      </c>
      <c r="V49" s="402">
        <v>336</v>
      </c>
      <c r="W49" s="401">
        <v>0</v>
      </c>
      <c r="X49" s="402">
        <v>0</v>
      </c>
      <c r="Y49" s="403">
        <v>0</v>
      </c>
      <c r="Z49" s="403">
        <v>6</v>
      </c>
      <c r="AA49" s="403">
        <v>1</v>
      </c>
      <c r="AB49" s="403">
        <v>11</v>
      </c>
      <c r="AC49" s="403">
        <v>8</v>
      </c>
      <c r="AD49" s="403">
        <v>3473</v>
      </c>
      <c r="AE49" s="403">
        <v>10</v>
      </c>
      <c r="AF49" s="403">
        <v>22</v>
      </c>
      <c r="AG49" s="403">
        <v>32</v>
      </c>
    </row>
    <row r="50" spans="1:33" x14ac:dyDescent="0.3">
      <c r="A50" s="396" t="s">
        <v>162</v>
      </c>
      <c r="B50" s="396" t="s">
        <v>163</v>
      </c>
      <c r="C50" s="403">
        <v>4764</v>
      </c>
      <c r="D50" s="403">
        <v>0</v>
      </c>
      <c r="E50" s="403">
        <v>103</v>
      </c>
      <c r="F50" s="403">
        <v>378</v>
      </c>
      <c r="G50" s="403">
        <v>377</v>
      </c>
      <c r="H50" s="400">
        <v>5622</v>
      </c>
      <c r="I50" s="400">
        <v>5245</v>
      </c>
      <c r="J50" s="403">
        <v>0</v>
      </c>
      <c r="K50" s="401">
        <v>114.58</v>
      </c>
      <c r="L50" s="401">
        <v>112.39</v>
      </c>
      <c r="M50" s="401">
        <v>8.2200000000000006</v>
      </c>
      <c r="N50" s="401">
        <v>119.61</v>
      </c>
      <c r="O50" s="402">
        <v>3912</v>
      </c>
      <c r="P50" s="401">
        <v>101.75</v>
      </c>
      <c r="Q50" s="401">
        <v>93.44</v>
      </c>
      <c r="R50" s="401">
        <v>36.299999999999997</v>
      </c>
      <c r="S50" s="401">
        <v>137.66</v>
      </c>
      <c r="T50" s="402">
        <v>481</v>
      </c>
      <c r="U50" s="401">
        <v>172.73</v>
      </c>
      <c r="V50" s="402">
        <v>827</v>
      </c>
      <c r="W50" s="401">
        <v>0</v>
      </c>
      <c r="X50" s="402">
        <v>0</v>
      </c>
      <c r="Y50" s="403">
        <v>0</v>
      </c>
      <c r="Z50" s="403">
        <v>7</v>
      </c>
      <c r="AA50" s="403">
        <v>0</v>
      </c>
      <c r="AB50" s="403">
        <v>8</v>
      </c>
      <c r="AC50" s="403">
        <v>13</v>
      </c>
      <c r="AD50" s="403">
        <v>4764</v>
      </c>
      <c r="AE50" s="403">
        <v>19</v>
      </c>
      <c r="AF50" s="403">
        <v>7</v>
      </c>
      <c r="AG50" s="403">
        <v>26</v>
      </c>
    </row>
    <row r="51" spans="1:33" x14ac:dyDescent="0.3">
      <c r="A51" s="396" t="s">
        <v>164</v>
      </c>
      <c r="B51" s="396" t="s">
        <v>165</v>
      </c>
      <c r="C51" s="403">
        <v>1096</v>
      </c>
      <c r="D51" s="403">
        <v>0</v>
      </c>
      <c r="E51" s="403">
        <v>121</v>
      </c>
      <c r="F51" s="403">
        <v>108</v>
      </c>
      <c r="G51" s="403">
        <v>119</v>
      </c>
      <c r="H51" s="400">
        <v>1444</v>
      </c>
      <c r="I51" s="400">
        <v>1325</v>
      </c>
      <c r="J51" s="403">
        <v>9</v>
      </c>
      <c r="K51" s="401">
        <v>81.2</v>
      </c>
      <c r="L51" s="401">
        <v>78.83</v>
      </c>
      <c r="M51" s="401">
        <v>7.51</v>
      </c>
      <c r="N51" s="401">
        <v>87.52</v>
      </c>
      <c r="O51" s="402">
        <v>904</v>
      </c>
      <c r="P51" s="401">
        <v>99.03</v>
      </c>
      <c r="Q51" s="401">
        <v>71.64</v>
      </c>
      <c r="R51" s="401">
        <v>65.34</v>
      </c>
      <c r="S51" s="401">
        <v>164.05</v>
      </c>
      <c r="T51" s="402">
        <v>202</v>
      </c>
      <c r="U51" s="401">
        <v>98.6</v>
      </c>
      <c r="V51" s="402">
        <v>179</v>
      </c>
      <c r="W51" s="401">
        <v>201.67</v>
      </c>
      <c r="X51" s="402">
        <v>27</v>
      </c>
      <c r="Y51" s="403">
        <v>0</v>
      </c>
      <c r="Z51" s="403">
        <v>2</v>
      </c>
      <c r="AA51" s="403">
        <v>3</v>
      </c>
      <c r="AB51" s="403">
        <v>12</v>
      </c>
      <c r="AC51" s="403">
        <v>3</v>
      </c>
      <c r="AD51" s="403">
        <v>1096</v>
      </c>
      <c r="AE51" s="403">
        <v>1</v>
      </c>
      <c r="AF51" s="403">
        <v>1</v>
      </c>
      <c r="AG51" s="403">
        <v>2</v>
      </c>
    </row>
    <row r="52" spans="1:33" x14ac:dyDescent="0.3">
      <c r="A52" s="396" t="s">
        <v>779</v>
      </c>
      <c r="B52" s="396" t="s">
        <v>774</v>
      </c>
      <c r="C52" s="403">
        <v>25238</v>
      </c>
      <c r="D52" s="403">
        <v>3</v>
      </c>
      <c r="E52" s="403">
        <v>988</v>
      </c>
      <c r="F52" s="403">
        <v>3268</v>
      </c>
      <c r="G52" s="403">
        <v>2496</v>
      </c>
      <c r="H52" s="400">
        <v>31993</v>
      </c>
      <c r="I52" s="400">
        <v>29497</v>
      </c>
      <c r="J52" s="403">
        <v>172</v>
      </c>
      <c r="K52" s="401">
        <v>111.74</v>
      </c>
      <c r="L52" s="401">
        <v>111.41</v>
      </c>
      <c r="M52" s="401">
        <v>5.25</v>
      </c>
      <c r="N52" s="401">
        <v>115.16</v>
      </c>
      <c r="O52" s="402">
        <v>20898</v>
      </c>
      <c r="P52" s="401">
        <v>105.62</v>
      </c>
      <c r="Q52" s="401">
        <v>100.24</v>
      </c>
      <c r="R52" s="401">
        <v>30.13</v>
      </c>
      <c r="S52" s="401">
        <v>133.68</v>
      </c>
      <c r="T52" s="402">
        <v>3839</v>
      </c>
      <c r="U52" s="401">
        <v>165.94</v>
      </c>
      <c r="V52" s="402">
        <v>3739</v>
      </c>
      <c r="W52" s="401">
        <v>154.24</v>
      </c>
      <c r="X52" s="402">
        <v>58</v>
      </c>
      <c r="Y52" s="403">
        <v>645</v>
      </c>
      <c r="Z52" s="403">
        <v>40</v>
      </c>
      <c r="AA52" s="403">
        <v>12</v>
      </c>
      <c r="AB52" s="403">
        <v>136</v>
      </c>
      <c r="AC52" s="403">
        <v>71</v>
      </c>
      <c r="AD52" s="403">
        <v>24888</v>
      </c>
      <c r="AE52" s="403">
        <v>197</v>
      </c>
      <c r="AF52" s="403">
        <v>225</v>
      </c>
      <c r="AG52" s="403">
        <v>422</v>
      </c>
    </row>
    <row r="53" spans="1:33" x14ac:dyDescent="0.3">
      <c r="A53" s="396" t="s">
        <v>166</v>
      </c>
      <c r="B53" s="396" t="s">
        <v>167</v>
      </c>
      <c r="C53" s="403">
        <v>4606</v>
      </c>
      <c r="D53" s="403">
        <v>0</v>
      </c>
      <c r="E53" s="403">
        <v>359</v>
      </c>
      <c r="F53" s="403">
        <v>1444</v>
      </c>
      <c r="G53" s="403">
        <v>22</v>
      </c>
      <c r="H53" s="400">
        <v>6431</v>
      </c>
      <c r="I53" s="400">
        <v>6409</v>
      </c>
      <c r="J53" s="403">
        <v>4</v>
      </c>
      <c r="K53" s="401">
        <v>81.47</v>
      </c>
      <c r="L53" s="401">
        <v>79.23</v>
      </c>
      <c r="M53" s="401">
        <v>2.69</v>
      </c>
      <c r="N53" s="401">
        <v>83.93</v>
      </c>
      <c r="O53" s="402">
        <v>3827</v>
      </c>
      <c r="P53" s="401">
        <v>80.56</v>
      </c>
      <c r="Q53" s="401">
        <v>70.77</v>
      </c>
      <c r="R53" s="401">
        <v>36.96</v>
      </c>
      <c r="S53" s="401">
        <v>117.2</v>
      </c>
      <c r="T53" s="402">
        <v>1618</v>
      </c>
      <c r="U53" s="401">
        <v>97.08</v>
      </c>
      <c r="V53" s="402">
        <v>740</v>
      </c>
      <c r="W53" s="401">
        <v>266.41000000000003</v>
      </c>
      <c r="X53" s="402">
        <v>100</v>
      </c>
      <c r="Y53" s="403">
        <v>1</v>
      </c>
      <c r="Z53" s="403">
        <v>20</v>
      </c>
      <c r="AA53" s="403">
        <v>21</v>
      </c>
      <c r="AB53" s="403">
        <v>3</v>
      </c>
      <c r="AC53" s="403">
        <v>0</v>
      </c>
      <c r="AD53" s="403">
        <v>4573</v>
      </c>
      <c r="AE53" s="403">
        <v>47</v>
      </c>
      <c r="AF53" s="403">
        <v>12</v>
      </c>
      <c r="AG53" s="403">
        <v>59</v>
      </c>
    </row>
    <row r="54" spans="1:33" x14ac:dyDescent="0.3">
      <c r="A54" s="396" t="s">
        <v>168</v>
      </c>
      <c r="B54" s="396" t="s">
        <v>169</v>
      </c>
      <c r="C54" s="403">
        <v>3788</v>
      </c>
      <c r="D54" s="403">
        <v>0</v>
      </c>
      <c r="E54" s="403">
        <v>511</v>
      </c>
      <c r="F54" s="403">
        <v>588</v>
      </c>
      <c r="G54" s="403">
        <v>141</v>
      </c>
      <c r="H54" s="400">
        <v>5028</v>
      </c>
      <c r="I54" s="400">
        <v>4887</v>
      </c>
      <c r="J54" s="403">
        <v>0</v>
      </c>
      <c r="K54" s="401">
        <v>82.65</v>
      </c>
      <c r="L54" s="401">
        <v>81.05</v>
      </c>
      <c r="M54" s="401">
        <v>5.56</v>
      </c>
      <c r="N54" s="401">
        <v>86.08</v>
      </c>
      <c r="O54" s="402">
        <v>3024</v>
      </c>
      <c r="P54" s="401">
        <v>89.94</v>
      </c>
      <c r="Q54" s="401">
        <v>76.739999999999995</v>
      </c>
      <c r="R54" s="401">
        <v>48.99</v>
      </c>
      <c r="S54" s="401">
        <v>133.62</v>
      </c>
      <c r="T54" s="402">
        <v>821</v>
      </c>
      <c r="U54" s="401">
        <v>105.08</v>
      </c>
      <c r="V54" s="402">
        <v>507</v>
      </c>
      <c r="W54" s="401">
        <v>125.98</v>
      </c>
      <c r="X54" s="402">
        <v>17</v>
      </c>
      <c r="Y54" s="403">
        <v>4</v>
      </c>
      <c r="Z54" s="403">
        <v>4</v>
      </c>
      <c r="AA54" s="403">
        <v>0</v>
      </c>
      <c r="AB54" s="403">
        <v>0</v>
      </c>
      <c r="AC54" s="403">
        <v>3</v>
      </c>
      <c r="AD54" s="403">
        <v>3414</v>
      </c>
      <c r="AE54" s="403">
        <v>16</v>
      </c>
      <c r="AF54" s="403">
        <v>13</v>
      </c>
      <c r="AG54" s="403">
        <v>29</v>
      </c>
    </row>
    <row r="55" spans="1:33" x14ac:dyDescent="0.3">
      <c r="A55" s="396" t="s">
        <v>170</v>
      </c>
      <c r="B55" s="396" t="s">
        <v>171</v>
      </c>
      <c r="C55" s="403">
        <v>12454</v>
      </c>
      <c r="D55" s="403">
        <v>0</v>
      </c>
      <c r="E55" s="403">
        <v>394</v>
      </c>
      <c r="F55" s="403">
        <v>1076</v>
      </c>
      <c r="G55" s="403">
        <v>223</v>
      </c>
      <c r="H55" s="400">
        <v>14147</v>
      </c>
      <c r="I55" s="400">
        <v>13924</v>
      </c>
      <c r="J55" s="403">
        <v>9</v>
      </c>
      <c r="K55" s="401">
        <v>78.87</v>
      </c>
      <c r="L55" s="401">
        <v>77.290000000000006</v>
      </c>
      <c r="M55" s="401">
        <v>7</v>
      </c>
      <c r="N55" s="401">
        <v>85.56</v>
      </c>
      <c r="O55" s="402">
        <v>11674</v>
      </c>
      <c r="P55" s="401">
        <v>88.55</v>
      </c>
      <c r="Q55" s="401">
        <v>76.17</v>
      </c>
      <c r="R55" s="401">
        <v>39.82</v>
      </c>
      <c r="S55" s="401">
        <v>128.12</v>
      </c>
      <c r="T55" s="402">
        <v>1284</v>
      </c>
      <c r="U55" s="401">
        <v>99.95</v>
      </c>
      <c r="V55" s="402">
        <v>705</v>
      </c>
      <c r="W55" s="401">
        <v>96.57</v>
      </c>
      <c r="X55" s="402">
        <v>10</v>
      </c>
      <c r="Y55" s="403">
        <v>68</v>
      </c>
      <c r="Z55" s="403">
        <v>37</v>
      </c>
      <c r="AA55" s="403">
        <v>4</v>
      </c>
      <c r="AB55" s="403">
        <v>1</v>
      </c>
      <c r="AC55" s="403">
        <v>5</v>
      </c>
      <c r="AD55" s="403">
        <v>12430</v>
      </c>
      <c r="AE55" s="403">
        <v>69</v>
      </c>
      <c r="AF55" s="403">
        <v>143</v>
      </c>
      <c r="AG55" s="403">
        <v>212</v>
      </c>
    </row>
    <row r="56" spans="1:33" x14ac:dyDescent="0.3">
      <c r="A56" s="396" t="s">
        <v>172</v>
      </c>
      <c r="B56" s="396" t="s">
        <v>173</v>
      </c>
      <c r="C56" s="403">
        <v>3831</v>
      </c>
      <c r="D56" s="403">
        <v>595</v>
      </c>
      <c r="E56" s="403">
        <v>466</v>
      </c>
      <c r="F56" s="403">
        <v>495</v>
      </c>
      <c r="G56" s="403">
        <v>737</v>
      </c>
      <c r="H56" s="400">
        <v>6124</v>
      </c>
      <c r="I56" s="400">
        <v>5387</v>
      </c>
      <c r="J56" s="403">
        <v>0</v>
      </c>
      <c r="K56" s="401">
        <v>109.37</v>
      </c>
      <c r="L56" s="401">
        <v>109.97</v>
      </c>
      <c r="M56" s="401">
        <v>8.86</v>
      </c>
      <c r="N56" s="401">
        <v>115.39</v>
      </c>
      <c r="O56" s="402">
        <v>2641</v>
      </c>
      <c r="P56" s="401">
        <v>97.52</v>
      </c>
      <c r="Q56" s="401">
        <v>94.57</v>
      </c>
      <c r="R56" s="401">
        <v>67.06</v>
      </c>
      <c r="S56" s="401">
        <v>164.51</v>
      </c>
      <c r="T56" s="402">
        <v>867</v>
      </c>
      <c r="U56" s="401">
        <v>155.01</v>
      </c>
      <c r="V56" s="402">
        <v>947</v>
      </c>
      <c r="W56" s="401">
        <v>167.41</v>
      </c>
      <c r="X56" s="402">
        <v>2</v>
      </c>
      <c r="Y56" s="403">
        <v>7</v>
      </c>
      <c r="Z56" s="403">
        <v>2</v>
      </c>
      <c r="AA56" s="403">
        <v>5</v>
      </c>
      <c r="AB56" s="403">
        <v>14</v>
      </c>
      <c r="AC56" s="403">
        <v>45</v>
      </c>
      <c r="AD56" s="403">
        <v>3814</v>
      </c>
      <c r="AE56" s="403">
        <v>59</v>
      </c>
      <c r="AF56" s="403">
        <v>6</v>
      </c>
      <c r="AG56" s="403">
        <v>65</v>
      </c>
    </row>
    <row r="57" spans="1:33" x14ac:dyDescent="0.3">
      <c r="A57" s="396" t="s">
        <v>174</v>
      </c>
      <c r="B57" s="396" t="s">
        <v>175</v>
      </c>
      <c r="C57" s="403">
        <v>8329</v>
      </c>
      <c r="D57" s="403">
        <v>975</v>
      </c>
      <c r="E57" s="403">
        <v>1496</v>
      </c>
      <c r="F57" s="403">
        <v>936</v>
      </c>
      <c r="G57" s="403">
        <v>545</v>
      </c>
      <c r="H57" s="400">
        <v>12281</v>
      </c>
      <c r="I57" s="400">
        <v>11736</v>
      </c>
      <c r="J57" s="403">
        <v>234</v>
      </c>
      <c r="K57" s="401">
        <v>134.75</v>
      </c>
      <c r="L57" s="401">
        <v>141.04</v>
      </c>
      <c r="M57" s="401">
        <v>14.37</v>
      </c>
      <c r="N57" s="401">
        <v>147.66999999999999</v>
      </c>
      <c r="O57" s="402">
        <v>6132</v>
      </c>
      <c r="P57" s="401">
        <v>113.2</v>
      </c>
      <c r="Q57" s="401">
        <v>114.46</v>
      </c>
      <c r="R57" s="401">
        <v>79.52</v>
      </c>
      <c r="S57" s="401">
        <v>190.85</v>
      </c>
      <c r="T57" s="402">
        <v>2250</v>
      </c>
      <c r="U57" s="401">
        <v>217.09</v>
      </c>
      <c r="V57" s="402">
        <v>469</v>
      </c>
      <c r="W57" s="401">
        <v>260.8</v>
      </c>
      <c r="X57" s="402">
        <v>57</v>
      </c>
      <c r="Y57" s="403">
        <v>0</v>
      </c>
      <c r="Z57" s="403">
        <v>0</v>
      </c>
      <c r="AA57" s="403">
        <v>32</v>
      </c>
      <c r="AB57" s="403">
        <v>3</v>
      </c>
      <c r="AC57" s="403">
        <v>12</v>
      </c>
      <c r="AD57" s="403">
        <v>6929</v>
      </c>
      <c r="AE57" s="403">
        <v>232</v>
      </c>
      <c r="AF57" s="403">
        <v>20</v>
      </c>
      <c r="AG57" s="403">
        <v>252</v>
      </c>
    </row>
    <row r="58" spans="1:33" x14ac:dyDescent="0.3">
      <c r="A58" s="396" t="s">
        <v>176</v>
      </c>
      <c r="B58" s="396" t="s">
        <v>177</v>
      </c>
      <c r="C58" s="403">
        <v>1720</v>
      </c>
      <c r="D58" s="403">
        <v>2</v>
      </c>
      <c r="E58" s="403">
        <v>231</v>
      </c>
      <c r="F58" s="403">
        <v>271</v>
      </c>
      <c r="G58" s="403">
        <v>480</v>
      </c>
      <c r="H58" s="400">
        <v>2704</v>
      </c>
      <c r="I58" s="400">
        <v>2224</v>
      </c>
      <c r="J58" s="403">
        <v>0</v>
      </c>
      <c r="K58" s="401">
        <v>92.1</v>
      </c>
      <c r="L58" s="401">
        <v>89.89</v>
      </c>
      <c r="M58" s="401">
        <v>5.36</v>
      </c>
      <c r="N58" s="401">
        <v>95.43</v>
      </c>
      <c r="O58" s="402">
        <v>1345</v>
      </c>
      <c r="P58" s="401">
        <v>91.37</v>
      </c>
      <c r="Q58" s="401">
        <v>80.89</v>
      </c>
      <c r="R58" s="401">
        <v>65.59</v>
      </c>
      <c r="S58" s="401">
        <v>156.96</v>
      </c>
      <c r="T58" s="402">
        <v>354</v>
      </c>
      <c r="U58" s="401">
        <v>114.81</v>
      </c>
      <c r="V58" s="402">
        <v>334</v>
      </c>
      <c r="W58" s="401">
        <v>215.84</v>
      </c>
      <c r="X58" s="402">
        <v>69</v>
      </c>
      <c r="Y58" s="403">
        <v>0</v>
      </c>
      <c r="Z58" s="403">
        <v>1</v>
      </c>
      <c r="AA58" s="403">
        <v>0</v>
      </c>
      <c r="AB58" s="403">
        <v>20</v>
      </c>
      <c r="AC58" s="403">
        <v>8</v>
      </c>
      <c r="AD58" s="403">
        <v>1698</v>
      </c>
      <c r="AE58" s="403">
        <v>6</v>
      </c>
      <c r="AF58" s="403">
        <v>4</v>
      </c>
      <c r="AG58" s="403">
        <v>10</v>
      </c>
    </row>
    <row r="59" spans="1:33" x14ac:dyDescent="0.3">
      <c r="A59" s="396" t="s">
        <v>178</v>
      </c>
      <c r="B59" s="396" t="s">
        <v>179</v>
      </c>
      <c r="C59" s="403">
        <v>2067</v>
      </c>
      <c r="D59" s="403">
        <v>0</v>
      </c>
      <c r="E59" s="403">
        <v>179</v>
      </c>
      <c r="F59" s="403">
        <v>380</v>
      </c>
      <c r="G59" s="403">
        <v>525</v>
      </c>
      <c r="H59" s="400">
        <v>3151</v>
      </c>
      <c r="I59" s="400">
        <v>2626</v>
      </c>
      <c r="J59" s="403">
        <v>0</v>
      </c>
      <c r="K59" s="401">
        <v>104.35</v>
      </c>
      <c r="L59" s="401">
        <v>103.04</v>
      </c>
      <c r="M59" s="401">
        <v>7.98</v>
      </c>
      <c r="N59" s="401">
        <v>110.89</v>
      </c>
      <c r="O59" s="402">
        <v>1379</v>
      </c>
      <c r="P59" s="401">
        <v>90.32</v>
      </c>
      <c r="Q59" s="401">
        <v>81.48</v>
      </c>
      <c r="R59" s="401">
        <v>51.96</v>
      </c>
      <c r="S59" s="401">
        <v>140.83000000000001</v>
      </c>
      <c r="T59" s="402">
        <v>535</v>
      </c>
      <c r="U59" s="401">
        <v>152.35</v>
      </c>
      <c r="V59" s="402">
        <v>399</v>
      </c>
      <c r="W59" s="401">
        <v>120.23</v>
      </c>
      <c r="X59" s="402">
        <v>6</v>
      </c>
      <c r="Y59" s="403">
        <v>0</v>
      </c>
      <c r="Z59" s="403">
        <v>0</v>
      </c>
      <c r="AA59" s="403">
        <v>1</v>
      </c>
      <c r="AB59" s="403">
        <v>34</v>
      </c>
      <c r="AC59" s="403">
        <v>10</v>
      </c>
      <c r="AD59" s="403">
        <v>1881</v>
      </c>
      <c r="AE59" s="403">
        <v>9</v>
      </c>
      <c r="AF59" s="403">
        <v>11</v>
      </c>
      <c r="AG59" s="403">
        <v>20</v>
      </c>
    </row>
    <row r="60" spans="1:33" x14ac:dyDescent="0.3">
      <c r="A60" s="396" t="s">
        <v>180</v>
      </c>
      <c r="B60" s="396" t="s">
        <v>181</v>
      </c>
      <c r="C60" s="403">
        <v>7170</v>
      </c>
      <c r="D60" s="403">
        <v>11</v>
      </c>
      <c r="E60" s="403">
        <v>287</v>
      </c>
      <c r="F60" s="403">
        <v>337</v>
      </c>
      <c r="G60" s="403">
        <v>272</v>
      </c>
      <c r="H60" s="400">
        <v>8077</v>
      </c>
      <c r="I60" s="400">
        <v>7805</v>
      </c>
      <c r="J60" s="403">
        <v>0</v>
      </c>
      <c r="K60" s="401">
        <v>82.58</v>
      </c>
      <c r="L60" s="401">
        <v>79.42</v>
      </c>
      <c r="M60" s="401">
        <v>4.01</v>
      </c>
      <c r="N60" s="401">
        <v>85.62</v>
      </c>
      <c r="O60" s="402">
        <v>5710</v>
      </c>
      <c r="P60" s="401">
        <v>99.04</v>
      </c>
      <c r="Q60" s="401">
        <v>78.180000000000007</v>
      </c>
      <c r="R60" s="401">
        <v>60.84</v>
      </c>
      <c r="S60" s="401">
        <v>158.76</v>
      </c>
      <c r="T60" s="402">
        <v>542</v>
      </c>
      <c r="U60" s="401">
        <v>93.17</v>
      </c>
      <c r="V60" s="402">
        <v>1453</v>
      </c>
      <c r="W60" s="401">
        <v>0</v>
      </c>
      <c r="X60" s="402">
        <v>0</v>
      </c>
      <c r="Y60" s="403">
        <v>0</v>
      </c>
      <c r="Z60" s="403">
        <v>25</v>
      </c>
      <c r="AA60" s="403">
        <v>11</v>
      </c>
      <c r="AB60" s="403">
        <v>8</v>
      </c>
      <c r="AC60" s="403">
        <v>3</v>
      </c>
      <c r="AD60" s="403">
        <v>7155</v>
      </c>
      <c r="AE60" s="403">
        <v>68</v>
      </c>
      <c r="AF60" s="403">
        <v>21</v>
      </c>
      <c r="AG60" s="403">
        <v>89</v>
      </c>
    </row>
    <row r="61" spans="1:33" x14ac:dyDescent="0.3">
      <c r="A61" s="396" t="s">
        <v>182</v>
      </c>
      <c r="B61" s="396" t="s">
        <v>183</v>
      </c>
      <c r="C61" s="403">
        <v>457</v>
      </c>
      <c r="D61" s="403">
        <v>0</v>
      </c>
      <c r="E61" s="403">
        <v>71</v>
      </c>
      <c r="F61" s="403">
        <v>73</v>
      </c>
      <c r="G61" s="403">
        <v>94</v>
      </c>
      <c r="H61" s="400">
        <v>695</v>
      </c>
      <c r="I61" s="400">
        <v>601</v>
      </c>
      <c r="J61" s="403">
        <v>0</v>
      </c>
      <c r="K61" s="401">
        <v>108.32</v>
      </c>
      <c r="L61" s="401">
        <v>106.78</v>
      </c>
      <c r="M61" s="401">
        <v>8.6300000000000008</v>
      </c>
      <c r="N61" s="401">
        <v>113.29</v>
      </c>
      <c r="O61" s="402">
        <v>365</v>
      </c>
      <c r="P61" s="401">
        <v>93.22</v>
      </c>
      <c r="Q61" s="401">
        <v>83.25</v>
      </c>
      <c r="R61" s="401">
        <v>65.83</v>
      </c>
      <c r="S61" s="401">
        <v>157.44</v>
      </c>
      <c r="T61" s="402">
        <v>123</v>
      </c>
      <c r="U61" s="401">
        <v>150.75</v>
      </c>
      <c r="V61" s="402">
        <v>77</v>
      </c>
      <c r="W61" s="401">
        <v>0</v>
      </c>
      <c r="X61" s="402">
        <v>0</v>
      </c>
      <c r="Y61" s="403">
        <v>0</v>
      </c>
      <c r="Z61" s="403">
        <v>1</v>
      </c>
      <c r="AA61" s="403">
        <v>0</v>
      </c>
      <c r="AB61" s="403">
        <v>0</v>
      </c>
      <c r="AC61" s="403">
        <v>1</v>
      </c>
      <c r="AD61" s="403">
        <v>457</v>
      </c>
      <c r="AE61" s="403">
        <v>1</v>
      </c>
      <c r="AF61" s="403">
        <v>0</v>
      </c>
      <c r="AG61" s="403">
        <v>1</v>
      </c>
    </row>
    <row r="62" spans="1:33" x14ac:dyDescent="0.3">
      <c r="A62" s="396" t="s">
        <v>184</v>
      </c>
      <c r="B62" s="396" t="s">
        <v>185</v>
      </c>
      <c r="C62" s="403">
        <v>10301</v>
      </c>
      <c r="D62" s="403">
        <v>0</v>
      </c>
      <c r="E62" s="403">
        <v>310</v>
      </c>
      <c r="F62" s="403">
        <v>789</v>
      </c>
      <c r="G62" s="403">
        <v>2084</v>
      </c>
      <c r="H62" s="400">
        <v>13484</v>
      </c>
      <c r="I62" s="400">
        <v>11400</v>
      </c>
      <c r="J62" s="403">
        <v>415</v>
      </c>
      <c r="K62" s="401">
        <v>103.05</v>
      </c>
      <c r="L62" s="401">
        <v>104.02</v>
      </c>
      <c r="M62" s="401">
        <v>5.0999999999999996</v>
      </c>
      <c r="N62" s="401">
        <v>104.61</v>
      </c>
      <c r="O62" s="402">
        <v>8453</v>
      </c>
      <c r="P62" s="401">
        <v>97.38</v>
      </c>
      <c r="Q62" s="401">
        <v>87.5</v>
      </c>
      <c r="R62" s="401">
        <v>35.81</v>
      </c>
      <c r="S62" s="401">
        <v>129.33000000000001</v>
      </c>
      <c r="T62" s="402">
        <v>1001</v>
      </c>
      <c r="U62" s="401">
        <v>149.41</v>
      </c>
      <c r="V62" s="402">
        <v>1689</v>
      </c>
      <c r="W62" s="401">
        <v>123.65</v>
      </c>
      <c r="X62" s="402">
        <v>50</v>
      </c>
      <c r="Y62" s="403">
        <v>75</v>
      </c>
      <c r="Z62" s="403">
        <v>10</v>
      </c>
      <c r="AA62" s="403">
        <v>2</v>
      </c>
      <c r="AB62" s="403">
        <v>189</v>
      </c>
      <c r="AC62" s="403">
        <v>22</v>
      </c>
      <c r="AD62" s="403">
        <v>10225</v>
      </c>
      <c r="AE62" s="403">
        <v>32</v>
      </c>
      <c r="AF62" s="403">
        <v>32</v>
      </c>
      <c r="AG62" s="403">
        <v>64</v>
      </c>
    </row>
    <row r="63" spans="1:33" x14ac:dyDescent="0.3">
      <c r="A63" s="396" t="s">
        <v>186</v>
      </c>
      <c r="B63" s="396" t="s">
        <v>187</v>
      </c>
      <c r="C63" s="403">
        <v>3223</v>
      </c>
      <c r="D63" s="403">
        <v>0</v>
      </c>
      <c r="E63" s="403">
        <v>346</v>
      </c>
      <c r="F63" s="403">
        <v>253</v>
      </c>
      <c r="G63" s="403">
        <v>714</v>
      </c>
      <c r="H63" s="400">
        <v>4536</v>
      </c>
      <c r="I63" s="400">
        <v>3822</v>
      </c>
      <c r="J63" s="403">
        <v>0</v>
      </c>
      <c r="K63" s="401">
        <v>92.68</v>
      </c>
      <c r="L63" s="401">
        <v>90.16</v>
      </c>
      <c r="M63" s="401">
        <v>6.87</v>
      </c>
      <c r="N63" s="401">
        <v>98.13</v>
      </c>
      <c r="O63" s="402">
        <v>2229</v>
      </c>
      <c r="P63" s="401">
        <v>98.48</v>
      </c>
      <c r="Q63" s="401">
        <v>83.15</v>
      </c>
      <c r="R63" s="401">
        <v>64.349999999999994</v>
      </c>
      <c r="S63" s="401">
        <v>160.66999999999999</v>
      </c>
      <c r="T63" s="402">
        <v>447</v>
      </c>
      <c r="U63" s="401">
        <v>112.32</v>
      </c>
      <c r="V63" s="402">
        <v>914</v>
      </c>
      <c r="W63" s="401">
        <v>116.54</v>
      </c>
      <c r="X63" s="402">
        <v>69</v>
      </c>
      <c r="Y63" s="403">
        <v>0</v>
      </c>
      <c r="Z63" s="403">
        <v>2</v>
      </c>
      <c r="AA63" s="403">
        <v>1</v>
      </c>
      <c r="AB63" s="403">
        <v>52</v>
      </c>
      <c r="AC63" s="403">
        <v>17</v>
      </c>
      <c r="AD63" s="403">
        <v>3223</v>
      </c>
      <c r="AE63" s="403">
        <v>15</v>
      </c>
      <c r="AF63" s="403">
        <v>6</v>
      </c>
      <c r="AG63" s="403">
        <v>21</v>
      </c>
    </row>
    <row r="64" spans="1:33" x14ac:dyDescent="0.3">
      <c r="A64" s="396" t="s">
        <v>188</v>
      </c>
      <c r="B64" s="396" t="s">
        <v>189</v>
      </c>
      <c r="C64" s="403">
        <v>9771</v>
      </c>
      <c r="D64" s="403">
        <v>250</v>
      </c>
      <c r="E64" s="403">
        <v>325</v>
      </c>
      <c r="F64" s="403">
        <v>288</v>
      </c>
      <c r="G64" s="403">
        <v>750</v>
      </c>
      <c r="H64" s="400">
        <v>11384</v>
      </c>
      <c r="I64" s="400">
        <v>10634</v>
      </c>
      <c r="J64" s="403">
        <v>2</v>
      </c>
      <c r="K64" s="401">
        <v>102.63</v>
      </c>
      <c r="L64" s="401">
        <v>100.82</v>
      </c>
      <c r="M64" s="401">
        <v>11.16</v>
      </c>
      <c r="N64" s="401">
        <v>107.97</v>
      </c>
      <c r="O64" s="402">
        <v>8611</v>
      </c>
      <c r="P64" s="401">
        <v>100.26</v>
      </c>
      <c r="Q64" s="401">
        <v>91.7</v>
      </c>
      <c r="R64" s="401">
        <v>87.45</v>
      </c>
      <c r="S64" s="401">
        <v>183.48</v>
      </c>
      <c r="T64" s="402">
        <v>517</v>
      </c>
      <c r="U64" s="401">
        <v>147.77000000000001</v>
      </c>
      <c r="V64" s="402">
        <v>1019</v>
      </c>
      <c r="W64" s="401">
        <v>0</v>
      </c>
      <c r="X64" s="402">
        <v>0</v>
      </c>
      <c r="Y64" s="403">
        <v>0</v>
      </c>
      <c r="Z64" s="403">
        <v>3</v>
      </c>
      <c r="AA64" s="403">
        <v>0</v>
      </c>
      <c r="AB64" s="403">
        <v>34</v>
      </c>
      <c r="AC64" s="403">
        <v>13</v>
      </c>
      <c r="AD64" s="403">
        <v>9766</v>
      </c>
      <c r="AE64" s="403">
        <v>99</v>
      </c>
      <c r="AF64" s="403">
        <v>47</v>
      </c>
      <c r="AG64" s="403">
        <v>146</v>
      </c>
    </row>
    <row r="65" spans="1:33" x14ac:dyDescent="0.3">
      <c r="A65" s="396" t="s">
        <v>190</v>
      </c>
      <c r="B65" s="396" t="s">
        <v>191</v>
      </c>
      <c r="C65" s="403">
        <v>1891</v>
      </c>
      <c r="D65" s="403">
        <v>0</v>
      </c>
      <c r="E65" s="403">
        <v>401</v>
      </c>
      <c r="F65" s="403">
        <v>223</v>
      </c>
      <c r="G65" s="403">
        <v>328</v>
      </c>
      <c r="H65" s="400">
        <v>2843</v>
      </c>
      <c r="I65" s="400">
        <v>2515</v>
      </c>
      <c r="J65" s="403">
        <v>1</v>
      </c>
      <c r="K65" s="401">
        <v>96.16</v>
      </c>
      <c r="L65" s="401">
        <v>92.69</v>
      </c>
      <c r="M65" s="401">
        <v>6.59</v>
      </c>
      <c r="N65" s="401">
        <v>101.66</v>
      </c>
      <c r="O65" s="402">
        <v>1476</v>
      </c>
      <c r="P65" s="401">
        <v>86.79</v>
      </c>
      <c r="Q65" s="401">
        <v>82.81</v>
      </c>
      <c r="R65" s="401">
        <v>61.98</v>
      </c>
      <c r="S65" s="401">
        <v>141.84</v>
      </c>
      <c r="T65" s="402">
        <v>465</v>
      </c>
      <c r="U65" s="401">
        <v>135.24</v>
      </c>
      <c r="V65" s="402">
        <v>328</v>
      </c>
      <c r="W65" s="401">
        <v>239.96</v>
      </c>
      <c r="X65" s="402">
        <v>110</v>
      </c>
      <c r="Y65" s="403">
        <v>0</v>
      </c>
      <c r="Z65" s="403">
        <v>1</v>
      </c>
      <c r="AA65" s="403">
        <v>21</v>
      </c>
      <c r="AB65" s="403">
        <v>5</v>
      </c>
      <c r="AC65" s="403">
        <v>7</v>
      </c>
      <c r="AD65" s="403">
        <v>1734</v>
      </c>
      <c r="AE65" s="403">
        <v>6</v>
      </c>
      <c r="AF65" s="403">
        <v>65</v>
      </c>
      <c r="AG65" s="403">
        <v>71</v>
      </c>
    </row>
    <row r="66" spans="1:33" x14ac:dyDescent="0.3">
      <c r="A66" s="396" t="s">
        <v>192</v>
      </c>
      <c r="B66" s="396" t="s">
        <v>193</v>
      </c>
      <c r="C66" s="403">
        <v>7037</v>
      </c>
      <c r="D66" s="403">
        <v>10</v>
      </c>
      <c r="E66" s="403">
        <v>216</v>
      </c>
      <c r="F66" s="403">
        <v>1510</v>
      </c>
      <c r="G66" s="403">
        <v>1027</v>
      </c>
      <c r="H66" s="400">
        <v>9800</v>
      </c>
      <c r="I66" s="400">
        <v>8773</v>
      </c>
      <c r="J66" s="403">
        <v>5</v>
      </c>
      <c r="K66" s="401">
        <v>106.2</v>
      </c>
      <c r="L66" s="401">
        <v>105.96</v>
      </c>
      <c r="M66" s="401">
        <v>6.2</v>
      </c>
      <c r="N66" s="401">
        <v>108.21</v>
      </c>
      <c r="O66" s="402">
        <v>5075</v>
      </c>
      <c r="P66" s="401">
        <v>96.47</v>
      </c>
      <c r="Q66" s="401">
        <v>97.35</v>
      </c>
      <c r="R66" s="401">
        <v>20.52</v>
      </c>
      <c r="S66" s="401">
        <v>115.91</v>
      </c>
      <c r="T66" s="402">
        <v>1525</v>
      </c>
      <c r="U66" s="401">
        <v>162.16</v>
      </c>
      <c r="V66" s="402">
        <v>1904</v>
      </c>
      <c r="W66" s="401">
        <v>195.76</v>
      </c>
      <c r="X66" s="402">
        <v>166</v>
      </c>
      <c r="Y66" s="403">
        <v>22</v>
      </c>
      <c r="Z66" s="403">
        <v>8</v>
      </c>
      <c r="AA66" s="403">
        <v>2</v>
      </c>
      <c r="AB66" s="403">
        <v>104</v>
      </c>
      <c r="AC66" s="403">
        <v>16</v>
      </c>
      <c r="AD66" s="403">
        <v>6932</v>
      </c>
      <c r="AE66" s="403">
        <v>12</v>
      </c>
      <c r="AF66" s="403">
        <v>40</v>
      </c>
      <c r="AG66" s="403">
        <v>52</v>
      </c>
    </row>
    <row r="67" spans="1:33" x14ac:dyDescent="0.3">
      <c r="A67" s="396" t="s">
        <v>194</v>
      </c>
      <c r="B67" s="396" t="s">
        <v>195</v>
      </c>
      <c r="C67" s="403">
        <v>17548</v>
      </c>
      <c r="D67" s="403">
        <v>4</v>
      </c>
      <c r="E67" s="403">
        <v>910</v>
      </c>
      <c r="F67" s="403">
        <v>2916</v>
      </c>
      <c r="G67" s="403">
        <v>1324</v>
      </c>
      <c r="H67" s="400">
        <v>22702</v>
      </c>
      <c r="I67" s="400">
        <v>21378</v>
      </c>
      <c r="J67" s="403">
        <v>32</v>
      </c>
      <c r="K67" s="401">
        <v>90.3</v>
      </c>
      <c r="L67" s="401">
        <v>89.11</v>
      </c>
      <c r="M67" s="401">
        <v>5.97</v>
      </c>
      <c r="N67" s="401">
        <v>93.17</v>
      </c>
      <c r="O67" s="402">
        <v>13323</v>
      </c>
      <c r="P67" s="401">
        <v>89.27</v>
      </c>
      <c r="Q67" s="401">
        <v>80.39</v>
      </c>
      <c r="R67" s="401">
        <v>32.1</v>
      </c>
      <c r="S67" s="401">
        <v>112.64</v>
      </c>
      <c r="T67" s="402">
        <v>3379</v>
      </c>
      <c r="U67" s="401">
        <v>111.66</v>
      </c>
      <c r="V67" s="402">
        <v>4120</v>
      </c>
      <c r="W67" s="401">
        <v>105.96</v>
      </c>
      <c r="X67" s="402">
        <v>177</v>
      </c>
      <c r="Y67" s="403">
        <v>49</v>
      </c>
      <c r="Z67" s="403">
        <v>21</v>
      </c>
      <c r="AA67" s="403">
        <v>8</v>
      </c>
      <c r="AB67" s="403">
        <v>166</v>
      </c>
      <c r="AC67" s="403">
        <v>13</v>
      </c>
      <c r="AD67" s="403">
        <v>17474</v>
      </c>
      <c r="AE67" s="403">
        <v>130</v>
      </c>
      <c r="AF67" s="403">
        <v>87</v>
      </c>
      <c r="AG67" s="403">
        <v>217</v>
      </c>
    </row>
    <row r="68" spans="1:33" x14ac:dyDescent="0.3">
      <c r="A68" s="396" t="s">
        <v>196</v>
      </c>
      <c r="B68" s="396" t="s">
        <v>197</v>
      </c>
      <c r="C68" s="403">
        <v>14723</v>
      </c>
      <c r="D68" s="403">
        <v>12</v>
      </c>
      <c r="E68" s="403">
        <v>880</v>
      </c>
      <c r="F68" s="403">
        <v>2999</v>
      </c>
      <c r="G68" s="403">
        <v>1804</v>
      </c>
      <c r="H68" s="400">
        <v>20418</v>
      </c>
      <c r="I68" s="400">
        <v>18614</v>
      </c>
      <c r="J68" s="403">
        <v>0</v>
      </c>
      <c r="K68" s="401">
        <v>93.29</v>
      </c>
      <c r="L68" s="401">
        <v>95.09</v>
      </c>
      <c r="M68" s="401">
        <v>4.66</v>
      </c>
      <c r="N68" s="401">
        <v>95.08</v>
      </c>
      <c r="O68" s="402">
        <v>12066</v>
      </c>
      <c r="P68" s="401">
        <v>92.64</v>
      </c>
      <c r="Q68" s="401">
        <v>89.03</v>
      </c>
      <c r="R68" s="401">
        <v>34.64</v>
      </c>
      <c r="S68" s="401">
        <v>117.19</v>
      </c>
      <c r="T68" s="402">
        <v>3051</v>
      </c>
      <c r="U68" s="401">
        <v>113.99</v>
      </c>
      <c r="V68" s="402">
        <v>2354</v>
      </c>
      <c r="W68" s="401">
        <v>158.66999999999999</v>
      </c>
      <c r="X68" s="402">
        <v>495</v>
      </c>
      <c r="Y68" s="403">
        <v>24</v>
      </c>
      <c r="Z68" s="403">
        <v>31</v>
      </c>
      <c r="AA68" s="403">
        <v>3</v>
      </c>
      <c r="AB68" s="403">
        <v>97</v>
      </c>
      <c r="AC68" s="403">
        <v>28</v>
      </c>
      <c r="AD68" s="403">
        <v>14577</v>
      </c>
      <c r="AE68" s="403">
        <v>81</v>
      </c>
      <c r="AF68" s="403">
        <v>86</v>
      </c>
      <c r="AG68" s="403">
        <v>167</v>
      </c>
    </row>
    <row r="69" spans="1:33" x14ac:dyDescent="0.3">
      <c r="A69" s="396" t="s">
        <v>198</v>
      </c>
      <c r="B69" s="396" t="s">
        <v>199</v>
      </c>
      <c r="C69" s="403">
        <v>852</v>
      </c>
      <c r="D69" s="403">
        <v>0</v>
      </c>
      <c r="E69" s="403">
        <v>163</v>
      </c>
      <c r="F69" s="403">
        <v>499</v>
      </c>
      <c r="G69" s="403">
        <v>104</v>
      </c>
      <c r="H69" s="400">
        <v>1618</v>
      </c>
      <c r="I69" s="400">
        <v>1514</v>
      </c>
      <c r="J69" s="403">
        <v>0</v>
      </c>
      <c r="K69" s="401">
        <v>88.12</v>
      </c>
      <c r="L69" s="401">
        <v>85.83</v>
      </c>
      <c r="M69" s="401">
        <v>6.53</v>
      </c>
      <c r="N69" s="401">
        <v>91.09</v>
      </c>
      <c r="O69" s="402">
        <v>649</v>
      </c>
      <c r="P69" s="401">
        <v>91.12</v>
      </c>
      <c r="Q69" s="401">
        <v>82.65</v>
      </c>
      <c r="R69" s="401">
        <v>24.16</v>
      </c>
      <c r="S69" s="401">
        <v>114.49</v>
      </c>
      <c r="T69" s="402">
        <v>577</v>
      </c>
      <c r="U69" s="401">
        <v>102.28</v>
      </c>
      <c r="V69" s="402">
        <v>100</v>
      </c>
      <c r="W69" s="401">
        <v>282.97000000000003</v>
      </c>
      <c r="X69" s="402">
        <v>25</v>
      </c>
      <c r="Y69" s="403">
        <v>0</v>
      </c>
      <c r="Z69" s="403">
        <v>2</v>
      </c>
      <c r="AA69" s="403">
        <v>1</v>
      </c>
      <c r="AB69" s="403">
        <v>2</v>
      </c>
      <c r="AC69" s="403">
        <v>0</v>
      </c>
      <c r="AD69" s="403">
        <v>748</v>
      </c>
      <c r="AE69" s="403">
        <v>6</v>
      </c>
      <c r="AF69" s="403">
        <v>3</v>
      </c>
      <c r="AG69" s="403">
        <v>9</v>
      </c>
    </row>
    <row r="70" spans="1:33" x14ac:dyDescent="0.3">
      <c r="A70" s="396" t="s">
        <v>200</v>
      </c>
      <c r="B70" s="396" t="s">
        <v>201</v>
      </c>
      <c r="C70" s="403">
        <v>7457</v>
      </c>
      <c r="D70" s="403">
        <v>0</v>
      </c>
      <c r="E70" s="403">
        <v>157</v>
      </c>
      <c r="F70" s="403">
        <v>738</v>
      </c>
      <c r="G70" s="403">
        <v>775</v>
      </c>
      <c r="H70" s="400">
        <v>9127</v>
      </c>
      <c r="I70" s="400">
        <v>8352</v>
      </c>
      <c r="J70" s="403">
        <v>3</v>
      </c>
      <c r="K70" s="401">
        <v>106.9</v>
      </c>
      <c r="L70" s="401">
        <v>113.14</v>
      </c>
      <c r="M70" s="401">
        <v>6.93</v>
      </c>
      <c r="N70" s="401">
        <v>110.08</v>
      </c>
      <c r="O70" s="402">
        <v>6279</v>
      </c>
      <c r="P70" s="401">
        <v>96.91</v>
      </c>
      <c r="Q70" s="401">
        <v>93.63</v>
      </c>
      <c r="R70" s="401">
        <v>31.13</v>
      </c>
      <c r="S70" s="401">
        <v>126.53</v>
      </c>
      <c r="T70" s="402">
        <v>678</v>
      </c>
      <c r="U70" s="401">
        <v>163.44</v>
      </c>
      <c r="V70" s="402">
        <v>1128</v>
      </c>
      <c r="W70" s="401">
        <v>144.91</v>
      </c>
      <c r="X70" s="402">
        <v>4</v>
      </c>
      <c r="Y70" s="403">
        <v>3</v>
      </c>
      <c r="Z70" s="403">
        <v>5</v>
      </c>
      <c r="AA70" s="403">
        <v>1</v>
      </c>
      <c r="AB70" s="403">
        <v>57</v>
      </c>
      <c r="AC70" s="403">
        <v>18</v>
      </c>
      <c r="AD70" s="403">
        <v>7435</v>
      </c>
      <c r="AE70" s="403">
        <v>77</v>
      </c>
      <c r="AF70" s="403">
        <v>4</v>
      </c>
      <c r="AG70" s="403">
        <v>81</v>
      </c>
    </row>
    <row r="71" spans="1:33" x14ac:dyDescent="0.3">
      <c r="A71" s="396" t="s">
        <v>202</v>
      </c>
      <c r="B71" s="396" t="s">
        <v>203</v>
      </c>
      <c r="C71" s="403">
        <v>6038</v>
      </c>
      <c r="D71" s="403">
        <v>57</v>
      </c>
      <c r="E71" s="403">
        <v>383</v>
      </c>
      <c r="F71" s="403">
        <v>654</v>
      </c>
      <c r="G71" s="403">
        <v>242</v>
      </c>
      <c r="H71" s="400">
        <v>7374</v>
      </c>
      <c r="I71" s="400">
        <v>7132</v>
      </c>
      <c r="J71" s="403">
        <v>3</v>
      </c>
      <c r="K71" s="401">
        <v>81.66</v>
      </c>
      <c r="L71" s="401">
        <v>78.849999999999994</v>
      </c>
      <c r="M71" s="401">
        <v>5.8</v>
      </c>
      <c r="N71" s="401">
        <v>85.91</v>
      </c>
      <c r="O71" s="402">
        <v>5080</v>
      </c>
      <c r="P71" s="401">
        <v>85.83</v>
      </c>
      <c r="Q71" s="401">
        <v>70.19</v>
      </c>
      <c r="R71" s="401">
        <v>31.66</v>
      </c>
      <c r="S71" s="401">
        <v>115.75</v>
      </c>
      <c r="T71" s="402">
        <v>873</v>
      </c>
      <c r="U71" s="401">
        <v>104.11</v>
      </c>
      <c r="V71" s="402">
        <v>905</v>
      </c>
      <c r="W71" s="401">
        <v>0</v>
      </c>
      <c r="X71" s="402">
        <v>0</v>
      </c>
      <c r="Y71" s="403">
        <v>7</v>
      </c>
      <c r="Z71" s="403">
        <v>6</v>
      </c>
      <c r="AA71" s="403">
        <v>0</v>
      </c>
      <c r="AB71" s="403">
        <v>41</v>
      </c>
      <c r="AC71" s="403">
        <v>5</v>
      </c>
      <c r="AD71" s="403">
        <v>5946</v>
      </c>
      <c r="AE71" s="403">
        <v>57</v>
      </c>
      <c r="AF71" s="403">
        <v>12</v>
      </c>
      <c r="AG71" s="403">
        <v>69</v>
      </c>
    </row>
    <row r="72" spans="1:33" x14ac:dyDescent="0.3">
      <c r="A72" s="396" t="s">
        <v>204</v>
      </c>
      <c r="B72" s="396" t="s">
        <v>205</v>
      </c>
      <c r="C72" s="403">
        <v>194</v>
      </c>
      <c r="D72" s="403">
        <v>0</v>
      </c>
      <c r="E72" s="403">
        <v>17</v>
      </c>
      <c r="F72" s="403">
        <v>19</v>
      </c>
      <c r="G72" s="403">
        <v>0</v>
      </c>
      <c r="H72" s="400">
        <v>230</v>
      </c>
      <c r="I72" s="400">
        <v>230</v>
      </c>
      <c r="J72" s="403">
        <v>0</v>
      </c>
      <c r="K72" s="401">
        <v>128.55000000000001</v>
      </c>
      <c r="L72" s="401">
        <v>130.63</v>
      </c>
      <c r="M72" s="401">
        <v>11.65</v>
      </c>
      <c r="N72" s="401">
        <v>140.19999999999999</v>
      </c>
      <c r="O72" s="402">
        <v>160</v>
      </c>
      <c r="P72" s="401">
        <v>116.55</v>
      </c>
      <c r="Q72" s="401">
        <v>118.36</v>
      </c>
      <c r="R72" s="401">
        <v>113.3</v>
      </c>
      <c r="S72" s="401">
        <v>229.85</v>
      </c>
      <c r="T72" s="402">
        <v>36</v>
      </c>
      <c r="U72" s="401">
        <v>213.28</v>
      </c>
      <c r="V72" s="402">
        <v>34</v>
      </c>
      <c r="W72" s="401">
        <v>0</v>
      </c>
      <c r="X72" s="402">
        <v>0</v>
      </c>
      <c r="Y72" s="403">
        <v>0</v>
      </c>
      <c r="Z72" s="403">
        <v>0</v>
      </c>
      <c r="AA72" s="403">
        <v>0</v>
      </c>
      <c r="AB72" s="403">
        <v>0</v>
      </c>
      <c r="AC72" s="403">
        <v>0</v>
      </c>
      <c r="AD72" s="403">
        <v>194</v>
      </c>
      <c r="AE72" s="403">
        <v>1</v>
      </c>
      <c r="AF72" s="403">
        <v>0</v>
      </c>
      <c r="AG72" s="403">
        <v>1</v>
      </c>
    </row>
    <row r="73" spans="1:33" x14ac:dyDescent="0.3">
      <c r="A73" s="396" t="s">
        <v>206</v>
      </c>
      <c r="B73" s="396" t="s">
        <v>207</v>
      </c>
      <c r="C73" s="403">
        <v>4300</v>
      </c>
      <c r="D73" s="403">
        <v>135</v>
      </c>
      <c r="E73" s="403">
        <v>604</v>
      </c>
      <c r="F73" s="403">
        <v>357</v>
      </c>
      <c r="G73" s="403">
        <v>338</v>
      </c>
      <c r="H73" s="400">
        <v>5734</v>
      </c>
      <c r="I73" s="400">
        <v>5396</v>
      </c>
      <c r="J73" s="403">
        <v>18</v>
      </c>
      <c r="K73" s="401">
        <v>104.41</v>
      </c>
      <c r="L73" s="401">
        <v>103.27</v>
      </c>
      <c r="M73" s="401">
        <v>6.01</v>
      </c>
      <c r="N73" s="401">
        <v>109.19</v>
      </c>
      <c r="O73" s="402">
        <v>2756</v>
      </c>
      <c r="P73" s="401">
        <v>109.77</v>
      </c>
      <c r="Q73" s="401">
        <v>87.62</v>
      </c>
      <c r="R73" s="401">
        <v>50.21</v>
      </c>
      <c r="S73" s="401">
        <v>154.61000000000001</v>
      </c>
      <c r="T73" s="402">
        <v>655</v>
      </c>
      <c r="U73" s="401">
        <v>135.72999999999999</v>
      </c>
      <c r="V73" s="402">
        <v>1127</v>
      </c>
      <c r="W73" s="401">
        <v>146.29</v>
      </c>
      <c r="X73" s="402">
        <v>34</v>
      </c>
      <c r="Y73" s="403">
        <v>0</v>
      </c>
      <c r="Z73" s="403">
        <v>0</v>
      </c>
      <c r="AA73" s="403">
        <v>52</v>
      </c>
      <c r="AB73" s="403">
        <v>23</v>
      </c>
      <c r="AC73" s="403">
        <v>9</v>
      </c>
      <c r="AD73" s="403">
        <v>4233</v>
      </c>
      <c r="AE73" s="403">
        <v>24</v>
      </c>
      <c r="AF73" s="403">
        <v>18</v>
      </c>
      <c r="AG73" s="403">
        <v>42</v>
      </c>
    </row>
    <row r="74" spans="1:33" x14ac:dyDescent="0.3">
      <c r="A74" s="396" t="s">
        <v>208</v>
      </c>
      <c r="B74" s="396" t="s">
        <v>209</v>
      </c>
      <c r="C74" s="403">
        <v>5551</v>
      </c>
      <c r="D74" s="403">
        <v>0</v>
      </c>
      <c r="E74" s="403">
        <v>77</v>
      </c>
      <c r="F74" s="403">
        <v>309</v>
      </c>
      <c r="G74" s="403">
        <v>7</v>
      </c>
      <c r="H74" s="400">
        <v>5944</v>
      </c>
      <c r="I74" s="400">
        <v>5937</v>
      </c>
      <c r="J74" s="403">
        <v>20</v>
      </c>
      <c r="K74" s="401">
        <v>86.96</v>
      </c>
      <c r="L74" s="401">
        <v>83.82</v>
      </c>
      <c r="M74" s="401">
        <v>1.4</v>
      </c>
      <c r="N74" s="401">
        <v>88.25</v>
      </c>
      <c r="O74" s="402">
        <v>5211</v>
      </c>
      <c r="P74" s="401">
        <v>80.42</v>
      </c>
      <c r="Q74" s="401">
        <v>75.41</v>
      </c>
      <c r="R74" s="401">
        <v>45.8</v>
      </c>
      <c r="S74" s="401">
        <v>125.47</v>
      </c>
      <c r="T74" s="402">
        <v>367</v>
      </c>
      <c r="U74" s="401">
        <v>94.17</v>
      </c>
      <c r="V74" s="402">
        <v>307</v>
      </c>
      <c r="W74" s="401">
        <v>0</v>
      </c>
      <c r="X74" s="402">
        <v>0</v>
      </c>
      <c r="Y74" s="403">
        <v>0</v>
      </c>
      <c r="Z74" s="403">
        <v>16</v>
      </c>
      <c r="AA74" s="403">
        <v>8</v>
      </c>
      <c r="AB74" s="403">
        <v>0</v>
      </c>
      <c r="AC74" s="403">
        <v>1</v>
      </c>
      <c r="AD74" s="403">
        <v>5518</v>
      </c>
      <c r="AE74" s="403">
        <v>5</v>
      </c>
      <c r="AF74" s="403">
        <v>160</v>
      </c>
      <c r="AG74" s="403">
        <v>165</v>
      </c>
    </row>
    <row r="75" spans="1:33" x14ac:dyDescent="0.3">
      <c r="A75" s="396" t="s">
        <v>210</v>
      </c>
      <c r="B75" s="396" t="s">
        <v>211</v>
      </c>
      <c r="C75" s="403">
        <v>18923</v>
      </c>
      <c r="D75" s="403">
        <v>0</v>
      </c>
      <c r="E75" s="403">
        <v>862</v>
      </c>
      <c r="F75" s="403">
        <v>2538</v>
      </c>
      <c r="G75" s="403">
        <v>2585</v>
      </c>
      <c r="H75" s="400">
        <v>24908</v>
      </c>
      <c r="I75" s="400">
        <v>22323</v>
      </c>
      <c r="J75" s="403">
        <v>14</v>
      </c>
      <c r="K75" s="401">
        <v>84.2</v>
      </c>
      <c r="L75" s="401">
        <v>79.92</v>
      </c>
      <c r="M75" s="401">
        <v>3.79</v>
      </c>
      <c r="N75" s="401">
        <v>87.36</v>
      </c>
      <c r="O75" s="402">
        <v>13932</v>
      </c>
      <c r="P75" s="401">
        <v>83.43</v>
      </c>
      <c r="Q75" s="401">
        <v>72.14</v>
      </c>
      <c r="R75" s="401">
        <v>44.12</v>
      </c>
      <c r="S75" s="401">
        <v>126.04</v>
      </c>
      <c r="T75" s="402">
        <v>3091</v>
      </c>
      <c r="U75" s="401">
        <v>122.21</v>
      </c>
      <c r="V75" s="402">
        <v>3465</v>
      </c>
      <c r="W75" s="401">
        <v>119.79</v>
      </c>
      <c r="X75" s="402">
        <v>174</v>
      </c>
      <c r="Y75" s="403">
        <v>0</v>
      </c>
      <c r="Z75" s="403">
        <v>15</v>
      </c>
      <c r="AA75" s="403">
        <v>54</v>
      </c>
      <c r="AB75" s="403">
        <v>148</v>
      </c>
      <c r="AC75" s="403">
        <v>38</v>
      </c>
      <c r="AD75" s="403">
        <v>18463</v>
      </c>
      <c r="AE75" s="403">
        <v>142</v>
      </c>
      <c r="AF75" s="403">
        <v>34</v>
      </c>
      <c r="AG75" s="403">
        <v>176</v>
      </c>
    </row>
    <row r="76" spans="1:33" x14ac:dyDescent="0.3">
      <c r="A76" s="396" t="s">
        <v>212</v>
      </c>
      <c r="B76" s="396" t="s">
        <v>213</v>
      </c>
      <c r="C76" s="403">
        <v>5562</v>
      </c>
      <c r="D76" s="403">
        <v>0</v>
      </c>
      <c r="E76" s="403">
        <v>55</v>
      </c>
      <c r="F76" s="403">
        <v>552</v>
      </c>
      <c r="G76" s="403">
        <v>794</v>
      </c>
      <c r="H76" s="400">
        <v>6963</v>
      </c>
      <c r="I76" s="400">
        <v>6169</v>
      </c>
      <c r="J76" s="403">
        <v>0</v>
      </c>
      <c r="K76" s="401">
        <v>105.09</v>
      </c>
      <c r="L76" s="401">
        <v>100.65</v>
      </c>
      <c r="M76" s="401">
        <v>4.24</v>
      </c>
      <c r="N76" s="401">
        <v>106.86</v>
      </c>
      <c r="O76" s="402">
        <v>4388</v>
      </c>
      <c r="P76" s="401">
        <v>97.58</v>
      </c>
      <c r="Q76" s="401">
        <v>87.96</v>
      </c>
      <c r="R76" s="401">
        <v>24.12</v>
      </c>
      <c r="S76" s="401">
        <v>121.35</v>
      </c>
      <c r="T76" s="402">
        <v>547</v>
      </c>
      <c r="U76" s="401">
        <v>139.03</v>
      </c>
      <c r="V76" s="402">
        <v>949</v>
      </c>
      <c r="W76" s="401">
        <v>178.79</v>
      </c>
      <c r="X76" s="402">
        <v>53</v>
      </c>
      <c r="Y76" s="403">
        <v>0</v>
      </c>
      <c r="Z76" s="403">
        <v>0</v>
      </c>
      <c r="AA76" s="403">
        <v>3</v>
      </c>
      <c r="AB76" s="403">
        <v>56</v>
      </c>
      <c r="AC76" s="403">
        <v>9</v>
      </c>
      <c r="AD76" s="403">
        <v>5330</v>
      </c>
      <c r="AE76" s="403">
        <v>36</v>
      </c>
      <c r="AF76" s="403">
        <v>69</v>
      </c>
      <c r="AG76" s="403">
        <v>105</v>
      </c>
    </row>
    <row r="77" spans="1:33" x14ac:dyDescent="0.3">
      <c r="A77" s="396" t="s">
        <v>214</v>
      </c>
      <c r="B77" s="396" t="s">
        <v>215</v>
      </c>
      <c r="C77" s="403">
        <v>45876</v>
      </c>
      <c r="D77" s="403">
        <v>12</v>
      </c>
      <c r="E77" s="403">
        <v>1035</v>
      </c>
      <c r="F77" s="403">
        <v>1445</v>
      </c>
      <c r="G77" s="403">
        <v>341</v>
      </c>
      <c r="H77" s="400">
        <v>48709</v>
      </c>
      <c r="I77" s="400">
        <v>48368</v>
      </c>
      <c r="J77" s="403">
        <v>73</v>
      </c>
      <c r="K77" s="401">
        <v>73.5</v>
      </c>
      <c r="L77" s="401">
        <v>73.53</v>
      </c>
      <c r="M77" s="401">
        <v>3.95</v>
      </c>
      <c r="N77" s="401">
        <v>74.069999999999993</v>
      </c>
      <c r="O77" s="402">
        <v>41359</v>
      </c>
      <c r="P77" s="401">
        <v>102.58</v>
      </c>
      <c r="Q77" s="401">
        <v>76.44</v>
      </c>
      <c r="R77" s="401">
        <v>60.63</v>
      </c>
      <c r="S77" s="401">
        <v>161.94</v>
      </c>
      <c r="T77" s="402">
        <v>2013</v>
      </c>
      <c r="U77" s="401">
        <v>91.91</v>
      </c>
      <c r="V77" s="402">
        <v>3996</v>
      </c>
      <c r="W77" s="401">
        <v>143.78</v>
      </c>
      <c r="X77" s="402">
        <v>165</v>
      </c>
      <c r="Y77" s="403">
        <v>20</v>
      </c>
      <c r="Z77" s="403">
        <v>118</v>
      </c>
      <c r="AA77" s="403">
        <v>35</v>
      </c>
      <c r="AB77" s="403">
        <v>35</v>
      </c>
      <c r="AC77" s="403">
        <v>17</v>
      </c>
      <c r="AD77" s="403">
        <v>45827</v>
      </c>
      <c r="AE77" s="403">
        <v>622</v>
      </c>
      <c r="AF77" s="403">
        <v>314</v>
      </c>
      <c r="AG77" s="403">
        <v>936</v>
      </c>
    </row>
    <row r="78" spans="1:33" x14ac:dyDescent="0.3">
      <c r="A78" s="396" t="s">
        <v>216</v>
      </c>
      <c r="B78" s="396" t="s">
        <v>217</v>
      </c>
      <c r="C78" s="403">
        <v>22332</v>
      </c>
      <c r="D78" s="403">
        <v>0</v>
      </c>
      <c r="E78" s="403">
        <v>815</v>
      </c>
      <c r="F78" s="403">
        <v>1712</v>
      </c>
      <c r="G78" s="403">
        <v>611</v>
      </c>
      <c r="H78" s="400">
        <v>25470</v>
      </c>
      <c r="I78" s="400">
        <v>24859</v>
      </c>
      <c r="J78" s="403">
        <v>6</v>
      </c>
      <c r="K78" s="401">
        <v>86.21</v>
      </c>
      <c r="L78" s="401">
        <v>85.67</v>
      </c>
      <c r="M78" s="401">
        <v>5.6</v>
      </c>
      <c r="N78" s="401">
        <v>91.42</v>
      </c>
      <c r="O78" s="402">
        <v>19767</v>
      </c>
      <c r="P78" s="401">
        <v>92.18</v>
      </c>
      <c r="Q78" s="401">
        <v>84.21</v>
      </c>
      <c r="R78" s="401">
        <v>55.1</v>
      </c>
      <c r="S78" s="401">
        <v>146.38999999999999</v>
      </c>
      <c r="T78" s="402">
        <v>2053</v>
      </c>
      <c r="U78" s="401">
        <v>114.24</v>
      </c>
      <c r="V78" s="402">
        <v>2248</v>
      </c>
      <c r="W78" s="401">
        <v>0</v>
      </c>
      <c r="X78" s="402">
        <v>0</v>
      </c>
      <c r="Y78" s="403">
        <v>0</v>
      </c>
      <c r="Z78" s="403">
        <v>52</v>
      </c>
      <c r="AA78" s="403">
        <v>43</v>
      </c>
      <c r="AB78" s="403">
        <v>23</v>
      </c>
      <c r="AC78" s="403">
        <v>17</v>
      </c>
      <c r="AD78" s="403">
        <v>22199</v>
      </c>
      <c r="AE78" s="403">
        <v>126</v>
      </c>
      <c r="AF78" s="403">
        <v>170</v>
      </c>
      <c r="AG78" s="403">
        <v>296</v>
      </c>
    </row>
    <row r="79" spans="1:33" x14ac:dyDescent="0.3">
      <c r="A79" s="396" t="s">
        <v>218</v>
      </c>
      <c r="B79" s="396" t="s">
        <v>219</v>
      </c>
      <c r="C79" s="403">
        <v>2250</v>
      </c>
      <c r="D79" s="403">
        <v>0</v>
      </c>
      <c r="E79" s="403">
        <v>66</v>
      </c>
      <c r="F79" s="403">
        <v>182</v>
      </c>
      <c r="G79" s="403">
        <v>74</v>
      </c>
      <c r="H79" s="400">
        <v>2572</v>
      </c>
      <c r="I79" s="400">
        <v>2498</v>
      </c>
      <c r="J79" s="403">
        <v>23</v>
      </c>
      <c r="K79" s="401">
        <v>86.31</v>
      </c>
      <c r="L79" s="401">
        <v>82.74</v>
      </c>
      <c r="M79" s="401">
        <v>6.2</v>
      </c>
      <c r="N79" s="401">
        <v>90.19</v>
      </c>
      <c r="O79" s="402">
        <v>1524</v>
      </c>
      <c r="P79" s="401">
        <v>83.88</v>
      </c>
      <c r="Q79" s="401">
        <v>68.03</v>
      </c>
      <c r="R79" s="401">
        <v>31.95</v>
      </c>
      <c r="S79" s="401">
        <v>115.15</v>
      </c>
      <c r="T79" s="402">
        <v>188</v>
      </c>
      <c r="U79" s="401">
        <v>97.02</v>
      </c>
      <c r="V79" s="402">
        <v>681</v>
      </c>
      <c r="W79" s="401">
        <v>159.62</v>
      </c>
      <c r="X79" s="402">
        <v>34</v>
      </c>
      <c r="Y79" s="403">
        <v>0</v>
      </c>
      <c r="Z79" s="403">
        <v>4</v>
      </c>
      <c r="AA79" s="403">
        <v>1</v>
      </c>
      <c r="AB79" s="403">
        <v>6</v>
      </c>
      <c r="AC79" s="403">
        <v>2</v>
      </c>
      <c r="AD79" s="403">
        <v>2228</v>
      </c>
      <c r="AE79" s="403">
        <v>24</v>
      </c>
      <c r="AF79" s="403">
        <v>8</v>
      </c>
      <c r="AG79" s="403">
        <v>32</v>
      </c>
    </row>
    <row r="80" spans="1:33" x14ac:dyDescent="0.3">
      <c r="A80" s="396" t="s">
        <v>220</v>
      </c>
      <c r="B80" s="396" t="s">
        <v>221</v>
      </c>
      <c r="C80" s="403">
        <v>2136</v>
      </c>
      <c r="D80" s="403">
        <v>0</v>
      </c>
      <c r="E80" s="403">
        <v>161</v>
      </c>
      <c r="F80" s="403">
        <v>286</v>
      </c>
      <c r="G80" s="403">
        <v>431</v>
      </c>
      <c r="H80" s="400">
        <v>3014</v>
      </c>
      <c r="I80" s="400">
        <v>2583</v>
      </c>
      <c r="J80" s="403">
        <v>7</v>
      </c>
      <c r="K80" s="401">
        <v>112.75</v>
      </c>
      <c r="L80" s="401">
        <v>106.1</v>
      </c>
      <c r="M80" s="401">
        <v>9.15</v>
      </c>
      <c r="N80" s="401">
        <v>121.05</v>
      </c>
      <c r="O80" s="402">
        <v>1615</v>
      </c>
      <c r="P80" s="401">
        <v>107.45</v>
      </c>
      <c r="Q80" s="401">
        <v>98.54</v>
      </c>
      <c r="R80" s="401">
        <v>40.26</v>
      </c>
      <c r="S80" s="401">
        <v>147.32</v>
      </c>
      <c r="T80" s="402">
        <v>205</v>
      </c>
      <c r="U80" s="401">
        <v>160.38</v>
      </c>
      <c r="V80" s="402">
        <v>419</v>
      </c>
      <c r="W80" s="401">
        <v>294.32</v>
      </c>
      <c r="X80" s="402">
        <v>103</v>
      </c>
      <c r="Y80" s="403">
        <v>0</v>
      </c>
      <c r="Z80" s="403">
        <v>0</v>
      </c>
      <c r="AA80" s="403">
        <v>3</v>
      </c>
      <c r="AB80" s="403">
        <v>13</v>
      </c>
      <c r="AC80" s="403">
        <v>9</v>
      </c>
      <c r="AD80" s="403">
        <v>2107</v>
      </c>
      <c r="AE80" s="403">
        <v>11</v>
      </c>
      <c r="AF80" s="403">
        <v>3</v>
      </c>
      <c r="AG80" s="403">
        <v>14</v>
      </c>
    </row>
    <row r="81" spans="1:33" x14ac:dyDescent="0.3">
      <c r="A81" s="396" t="s">
        <v>222</v>
      </c>
      <c r="B81" s="396" t="s">
        <v>223</v>
      </c>
      <c r="C81" s="403">
        <v>11429</v>
      </c>
      <c r="D81" s="403">
        <v>83</v>
      </c>
      <c r="E81" s="403">
        <v>1048</v>
      </c>
      <c r="F81" s="403">
        <v>833</v>
      </c>
      <c r="G81" s="403">
        <v>2351</v>
      </c>
      <c r="H81" s="400">
        <v>15744</v>
      </c>
      <c r="I81" s="400">
        <v>13393</v>
      </c>
      <c r="J81" s="403">
        <v>32</v>
      </c>
      <c r="K81" s="401">
        <v>124.02</v>
      </c>
      <c r="L81" s="401">
        <v>122.99</v>
      </c>
      <c r="M81" s="401">
        <v>10.81</v>
      </c>
      <c r="N81" s="401">
        <v>131.56</v>
      </c>
      <c r="O81" s="402">
        <v>8751</v>
      </c>
      <c r="P81" s="401">
        <v>103.54</v>
      </c>
      <c r="Q81" s="401">
        <v>96.42</v>
      </c>
      <c r="R81" s="401">
        <v>68.45</v>
      </c>
      <c r="S81" s="401">
        <v>171.08</v>
      </c>
      <c r="T81" s="402">
        <v>1124</v>
      </c>
      <c r="U81" s="401">
        <v>189.05</v>
      </c>
      <c r="V81" s="402">
        <v>2049</v>
      </c>
      <c r="W81" s="401">
        <v>142.35</v>
      </c>
      <c r="X81" s="402">
        <v>34</v>
      </c>
      <c r="Y81" s="403">
        <v>5</v>
      </c>
      <c r="Z81" s="403">
        <v>2</v>
      </c>
      <c r="AA81" s="403">
        <v>17</v>
      </c>
      <c r="AB81" s="403">
        <v>74</v>
      </c>
      <c r="AC81" s="403">
        <v>38</v>
      </c>
      <c r="AD81" s="403">
        <v>11159</v>
      </c>
      <c r="AE81" s="403">
        <v>67</v>
      </c>
      <c r="AF81" s="403">
        <v>32</v>
      </c>
      <c r="AG81" s="403">
        <v>99</v>
      </c>
    </row>
    <row r="82" spans="1:33" x14ac:dyDescent="0.3">
      <c r="A82" s="396" t="s">
        <v>224</v>
      </c>
      <c r="B82" s="396" t="s">
        <v>225</v>
      </c>
      <c r="C82" s="403">
        <v>3024</v>
      </c>
      <c r="D82" s="403">
        <v>0</v>
      </c>
      <c r="E82" s="403">
        <v>239</v>
      </c>
      <c r="F82" s="403">
        <v>275</v>
      </c>
      <c r="G82" s="403">
        <v>353</v>
      </c>
      <c r="H82" s="400">
        <v>3891</v>
      </c>
      <c r="I82" s="400">
        <v>3538</v>
      </c>
      <c r="J82" s="403">
        <v>0</v>
      </c>
      <c r="K82" s="401">
        <v>118.14</v>
      </c>
      <c r="L82" s="401">
        <v>115.4</v>
      </c>
      <c r="M82" s="401">
        <v>7.21</v>
      </c>
      <c r="N82" s="401">
        <v>124.3</v>
      </c>
      <c r="O82" s="402">
        <v>1957</v>
      </c>
      <c r="P82" s="401">
        <v>120.72</v>
      </c>
      <c r="Q82" s="401">
        <v>100.12</v>
      </c>
      <c r="R82" s="401">
        <v>33.53</v>
      </c>
      <c r="S82" s="401">
        <v>153.34</v>
      </c>
      <c r="T82" s="402">
        <v>402</v>
      </c>
      <c r="U82" s="401">
        <v>175.43</v>
      </c>
      <c r="V82" s="402">
        <v>830</v>
      </c>
      <c r="W82" s="401">
        <v>156.55000000000001</v>
      </c>
      <c r="X82" s="402">
        <v>9</v>
      </c>
      <c r="Y82" s="403">
        <v>132</v>
      </c>
      <c r="Z82" s="403">
        <v>0</v>
      </c>
      <c r="AA82" s="403">
        <v>2</v>
      </c>
      <c r="AB82" s="403">
        <v>4</v>
      </c>
      <c r="AC82" s="403">
        <v>8</v>
      </c>
      <c r="AD82" s="403">
        <v>2973</v>
      </c>
      <c r="AE82" s="403">
        <v>32</v>
      </c>
      <c r="AF82" s="403">
        <v>21</v>
      </c>
      <c r="AG82" s="403">
        <v>53</v>
      </c>
    </row>
    <row r="83" spans="1:33" x14ac:dyDescent="0.3">
      <c r="A83" s="396" t="s">
        <v>226</v>
      </c>
      <c r="B83" s="396" t="s">
        <v>227</v>
      </c>
      <c r="C83" s="403">
        <v>2172</v>
      </c>
      <c r="D83" s="403">
        <v>6</v>
      </c>
      <c r="E83" s="403">
        <v>324</v>
      </c>
      <c r="F83" s="403">
        <v>529</v>
      </c>
      <c r="G83" s="403">
        <v>134</v>
      </c>
      <c r="H83" s="400">
        <v>3165</v>
      </c>
      <c r="I83" s="400">
        <v>3031</v>
      </c>
      <c r="J83" s="403">
        <v>3</v>
      </c>
      <c r="K83" s="401">
        <v>80.040000000000006</v>
      </c>
      <c r="L83" s="401">
        <v>77.17</v>
      </c>
      <c r="M83" s="401">
        <v>4.51</v>
      </c>
      <c r="N83" s="401">
        <v>82.92</v>
      </c>
      <c r="O83" s="402">
        <v>1349</v>
      </c>
      <c r="P83" s="401">
        <v>93.36</v>
      </c>
      <c r="Q83" s="401">
        <v>78.44</v>
      </c>
      <c r="R83" s="401">
        <v>57.54</v>
      </c>
      <c r="S83" s="401">
        <v>150.62</v>
      </c>
      <c r="T83" s="402">
        <v>616</v>
      </c>
      <c r="U83" s="401">
        <v>100.05</v>
      </c>
      <c r="V83" s="402">
        <v>624</v>
      </c>
      <c r="W83" s="401">
        <v>104.77</v>
      </c>
      <c r="X83" s="402">
        <v>38</v>
      </c>
      <c r="Y83" s="403">
        <v>24</v>
      </c>
      <c r="Z83" s="403">
        <v>4</v>
      </c>
      <c r="AA83" s="403">
        <v>0</v>
      </c>
      <c r="AB83" s="403">
        <v>7</v>
      </c>
      <c r="AC83" s="403">
        <v>5</v>
      </c>
      <c r="AD83" s="403">
        <v>2159</v>
      </c>
      <c r="AE83" s="403">
        <v>13</v>
      </c>
      <c r="AF83" s="403">
        <v>23</v>
      </c>
      <c r="AG83" s="403">
        <v>36</v>
      </c>
    </row>
    <row r="84" spans="1:33" x14ac:dyDescent="0.3">
      <c r="A84" s="396" t="s">
        <v>228</v>
      </c>
      <c r="B84" s="396" t="s">
        <v>229</v>
      </c>
      <c r="C84" s="403">
        <v>1752</v>
      </c>
      <c r="D84" s="403">
        <v>12</v>
      </c>
      <c r="E84" s="403">
        <v>179</v>
      </c>
      <c r="F84" s="403">
        <v>107</v>
      </c>
      <c r="G84" s="403">
        <v>1074</v>
      </c>
      <c r="H84" s="400">
        <v>3124</v>
      </c>
      <c r="I84" s="400">
        <v>2050</v>
      </c>
      <c r="J84" s="403">
        <v>0</v>
      </c>
      <c r="K84" s="401">
        <v>109.35</v>
      </c>
      <c r="L84" s="401">
        <v>105.42</v>
      </c>
      <c r="M84" s="401">
        <v>7.64</v>
      </c>
      <c r="N84" s="401">
        <v>116.45</v>
      </c>
      <c r="O84" s="402">
        <v>851</v>
      </c>
      <c r="P84" s="401">
        <v>127.2</v>
      </c>
      <c r="Q84" s="401">
        <v>87.26</v>
      </c>
      <c r="R84" s="401">
        <v>48.41</v>
      </c>
      <c r="S84" s="401">
        <v>170.17</v>
      </c>
      <c r="T84" s="402">
        <v>169</v>
      </c>
      <c r="U84" s="401">
        <v>162.87</v>
      </c>
      <c r="V84" s="402">
        <v>468</v>
      </c>
      <c r="W84" s="401">
        <v>0</v>
      </c>
      <c r="X84" s="402">
        <v>0</v>
      </c>
      <c r="Y84" s="403">
        <v>0</v>
      </c>
      <c r="Z84" s="403">
        <v>0</v>
      </c>
      <c r="AA84" s="403">
        <v>7</v>
      </c>
      <c r="AB84" s="403">
        <v>92</v>
      </c>
      <c r="AC84" s="403">
        <v>21</v>
      </c>
      <c r="AD84" s="403">
        <v>1373</v>
      </c>
      <c r="AE84" s="403">
        <v>5</v>
      </c>
      <c r="AF84" s="403">
        <v>0</v>
      </c>
      <c r="AG84" s="403">
        <v>5</v>
      </c>
    </row>
    <row r="85" spans="1:33" x14ac:dyDescent="0.3">
      <c r="A85" s="396" t="s">
        <v>230</v>
      </c>
      <c r="B85" s="396" t="s">
        <v>231</v>
      </c>
      <c r="C85" s="403">
        <v>6149</v>
      </c>
      <c r="D85" s="403">
        <v>100</v>
      </c>
      <c r="E85" s="403">
        <v>732</v>
      </c>
      <c r="F85" s="403">
        <v>1361</v>
      </c>
      <c r="G85" s="403">
        <v>521</v>
      </c>
      <c r="H85" s="400">
        <v>8863</v>
      </c>
      <c r="I85" s="400">
        <v>8342</v>
      </c>
      <c r="J85" s="403">
        <v>16</v>
      </c>
      <c r="K85" s="401">
        <v>89.96</v>
      </c>
      <c r="L85" s="401">
        <v>87.92</v>
      </c>
      <c r="M85" s="401">
        <v>6.4</v>
      </c>
      <c r="N85" s="401">
        <v>94.54</v>
      </c>
      <c r="O85" s="402">
        <v>5408</v>
      </c>
      <c r="P85" s="401">
        <v>84.73</v>
      </c>
      <c r="Q85" s="401">
        <v>78.400000000000006</v>
      </c>
      <c r="R85" s="401">
        <v>51.85</v>
      </c>
      <c r="S85" s="401">
        <v>135.16999999999999</v>
      </c>
      <c r="T85" s="402">
        <v>1539</v>
      </c>
      <c r="U85" s="401">
        <v>106.72</v>
      </c>
      <c r="V85" s="402">
        <v>557</v>
      </c>
      <c r="W85" s="401">
        <v>164.13</v>
      </c>
      <c r="X85" s="402">
        <v>107</v>
      </c>
      <c r="Y85" s="403">
        <v>35</v>
      </c>
      <c r="Z85" s="403">
        <v>22</v>
      </c>
      <c r="AA85" s="403">
        <v>2</v>
      </c>
      <c r="AB85" s="403">
        <v>21</v>
      </c>
      <c r="AC85" s="403">
        <v>15</v>
      </c>
      <c r="AD85" s="403">
        <v>5947</v>
      </c>
      <c r="AE85" s="403">
        <v>52</v>
      </c>
      <c r="AF85" s="403">
        <v>14</v>
      </c>
      <c r="AG85" s="403">
        <v>66</v>
      </c>
    </row>
    <row r="86" spans="1:33" x14ac:dyDescent="0.3">
      <c r="A86" s="396" t="s">
        <v>232</v>
      </c>
      <c r="B86" s="396" t="s">
        <v>233</v>
      </c>
      <c r="C86" s="403">
        <v>3823</v>
      </c>
      <c r="D86" s="403">
        <v>0</v>
      </c>
      <c r="E86" s="403">
        <v>59</v>
      </c>
      <c r="F86" s="403">
        <v>280</v>
      </c>
      <c r="G86" s="403">
        <v>241</v>
      </c>
      <c r="H86" s="400">
        <v>4403</v>
      </c>
      <c r="I86" s="400">
        <v>4162</v>
      </c>
      <c r="J86" s="403">
        <v>82</v>
      </c>
      <c r="K86" s="401">
        <v>93.13</v>
      </c>
      <c r="L86" s="401">
        <v>95.12</v>
      </c>
      <c r="M86" s="401">
        <v>2.99</v>
      </c>
      <c r="N86" s="401">
        <v>95.76</v>
      </c>
      <c r="O86" s="402">
        <v>3378</v>
      </c>
      <c r="P86" s="401">
        <v>87.78</v>
      </c>
      <c r="Q86" s="401">
        <v>85.17</v>
      </c>
      <c r="R86" s="401">
        <v>31.32</v>
      </c>
      <c r="S86" s="401">
        <v>118.9</v>
      </c>
      <c r="T86" s="402">
        <v>319</v>
      </c>
      <c r="U86" s="401">
        <v>112.19</v>
      </c>
      <c r="V86" s="402">
        <v>334</v>
      </c>
      <c r="W86" s="401">
        <v>194.81</v>
      </c>
      <c r="X86" s="402">
        <v>2</v>
      </c>
      <c r="Y86" s="403">
        <v>0</v>
      </c>
      <c r="Z86" s="403">
        <v>7</v>
      </c>
      <c r="AA86" s="403">
        <v>1</v>
      </c>
      <c r="AB86" s="403">
        <v>17</v>
      </c>
      <c r="AC86" s="403">
        <v>1</v>
      </c>
      <c r="AD86" s="403">
        <v>3686</v>
      </c>
      <c r="AE86" s="403">
        <v>14</v>
      </c>
      <c r="AF86" s="403">
        <v>9</v>
      </c>
      <c r="AG86" s="403">
        <v>23</v>
      </c>
    </row>
    <row r="87" spans="1:33" x14ac:dyDescent="0.3">
      <c r="A87" s="396" t="s">
        <v>234</v>
      </c>
      <c r="B87" s="396" t="s">
        <v>235</v>
      </c>
      <c r="C87" s="403">
        <v>2525</v>
      </c>
      <c r="D87" s="403">
        <v>3</v>
      </c>
      <c r="E87" s="403">
        <v>797</v>
      </c>
      <c r="F87" s="403">
        <v>924</v>
      </c>
      <c r="G87" s="403">
        <v>324</v>
      </c>
      <c r="H87" s="400">
        <v>4573</v>
      </c>
      <c r="I87" s="400">
        <v>4249</v>
      </c>
      <c r="J87" s="403">
        <v>2</v>
      </c>
      <c r="K87" s="401">
        <v>82.49</v>
      </c>
      <c r="L87" s="401">
        <v>80.02</v>
      </c>
      <c r="M87" s="401">
        <v>5.29</v>
      </c>
      <c r="N87" s="401">
        <v>85.53</v>
      </c>
      <c r="O87" s="402">
        <v>1695</v>
      </c>
      <c r="P87" s="401">
        <v>102.08</v>
      </c>
      <c r="Q87" s="401">
        <v>80.06</v>
      </c>
      <c r="R87" s="401">
        <v>40.18</v>
      </c>
      <c r="S87" s="401">
        <v>141.57</v>
      </c>
      <c r="T87" s="402">
        <v>1412</v>
      </c>
      <c r="U87" s="401">
        <v>96.8</v>
      </c>
      <c r="V87" s="402">
        <v>723</v>
      </c>
      <c r="W87" s="401">
        <v>162.13999999999999</v>
      </c>
      <c r="X87" s="402">
        <v>127</v>
      </c>
      <c r="Y87" s="403">
        <v>0</v>
      </c>
      <c r="Z87" s="403">
        <v>0</v>
      </c>
      <c r="AA87" s="403">
        <v>5</v>
      </c>
      <c r="AB87" s="403">
        <v>16</v>
      </c>
      <c r="AC87" s="403">
        <v>3</v>
      </c>
      <c r="AD87" s="403">
        <v>2454</v>
      </c>
      <c r="AE87" s="403">
        <v>22</v>
      </c>
      <c r="AF87" s="403">
        <v>19</v>
      </c>
      <c r="AG87" s="403">
        <v>41</v>
      </c>
    </row>
    <row r="88" spans="1:33" x14ac:dyDescent="0.3">
      <c r="A88" s="396" t="s">
        <v>236</v>
      </c>
      <c r="B88" s="396" t="s">
        <v>237</v>
      </c>
      <c r="C88" s="403">
        <v>16451</v>
      </c>
      <c r="D88" s="403">
        <v>26</v>
      </c>
      <c r="E88" s="403">
        <v>757</v>
      </c>
      <c r="F88" s="403">
        <v>3985</v>
      </c>
      <c r="G88" s="403">
        <v>1310</v>
      </c>
      <c r="H88" s="400">
        <v>22529</v>
      </c>
      <c r="I88" s="400">
        <v>21219</v>
      </c>
      <c r="J88" s="403">
        <v>315</v>
      </c>
      <c r="K88" s="401">
        <v>100.17</v>
      </c>
      <c r="L88" s="401">
        <v>99.91</v>
      </c>
      <c r="M88" s="401">
        <v>3.73</v>
      </c>
      <c r="N88" s="401">
        <v>102.63</v>
      </c>
      <c r="O88" s="402">
        <v>14375</v>
      </c>
      <c r="P88" s="401">
        <v>89.64</v>
      </c>
      <c r="Q88" s="401">
        <v>88.38</v>
      </c>
      <c r="R88" s="401">
        <v>21.67</v>
      </c>
      <c r="S88" s="401">
        <v>110.75</v>
      </c>
      <c r="T88" s="402">
        <v>4107</v>
      </c>
      <c r="U88" s="401">
        <v>139.16999999999999</v>
      </c>
      <c r="V88" s="402">
        <v>1762</v>
      </c>
      <c r="W88" s="401">
        <v>170.76</v>
      </c>
      <c r="X88" s="402">
        <v>87</v>
      </c>
      <c r="Y88" s="403">
        <v>65</v>
      </c>
      <c r="Z88" s="403">
        <v>11</v>
      </c>
      <c r="AA88" s="403">
        <v>50</v>
      </c>
      <c r="AB88" s="403">
        <v>70</v>
      </c>
      <c r="AC88" s="403">
        <v>23</v>
      </c>
      <c r="AD88" s="403">
        <v>16123</v>
      </c>
      <c r="AE88" s="403">
        <v>56</v>
      </c>
      <c r="AF88" s="403">
        <v>85</v>
      </c>
      <c r="AG88" s="403">
        <v>141</v>
      </c>
    </row>
    <row r="89" spans="1:33" x14ac:dyDescent="0.3">
      <c r="A89" s="396" t="s">
        <v>238</v>
      </c>
      <c r="B89" s="396" t="s">
        <v>239</v>
      </c>
      <c r="C89" s="403">
        <v>2101</v>
      </c>
      <c r="D89" s="403">
        <v>0</v>
      </c>
      <c r="E89" s="403">
        <v>135</v>
      </c>
      <c r="F89" s="403">
        <v>550</v>
      </c>
      <c r="G89" s="403">
        <v>266</v>
      </c>
      <c r="H89" s="400">
        <v>3052</v>
      </c>
      <c r="I89" s="400">
        <v>2786</v>
      </c>
      <c r="J89" s="403">
        <v>31</v>
      </c>
      <c r="K89" s="401">
        <v>91.44</v>
      </c>
      <c r="L89" s="401">
        <v>89.47</v>
      </c>
      <c r="M89" s="401">
        <v>6.89</v>
      </c>
      <c r="N89" s="401">
        <v>96.63</v>
      </c>
      <c r="O89" s="402">
        <v>1700</v>
      </c>
      <c r="P89" s="401">
        <v>107.38</v>
      </c>
      <c r="Q89" s="401">
        <v>89.42</v>
      </c>
      <c r="R89" s="401">
        <v>40.98</v>
      </c>
      <c r="S89" s="401">
        <v>145.32</v>
      </c>
      <c r="T89" s="402">
        <v>675</v>
      </c>
      <c r="U89" s="401">
        <v>126.73</v>
      </c>
      <c r="V89" s="402">
        <v>276</v>
      </c>
      <c r="W89" s="401">
        <v>0</v>
      </c>
      <c r="X89" s="402">
        <v>0</v>
      </c>
      <c r="Y89" s="403">
        <v>0</v>
      </c>
      <c r="Z89" s="403">
        <v>0</v>
      </c>
      <c r="AA89" s="403">
        <v>0</v>
      </c>
      <c r="AB89" s="403">
        <v>10</v>
      </c>
      <c r="AC89" s="403">
        <v>5</v>
      </c>
      <c r="AD89" s="403">
        <v>2013</v>
      </c>
      <c r="AE89" s="403">
        <v>34</v>
      </c>
      <c r="AF89" s="403">
        <v>20</v>
      </c>
      <c r="AG89" s="403">
        <v>54</v>
      </c>
    </row>
    <row r="90" spans="1:33" x14ac:dyDescent="0.3">
      <c r="A90" s="396" t="s">
        <v>240</v>
      </c>
      <c r="B90" s="396" t="s">
        <v>241</v>
      </c>
      <c r="C90" s="403">
        <v>3898</v>
      </c>
      <c r="D90" s="403">
        <v>0</v>
      </c>
      <c r="E90" s="403">
        <v>418</v>
      </c>
      <c r="F90" s="403">
        <v>790</v>
      </c>
      <c r="G90" s="403">
        <v>703</v>
      </c>
      <c r="H90" s="400">
        <v>5809</v>
      </c>
      <c r="I90" s="400">
        <v>5106</v>
      </c>
      <c r="J90" s="403">
        <v>1</v>
      </c>
      <c r="K90" s="401">
        <v>94.34</v>
      </c>
      <c r="L90" s="401">
        <v>91.68</v>
      </c>
      <c r="M90" s="401">
        <v>6.54</v>
      </c>
      <c r="N90" s="401">
        <v>99.81</v>
      </c>
      <c r="O90" s="402">
        <v>3222</v>
      </c>
      <c r="P90" s="401">
        <v>112.5</v>
      </c>
      <c r="Q90" s="401">
        <v>95.99</v>
      </c>
      <c r="R90" s="401">
        <v>59.87</v>
      </c>
      <c r="S90" s="401">
        <v>170.04</v>
      </c>
      <c r="T90" s="402">
        <v>952</v>
      </c>
      <c r="U90" s="401">
        <v>112.93</v>
      </c>
      <c r="V90" s="402">
        <v>589</v>
      </c>
      <c r="W90" s="401">
        <v>115.33</v>
      </c>
      <c r="X90" s="402">
        <v>8</v>
      </c>
      <c r="Y90" s="403">
        <v>0</v>
      </c>
      <c r="Z90" s="403">
        <v>3</v>
      </c>
      <c r="AA90" s="403">
        <v>6</v>
      </c>
      <c r="AB90" s="403">
        <v>27</v>
      </c>
      <c r="AC90" s="403">
        <v>14</v>
      </c>
      <c r="AD90" s="403">
        <v>3898</v>
      </c>
      <c r="AE90" s="403">
        <v>19</v>
      </c>
      <c r="AF90" s="403">
        <v>15</v>
      </c>
      <c r="AG90" s="403">
        <v>34</v>
      </c>
    </row>
    <row r="91" spans="1:33" x14ac:dyDescent="0.3">
      <c r="A91" s="396" t="s">
        <v>242</v>
      </c>
      <c r="B91" s="396" t="s">
        <v>243</v>
      </c>
      <c r="C91" s="403">
        <v>10675</v>
      </c>
      <c r="D91" s="403">
        <v>331</v>
      </c>
      <c r="E91" s="403">
        <v>973</v>
      </c>
      <c r="F91" s="403">
        <v>751</v>
      </c>
      <c r="G91" s="403">
        <v>3039</v>
      </c>
      <c r="H91" s="400">
        <v>15769</v>
      </c>
      <c r="I91" s="400">
        <v>12730</v>
      </c>
      <c r="J91" s="403">
        <v>87</v>
      </c>
      <c r="K91" s="401">
        <v>129.21</v>
      </c>
      <c r="L91" s="401">
        <v>129.88</v>
      </c>
      <c r="M91" s="401">
        <v>11.32</v>
      </c>
      <c r="N91" s="401">
        <v>137.46</v>
      </c>
      <c r="O91" s="402">
        <v>8209</v>
      </c>
      <c r="P91" s="401">
        <v>124.05</v>
      </c>
      <c r="Q91" s="401">
        <v>117.29</v>
      </c>
      <c r="R91" s="401">
        <v>52.82</v>
      </c>
      <c r="S91" s="401">
        <v>173.64</v>
      </c>
      <c r="T91" s="402">
        <v>1094</v>
      </c>
      <c r="U91" s="401">
        <v>202.91</v>
      </c>
      <c r="V91" s="402">
        <v>1605</v>
      </c>
      <c r="W91" s="401">
        <v>198.28</v>
      </c>
      <c r="X91" s="402">
        <v>44</v>
      </c>
      <c r="Y91" s="403">
        <v>16</v>
      </c>
      <c r="Z91" s="403">
        <v>4</v>
      </c>
      <c r="AA91" s="403">
        <v>8</v>
      </c>
      <c r="AB91" s="403">
        <v>192</v>
      </c>
      <c r="AC91" s="403">
        <v>50</v>
      </c>
      <c r="AD91" s="403">
        <v>10288</v>
      </c>
      <c r="AE91" s="403">
        <v>44</v>
      </c>
      <c r="AF91" s="403">
        <v>85</v>
      </c>
      <c r="AG91" s="403">
        <v>129</v>
      </c>
    </row>
    <row r="92" spans="1:33" x14ac:dyDescent="0.3">
      <c r="A92" s="396" t="s">
        <v>244</v>
      </c>
      <c r="B92" s="396" t="s">
        <v>245</v>
      </c>
      <c r="C92" s="403">
        <v>4186</v>
      </c>
      <c r="D92" s="403">
        <v>5</v>
      </c>
      <c r="E92" s="403">
        <v>118</v>
      </c>
      <c r="F92" s="403">
        <v>1022</v>
      </c>
      <c r="G92" s="403">
        <v>460</v>
      </c>
      <c r="H92" s="400">
        <v>5791</v>
      </c>
      <c r="I92" s="400">
        <v>5331</v>
      </c>
      <c r="J92" s="403">
        <v>0</v>
      </c>
      <c r="K92" s="401">
        <v>103.01</v>
      </c>
      <c r="L92" s="401">
        <v>103.28</v>
      </c>
      <c r="M92" s="401">
        <v>3.06</v>
      </c>
      <c r="N92" s="401">
        <v>104.19</v>
      </c>
      <c r="O92" s="402">
        <v>3661</v>
      </c>
      <c r="P92" s="401">
        <v>97.09</v>
      </c>
      <c r="Q92" s="401">
        <v>95.64</v>
      </c>
      <c r="R92" s="401">
        <v>27.69</v>
      </c>
      <c r="S92" s="401">
        <v>124.55</v>
      </c>
      <c r="T92" s="402">
        <v>1123</v>
      </c>
      <c r="U92" s="401">
        <v>133.28</v>
      </c>
      <c r="V92" s="402">
        <v>435</v>
      </c>
      <c r="W92" s="401">
        <v>0</v>
      </c>
      <c r="X92" s="402">
        <v>0</v>
      </c>
      <c r="Y92" s="403">
        <v>0</v>
      </c>
      <c r="Z92" s="403">
        <v>3</v>
      </c>
      <c r="AA92" s="403">
        <v>9</v>
      </c>
      <c r="AB92" s="403">
        <v>22</v>
      </c>
      <c r="AC92" s="403">
        <v>11</v>
      </c>
      <c r="AD92" s="403">
        <v>4178</v>
      </c>
      <c r="AE92" s="403">
        <v>9</v>
      </c>
      <c r="AF92" s="403">
        <v>55</v>
      </c>
      <c r="AG92" s="403">
        <v>64</v>
      </c>
    </row>
    <row r="93" spans="1:33" x14ac:dyDescent="0.3">
      <c r="A93" s="396" t="s">
        <v>246</v>
      </c>
      <c r="B93" s="396" t="s">
        <v>247</v>
      </c>
      <c r="C93" s="403">
        <v>2504</v>
      </c>
      <c r="D93" s="403">
        <v>1</v>
      </c>
      <c r="E93" s="403">
        <v>195</v>
      </c>
      <c r="F93" s="403">
        <v>145</v>
      </c>
      <c r="G93" s="403">
        <v>868</v>
      </c>
      <c r="H93" s="400">
        <v>3713</v>
      </c>
      <c r="I93" s="400">
        <v>2845</v>
      </c>
      <c r="J93" s="403">
        <v>0</v>
      </c>
      <c r="K93" s="401">
        <v>94.62</v>
      </c>
      <c r="L93" s="401">
        <v>91.84</v>
      </c>
      <c r="M93" s="401">
        <v>3.69</v>
      </c>
      <c r="N93" s="401">
        <v>97.2</v>
      </c>
      <c r="O93" s="402">
        <v>1552</v>
      </c>
      <c r="P93" s="401">
        <v>105.54</v>
      </c>
      <c r="Q93" s="401">
        <v>80.66</v>
      </c>
      <c r="R93" s="401">
        <v>54.57</v>
      </c>
      <c r="S93" s="401">
        <v>158.26</v>
      </c>
      <c r="T93" s="402">
        <v>237</v>
      </c>
      <c r="U93" s="401">
        <v>132.77000000000001</v>
      </c>
      <c r="V93" s="402">
        <v>735</v>
      </c>
      <c r="W93" s="401">
        <v>0</v>
      </c>
      <c r="X93" s="402">
        <v>0</v>
      </c>
      <c r="Y93" s="403">
        <v>0</v>
      </c>
      <c r="Z93" s="403">
        <v>0</v>
      </c>
      <c r="AA93" s="403">
        <v>17</v>
      </c>
      <c r="AB93" s="403">
        <v>77</v>
      </c>
      <c r="AC93" s="403">
        <v>12</v>
      </c>
      <c r="AD93" s="403">
        <v>2459</v>
      </c>
      <c r="AE93" s="403">
        <v>12</v>
      </c>
      <c r="AF93" s="403">
        <v>5</v>
      </c>
      <c r="AG93" s="403">
        <v>17</v>
      </c>
    </row>
    <row r="94" spans="1:33" x14ac:dyDescent="0.3">
      <c r="A94" s="396" t="s">
        <v>248</v>
      </c>
      <c r="B94" s="396" t="s">
        <v>249</v>
      </c>
      <c r="C94" s="403">
        <v>5807</v>
      </c>
      <c r="D94" s="403">
        <v>0</v>
      </c>
      <c r="E94" s="403">
        <v>123</v>
      </c>
      <c r="F94" s="403">
        <v>785</v>
      </c>
      <c r="G94" s="403">
        <v>697</v>
      </c>
      <c r="H94" s="400">
        <v>7412</v>
      </c>
      <c r="I94" s="400">
        <v>6715</v>
      </c>
      <c r="J94" s="403">
        <v>0</v>
      </c>
      <c r="K94" s="401">
        <v>116.51</v>
      </c>
      <c r="L94" s="401">
        <v>113.17</v>
      </c>
      <c r="M94" s="401">
        <v>4.4000000000000004</v>
      </c>
      <c r="N94" s="401">
        <v>118.05</v>
      </c>
      <c r="O94" s="402">
        <v>4246</v>
      </c>
      <c r="P94" s="401">
        <v>97.43</v>
      </c>
      <c r="Q94" s="401">
        <v>93.75</v>
      </c>
      <c r="R94" s="401">
        <v>15.69</v>
      </c>
      <c r="S94" s="401">
        <v>112.45</v>
      </c>
      <c r="T94" s="402">
        <v>889</v>
      </c>
      <c r="U94" s="401">
        <v>158.22</v>
      </c>
      <c r="V94" s="402">
        <v>1178</v>
      </c>
      <c r="W94" s="401">
        <v>0</v>
      </c>
      <c r="X94" s="402">
        <v>0</v>
      </c>
      <c r="Y94" s="403">
        <v>6</v>
      </c>
      <c r="Z94" s="403">
        <v>3</v>
      </c>
      <c r="AA94" s="403">
        <v>0</v>
      </c>
      <c r="AB94" s="403">
        <v>29</v>
      </c>
      <c r="AC94" s="403">
        <v>15</v>
      </c>
      <c r="AD94" s="403">
        <v>5534</v>
      </c>
      <c r="AE94" s="403">
        <v>31</v>
      </c>
      <c r="AF94" s="403">
        <v>1</v>
      </c>
      <c r="AG94" s="403">
        <v>32</v>
      </c>
    </row>
    <row r="95" spans="1:33" x14ac:dyDescent="0.3">
      <c r="A95" s="396" t="s">
        <v>250</v>
      </c>
      <c r="B95" s="396" t="s">
        <v>251</v>
      </c>
      <c r="C95" s="403">
        <v>7169</v>
      </c>
      <c r="D95" s="403">
        <v>0</v>
      </c>
      <c r="E95" s="403">
        <v>181</v>
      </c>
      <c r="F95" s="403">
        <v>1059</v>
      </c>
      <c r="G95" s="403">
        <v>953</v>
      </c>
      <c r="H95" s="400">
        <v>9362</v>
      </c>
      <c r="I95" s="400">
        <v>8409</v>
      </c>
      <c r="J95" s="403">
        <v>7</v>
      </c>
      <c r="K95" s="401">
        <v>117.27</v>
      </c>
      <c r="L95" s="401">
        <v>116.57</v>
      </c>
      <c r="M95" s="401">
        <v>6.15</v>
      </c>
      <c r="N95" s="401">
        <v>119.81</v>
      </c>
      <c r="O95" s="402">
        <v>5111</v>
      </c>
      <c r="P95" s="401">
        <v>106.18</v>
      </c>
      <c r="Q95" s="401">
        <v>98.05</v>
      </c>
      <c r="R95" s="401">
        <v>34.29</v>
      </c>
      <c r="S95" s="401">
        <v>139.41</v>
      </c>
      <c r="T95" s="402">
        <v>1198</v>
      </c>
      <c r="U95" s="401">
        <v>167.07</v>
      </c>
      <c r="V95" s="402">
        <v>1941</v>
      </c>
      <c r="W95" s="401">
        <v>0</v>
      </c>
      <c r="X95" s="402">
        <v>0</v>
      </c>
      <c r="Y95" s="403">
        <v>43</v>
      </c>
      <c r="Z95" s="403">
        <v>1</v>
      </c>
      <c r="AA95" s="403">
        <v>4</v>
      </c>
      <c r="AB95" s="403">
        <v>89</v>
      </c>
      <c r="AC95" s="403">
        <v>14</v>
      </c>
      <c r="AD95" s="403">
        <v>7147</v>
      </c>
      <c r="AE95" s="403">
        <v>82</v>
      </c>
      <c r="AF95" s="403">
        <v>16</v>
      </c>
      <c r="AG95" s="403">
        <v>98</v>
      </c>
    </row>
    <row r="96" spans="1:33" x14ac:dyDescent="0.3">
      <c r="A96" s="396" t="s">
        <v>252</v>
      </c>
      <c r="B96" s="396" t="s">
        <v>253</v>
      </c>
      <c r="C96" s="403">
        <v>6822</v>
      </c>
      <c r="D96" s="403">
        <v>8</v>
      </c>
      <c r="E96" s="403">
        <v>243</v>
      </c>
      <c r="F96" s="403">
        <v>577</v>
      </c>
      <c r="G96" s="403">
        <v>635</v>
      </c>
      <c r="H96" s="400">
        <v>8285</v>
      </c>
      <c r="I96" s="400">
        <v>7650</v>
      </c>
      <c r="J96" s="403">
        <v>1</v>
      </c>
      <c r="K96" s="401">
        <v>83.84</v>
      </c>
      <c r="L96" s="401">
        <v>83.29</v>
      </c>
      <c r="M96" s="401">
        <v>3.1</v>
      </c>
      <c r="N96" s="401">
        <v>86.36</v>
      </c>
      <c r="O96" s="402">
        <v>5158</v>
      </c>
      <c r="P96" s="401">
        <v>86.92</v>
      </c>
      <c r="Q96" s="401">
        <v>77.66</v>
      </c>
      <c r="R96" s="401">
        <v>46.33</v>
      </c>
      <c r="S96" s="401">
        <v>131.74</v>
      </c>
      <c r="T96" s="402">
        <v>772</v>
      </c>
      <c r="U96" s="401">
        <v>94.55</v>
      </c>
      <c r="V96" s="402">
        <v>1463</v>
      </c>
      <c r="W96" s="401">
        <v>151.79</v>
      </c>
      <c r="X96" s="402">
        <v>42</v>
      </c>
      <c r="Y96" s="403">
        <v>0</v>
      </c>
      <c r="Z96" s="403">
        <v>5</v>
      </c>
      <c r="AA96" s="403">
        <v>3</v>
      </c>
      <c r="AB96" s="403">
        <v>41</v>
      </c>
      <c r="AC96" s="403">
        <v>5</v>
      </c>
      <c r="AD96" s="403">
        <v>6666</v>
      </c>
      <c r="AE96" s="403">
        <v>47</v>
      </c>
      <c r="AF96" s="403">
        <v>41</v>
      </c>
      <c r="AG96" s="403">
        <v>88</v>
      </c>
    </row>
    <row r="97" spans="1:33" x14ac:dyDescent="0.3">
      <c r="A97" s="396" t="s">
        <v>254</v>
      </c>
      <c r="B97" s="396" t="s">
        <v>255</v>
      </c>
      <c r="C97" s="403">
        <v>2279</v>
      </c>
      <c r="D97" s="403">
        <v>0</v>
      </c>
      <c r="E97" s="403">
        <v>288</v>
      </c>
      <c r="F97" s="403">
        <v>618</v>
      </c>
      <c r="G97" s="403">
        <v>295</v>
      </c>
      <c r="H97" s="400">
        <v>3480</v>
      </c>
      <c r="I97" s="400">
        <v>3185</v>
      </c>
      <c r="J97" s="403">
        <v>0</v>
      </c>
      <c r="K97" s="401">
        <v>90.6</v>
      </c>
      <c r="L97" s="401">
        <v>87.72</v>
      </c>
      <c r="M97" s="401">
        <v>4.8499999999999996</v>
      </c>
      <c r="N97" s="401">
        <v>93.51</v>
      </c>
      <c r="O97" s="402">
        <v>1281</v>
      </c>
      <c r="P97" s="401">
        <v>93.93</v>
      </c>
      <c r="Q97" s="401">
        <v>82.74</v>
      </c>
      <c r="R97" s="401">
        <v>50.62</v>
      </c>
      <c r="S97" s="401">
        <v>142.77000000000001</v>
      </c>
      <c r="T97" s="402">
        <v>767</v>
      </c>
      <c r="U97" s="401">
        <v>104.37</v>
      </c>
      <c r="V97" s="402">
        <v>727</v>
      </c>
      <c r="W97" s="401">
        <v>116.49</v>
      </c>
      <c r="X97" s="402">
        <v>40</v>
      </c>
      <c r="Y97" s="403">
        <v>130</v>
      </c>
      <c r="Z97" s="403">
        <v>0</v>
      </c>
      <c r="AA97" s="403">
        <v>0</v>
      </c>
      <c r="AB97" s="403">
        <v>37</v>
      </c>
      <c r="AC97" s="403">
        <v>2</v>
      </c>
      <c r="AD97" s="403">
        <v>2070</v>
      </c>
      <c r="AE97" s="403">
        <v>26</v>
      </c>
      <c r="AF97" s="403">
        <v>8</v>
      </c>
      <c r="AG97" s="403">
        <v>34</v>
      </c>
    </row>
    <row r="98" spans="1:33" x14ac:dyDescent="0.3">
      <c r="A98" s="396" t="s">
        <v>256</v>
      </c>
      <c r="B98" s="396" t="s">
        <v>257</v>
      </c>
      <c r="C98" s="403">
        <v>6264</v>
      </c>
      <c r="D98" s="403">
        <v>0</v>
      </c>
      <c r="E98" s="403">
        <v>131</v>
      </c>
      <c r="F98" s="403">
        <v>441</v>
      </c>
      <c r="G98" s="403">
        <v>292</v>
      </c>
      <c r="H98" s="400">
        <v>7128</v>
      </c>
      <c r="I98" s="400">
        <v>6836</v>
      </c>
      <c r="J98" s="403">
        <v>2</v>
      </c>
      <c r="K98" s="401">
        <v>82.81</v>
      </c>
      <c r="L98" s="401">
        <v>79.92</v>
      </c>
      <c r="M98" s="401">
        <v>6.28</v>
      </c>
      <c r="N98" s="401">
        <v>85.37</v>
      </c>
      <c r="O98" s="402">
        <v>5027</v>
      </c>
      <c r="P98" s="401">
        <v>81.290000000000006</v>
      </c>
      <c r="Q98" s="401">
        <v>75.599999999999994</v>
      </c>
      <c r="R98" s="401">
        <v>55.25</v>
      </c>
      <c r="S98" s="401">
        <v>136.44999999999999</v>
      </c>
      <c r="T98" s="402">
        <v>553</v>
      </c>
      <c r="U98" s="401">
        <v>98.46</v>
      </c>
      <c r="V98" s="402">
        <v>1214</v>
      </c>
      <c r="W98" s="401">
        <v>0</v>
      </c>
      <c r="X98" s="402">
        <v>0</v>
      </c>
      <c r="Y98" s="403">
        <v>35</v>
      </c>
      <c r="Z98" s="403">
        <v>18</v>
      </c>
      <c r="AA98" s="403">
        <v>4</v>
      </c>
      <c r="AB98" s="403">
        <v>39</v>
      </c>
      <c r="AC98" s="403">
        <v>4</v>
      </c>
      <c r="AD98" s="403">
        <v>6264</v>
      </c>
      <c r="AE98" s="403">
        <v>65</v>
      </c>
      <c r="AF98" s="403">
        <v>12</v>
      </c>
      <c r="AG98" s="403">
        <v>77</v>
      </c>
    </row>
    <row r="99" spans="1:33" x14ac:dyDescent="0.3">
      <c r="A99" s="396" t="s">
        <v>258</v>
      </c>
      <c r="B99" s="396" t="s">
        <v>259</v>
      </c>
      <c r="C99" s="403">
        <v>8378</v>
      </c>
      <c r="D99" s="403">
        <v>0</v>
      </c>
      <c r="E99" s="403">
        <v>373</v>
      </c>
      <c r="F99" s="403">
        <v>1375</v>
      </c>
      <c r="G99" s="403">
        <v>274</v>
      </c>
      <c r="H99" s="400">
        <v>10400</v>
      </c>
      <c r="I99" s="400">
        <v>10126</v>
      </c>
      <c r="J99" s="403">
        <v>0</v>
      </c>
      <c r="K99" s="401">
        <v>92.88</v>
      </c>
      <c r="L99" s="401">
        <v>93.13</v>
      </c>
      <c r="M99" s="401">
        <v>3.38</v>
      </c>
      <c r="N99" s="401">
        <v>94.43</v>
      </c>
      <c r="O99" s="402">
        <v>7036</v>
      </c>
      <c r="P99" s="401">
        <v>83.29</v>
      </c>
      <c r="Q99" s="401">
        <v>80.349999999999994</v>
      </c>
      <c r="R99" s="401">
        <v>35.840000000000003</v>
      </c>
      <c r="S99" s="401">
        <v>118.29</v>
      </c>
      <c r="T99" s="402">
        <v>1589</v>
      </c>
      <c r="U99" s="401">
        <v>107.47</v>
      </c>
      <c r="V99" s="402">
        <v>1149</v>
      </c>
      <c r="W99" s="401">
        <v>153.38</v>
      </c>
      <c r="X99" s="402">
        <v>48</v>
      </c>
      <c r="Y99" s="403">
        <v>57</v>
      </c>
      <c r="Z99" s="403">
        <v>1</v>
      </c>
      <c r="AA99" s="403">
        <v>31</v>
      </c>
      <c r="AB99" s="403">
        <v>15</v>
      </c>
      <c r="AC99" s="403">
        <v>4</v>
      </c>
      <c r="AD99" s="403">
        <v>8349</v>
      </c>
      <c r="AE99" s="403">
        <v>29</v>
      </c>
      <c r="AF99" s="403">
        <v>39</v>
      </c>
      <c r="AG99" s="403">
        <v>68</v>
      </c>
    </row>
    <row r="100" spans="1:33" x14ac:dyDescent="0.3">
      <c r="A100" s="396" t="s">
        <v>260</v>
      </c>
      <c r="B100" s="396" t="s">
        <v>261</v>
      </c>
      <c r="C100" s="403">
        <v>1718</v>
      </c>
      <c r="D100" s="403">
        <v>0</v>
      </c>
      <c r="E100" s="403">
        <v>267</v>
      </c>
      <c r="F100" s="403">
        <v>658</v>
      </c>
      <c r="G100" s="403">
        <v>176</v>
      </c>
      <c r="H100" s="400">
        <v>2819</v>
      </c>
      <c r="I100" s="400">
        <v>2643</v>
      </c>
      <c r="J100" s="403">
        <v>0</v>
      </c>
      <c r="K100" s="401">
        <v>96.16</v>
      </c>
      <c r="L100" s="401">
        <v>92.42</v>
      </c>
      <c r="M100" s="401">
        <v>8.08</v>
      </c>
      <c r="N100" s="401">
        <v>102.96</v>
      </c>
      <c r="O100" s="402">
        <v>1473</v>
      </c>
      <c r="P100" s="401">
        <v>81.819999999999993</v>
      </c>
      <c r="Q100" s="401">
        <v>74.569999999999993</v>
      </c>
      <c r="R100" s="401">
        <v>42.01</v>
      </c>
      <c r="S100" s="401">
        <v>123.83</v>
      </c>
      <c r="T100" s="402">
        <v>684</v>
      </c>
      <c r="U100" s="401">
        <v>137.03</v>
      </c>
      <c r="V100" s="402">
        <v>220</v>
      </c>
      <c r="W100" s="401">
        <v>168.83</v>
      </c>
      <c r="X100" s="402">
        <v>66</v>
      </c>
      <c r="Y100" s="403">
        <v>0</v>
      </c>
      <c r="Z100" s="403">
        <v>0</v>
      </c>
      <c r="AA100" s="403">
        <v>0</v>
      </c>
      <c r="AB100" s="403">
        <v>0</v>
      </c>
      <c r="AC100" s="403">
        <v>6</v>
      </c>
      <c r="AD100" s="403">
        <v>1717</v>
      </c>
      <c r="AE100" s="403">
        <v>3</v>
      </c>
      <c r="AF100" s="403">
        <v>3</v>
      </c>
      <c r="AG100" s="403">
        <v>6</v>
      </c>
    </row>
    <row r="101" spans="1:33" x14ac:dyDescent="0.3">
      <c r="A101" s="396" t="s">
        <v>262</v>
      </c>
      <c r="B101" s="396" t="s">
        <v>263</v>
      </c>
      <c r="C101" s="403">
        <v>6629</v>
      </c>
      <c r="D101" s="403">
        <v>0</v>
      </c>
      <c r="E101" s="403">
        <v>171</v>
      </c>
      <c r="F101" s="403">
        <v>702</v>
      </c>
      <c r="G101" s="403">
        <v>1115</v>
      </c>
      <c r="H101" s="400">
        <v>8617</v>
      </c>
      <c r="I101" s="400">
        <v>7502</v>
      </c>
      <c r="J101" s="403">
        <v>0</v>
      </c>
      <c r="K101" s="401">
        <v>109.42</v>
      </c>
      <c r="L101" s="401">
        <v>104.6</v>
      </c>
      <c r="M101" s="401">
        <v>5.59</v>
      </c>
      <c r="N101" s="401">
        <v>112.33</v>
      </c>
      <c r="O101" s="402">
        <v>4801</v>
      </c>
      <c r="P101" s="401">
        <v>100.4</v>
      </c>
      <c r="Q101" s="401">
        <v>88.02</v>
      </c>
      <c r="R101" s="401">
        <v>34.61</v>
      </c>
      <c r="S101" s="401">
        <v>134.08000000000001</v>
      </c>
      <c r="T101" s="402">
        <v>745</v>
      </c>
      <c r="U101" s="401">
        <v>152.29</v>
      </c>
      <c r="V101" s="402">
        <v>1679</v>
      </c>
      <c r="W101" s="401">
        <v>179.13</v>
      </c>
      <c r="X101" s="402">
        <v>50</v>
      </c>
      <c r="Y101" s="403">
        <v>0</v>
      </c>
      <c r="Z101" s="403">
        <v>1</v>
      </c>
      <c r="AA101" s="403">
        <v>6</v>
      </c>
      <c r="AB101" s="403">
        <v>164</v>
      </c>
      <c r="AC101" s="403">
        <v>15</v>
      </c>
      <c r="AD101" s="403">
        <v>6627</v>
      </c>
      <c r="AE101" s="403">
        <v>26</v>
      </c>
      <c r="AF101" s="403">
        <v>22</v>
      </c>
      <c r="AG101" s="403">
        <v>48</v>
      </c>
    </row>
    <row r="102" spans="1:33" x14ac:dyDescent="0.3">
      <c r="A102" s="396" t="s">
        <v>264</v>
      </c>
      <c r="B102" s="396" t="s">
        <v>265</v>
      </c>
      <c r="C102" s="403">
        <v>2208</v>
      </c>
      <c r="D102" s="403">
        <v>9</v>
      </c>
      <c r="E102" s="403">
        <v>160</v>
      </c>
      <c r="F102" s="403">
        <v>185</v>
      </c>
      <c r="G102" s="403">
        <v>176</v>
      </c>
      <c r="H102" s="400">
        <v>2738</v>
      </c>
      <c r="I102" s="400">
        <v>2562</v>
      </c>
      <c r="J102" s="403">
        <v>17</v>
      </c>
      <c r="K102" s="401">
        <v>96.82</v>
      </c>
      <c r="L102" s="401">
        <v>98.15</v>
      </c>
      <c r="M102" s="401">
        <v>5.23</v>
      </c>
      <c r="N102" s="401">
        <v>98.86</v>
      </c>
      <c r="O102" s="402">
        <v>1941</v>
      </c>
      <c r="P102" s="401">
        <v>88.96</v>
      </c>
      <c r="Q102" s="401">
        <v>82.64</v>
      </c>
      <c r="R102" s="401">
        <v>42.83</v>
      </c>
      <c r="S102" s="401">
        <v>130.38</v>
      </c>
      <c r="T102" s="402">
        <v>335</v>
      </c>
      <c r="U102" s="401">
        <v>114.69</v>
      </c>
      <c r="V102" s="402">
        <v>240</v>
      </c>
      <c r="W102" s="401">
        <v>0</v>
      </c>
      <c r="X102" s="402">
        <v>0</v>
      </c>
      <c r="Y102" s="403">
        <v>0</v>
      </c>
      <c r="Z102" s="403">
        <v>3</v>
      </c>
      <c r="AA102" s="403">
        <v>1</v>
      </c>
      <c r="AB102" s="403">
        <v>0</v>
      </c>
      <c r="AC102" s="403">
        <v>1</v>
      </c>
      <c r="AD102" s="403">
        <v>2170</v>
      </c>
      <c r="AE102" s="403">
        <v>16</v>
      </c>
      <c r="AF102" s="403">
        <v>5</v>
      </c>
      <c r="AG102" s="403">
        <v>21</v>
      </c>
    </row>
    <row r="103" spans="1:33" x14ac:dyDescent="0.3">
      <c r="A103" s="396" t="s">
        <v>266</v>
      </c>
      <c r="B103" s="396" t="s">
        <v>267</v>
      </c>
      <c r="C103" s="403">
        <v>4585</v>
      </c>
      <c r="D103" s="403">
        <v>5</v>
      </c>
      <c r="E103" s="403">
        <v>127</v>
      </c>
      <c r="F103" s="403">
        <v>926</v>
      </c>
      <c r="G103" s="403">
        <v>542</v>
      </c>
      <c r="H103" s="400">
        <v>6185</v>
      </c>
      <c r="I103" s="400">
        <v>5643</v>
      </c>
      <c r="J103" s="403">
        <v>10</v>
      </c>
      <c r="K103" s="401">
        <v>128.47999999999999</v>
      </c>
      <c r="L103" s="401">
        <v>129.85</v>
      </c>
      <c r="M103" s="401">
        <v>8.9700000000000006</v>
      </c>
      <c r="N103" s="401">
        <v>132.9</v>
      </c>
      <c r="O103" s="402">
        <v>3711</v>
      </c>
      <c r="P103" s="401">
        <v>120.65</v>
      </c>
      <c r="Q103" s="401">
        <v>108.75</v>
      </c>
      <c r="R103" s="401">
        <v>22.79</v>
      </c>
      <c r="S103" s="401">
        <v>143.18</v>
      </c>
      <c r="T103" s="402">
        <v>784</v>
      </c>
      <c r="U103" s="401">
        <v>203.45</v>
      </c>
      <c r="V103" s="402">
        <v>649</v>
      </c>
      <c r="W103" s="401">
        <v>161.86000000000001</v>
      </c>
      <c r="X103" s="402">
        <v>8</v>
      </c>
      <c r="Y103" s="403">
        <v>0</v>
      </c>
      <c r="Z103" s="403">
        <v>3</v>
      </c>
      <c r="AA103" s="403">
        <v>2</v>
      </c>
      <c r="AB103" s="403">
        <v>55</v>
      </c>
      <c r="AC103" s="403">
        <v>13</v>
      </c>
      <c r="AD103" s="403">
        <v>4453</v>
      </c>
      <c r="AE103" s="403">
        <v>8</v>
      </c>
      <c r="AF103" s="403">
        <v>33</v>
      </c>
      <c r="AG103" s="403">
        <v>41</v>
      </c>
    </row>
    <row r="104" spans="1:33" x14ac:dyDescent="0.3">
      <c r="A104" s="396" t="s">
        <v>268</v>
      </c>
      <c r="B104" s="396" t="s">
        <v>269</v>
      </c>
      <c r="C104" s="403">
        <v>6984</v>
      </c>
      <c r="D104" s="403">
        <v>334</v>
      </c>
      <c r="E104" s="403">
        <v>644</v>
      </c>
      <c r="F104" s="403">
        <v>699</v>
      </c>
      <c r="G104" s="403">
        <v>1323</v>
      </c>
      <c r="H104" s="400">
        <v>9984</v>
      </c>
      <c r="I104" s="400">
        <v>8661</v>
      </c>
      <c r="J104" s="403">
        <v>5</v>
      </c>
      <c r="K104" s="401">
        <v>123.27</v>
      </c>
      <c r="L104" s="401">
        <v>122.72</v>
      </c>
      <c r="M104" s="401">
        <v>14.87</v>
      </c>
      <c r="N104" s="401">
        <v>133.82</v>
      </c>
      <c r="O104" s="402">
        <v>5798</v>
      </c>
      <c r="P104" s="401">
        <v>115.65</v>
      </c>
      <c r="Q104" s="401">
        <v>107.41</v>
      </c>
      <c r="R104" s="401">
        <v>71.239999999999995</v>
      </c>
      <c r="S104" s="401">
        <v>185.65</v>
      </c>
      <c r="T104" s="402">
        <v>1157</v>
      </c>
      <c r="U104" s="401">
        <v>197.03</v>
      </c>
      <c r="V104" s="402">
        <v>745</v>
      </c>
      <c r="W104" s="401">
        <v>192.7</v>
      </c>
      <c r="X104" s="402">
        <v>18</v>
      </c>
      <c r="Y104" s="403">
        <v>1</v>
      </c>
      <c r="Z104" s="403">
        <v>5</v>
      </c>
      <c r="AA104" s="403">
        <v>16</v>
      </c>
      <c r="AB104" s="403">
        <v>67</v>
      </c>
      <c r="AC104" s="403">
        <v>44</v>
      </c>
      <c r="AD104" s="403">
        <v>6599</v>
      </c>
      <c r="AE104" s="403">
        <v>126</v>
      </c>
      <c r="AF104" s="403">
        <v>6</v>
      </c>
      <c r="AG104" s="403">
        <v>132</v>
      </c>
    </row>
    <row r="105" spans="1:33" x14ac:dyDescent="0.3">
      <c r="A105" s="396" t="s">
        <v>270</v>
      </c>
      <c r="B105" s="396" t="s">
        <v>271</v>
      </c>
      <c r="C105" s="403">
        <v>1455</v>
      </c>
      <c r="D105" s="403">
        <v>0</v>
      </c>
      <c r="E105" s="403">
        <v>158</v>
      </c>
      <c r="F105" s="403">
        <v>228</v>
      </c>
      <c r="G105" s="403">
        <v>387</v>
      </c>
      <c r="H105" s="400">
        <v>2228</v>
      </c>
      <c r="I105" s="400">
        <v>1841</v>
      </c>
      <c r="J105" s="403">
        <v>1</v>
      </c>
      <c r="K105" s="401">
        <v>121.56</v>
      </c>
      <c r="L105" s="401">
        <v>118.6</v>
      </c>
      <c r="M105" s="401">
        <v>6.27</v>
      </c>
      <c r="N105" s="401">
        <v>127.06</v>
      </c>
      <c r="O105" s="402">
        <v>1225</v>
      </c>
      <c r="P105" s="401">
        <v>97.37</v>
      </c>
      <c r="Q105" s="401">
        <v>88.31</v>
      </c>
      <c r="R105" s="401">
        <v>59.98</v>
      </c>
      <c r="S105" s="401">
        <v>156.93</v>
      </c>
      <c r="T105" s="402">
        <v>285</v>
      </c>
      <c r="U105" s="401">
        <v>186.3</v>
      </c>
      <c r="V105" s="402">
        <v>214</v>
      </c>
      <c r="W105" s="401">
        <v>0</v>
      </c>
      <c r="X105" s="402">
        <v>0</v>
      </c>
      <c r="Y105" s="403">
        <v>0</v>
      </c>
      <c r="Z105" s="403">
        <v>1</v>
      </c>
      <c r="AA105" s="403">
        <v>1</v>
      </c>
      <c r="AB105" s="403">
        <v>33</v>
      </c>
      <c r="AC105" s="403">
        <v>11</v>
      </c>
      <c r="AD105" s="403">
        <v>1455</v>
      </c>
      <c r="AE105" s="403">
        <v>12</v>
      </c>
      <c r="AF105" s="403">
        <v>5</v>
      </c>
      <c r="AG105" s="403">
        <v>17</v>
      </c>
    </row>
    <row r="106" spans="1:33" x14ac:dyDescent="0.3">
      <c r="A106" s="396" t="s">
        <v>272</v>
      </c>
      <c r="B106" s="396" t="s">
        <v>273</v>
      </c>
      <c r="C106" s="403">
        <v>2225</v>
      </c>
      <c r="D106" s="403">
        <v>0</v>
      </c>
      <c r="E106" s="403">
        <v>151</v>
      </c>
      <c r="F106" s="403">
        <v>406</v>
      </c>
      <c r="G106" s="403">
        <v>360</v>
      </c>
      <c r="H106" s="400">
        <v>3142</v>
      </c>
      <c r="I106" s="400">
        <v>2782</v>
      </c>
      <c r="J106" s="403">
        <v>0</v>
      </c>
      <c r="K106" s="401">
        <v>123.46</v>
      </c>
      <c r="L106" s="401">
        <v>116.41</v>
      </c>
      <c r="M106" s="401">
        <v>10.39</v>
      </c>
      <c r="N106" s="401">
        <v>129.16</v>
      </c>
      <c r="O106" s="402">
        <v>1947</v>
      </c>
      <c r="P106" s="401">
        <v>108.23</v>
      </c>
      <c r="Q106" s="401">
        <v>101.15</v>
      </c>
      <c r="R106" s="401">
        <v>26.65</v>
      </c>
      <c r="S106" s="401">
        <v>133.74</v>
      </c>
      <c r="T106" s="402">
        <v>326</v>
      </c>
      <c r="U106" s="401">
        <v>201.17</v>
      </c>
      <c r="V106" s="402">
        <v>258</v>
      </c>
      <c r="W106" s="401">
        <v>243.89</v>
      </c>
      <c r="X106" s="402">
        <v>49</v>
      </c>
      <c r="Y106" s="403">
        <v>0</v>
      </c>
      <c r="Z106" s="403">
        <v>0</v>
      </c>
      <c r="AA106" s="403">
        <v>3</v>
      </c>
      <c r="AB106" s="403">
        <v>5</v>
      </c>
      <c r="AC106" s="403">
        <v>11</v>
      </c>
      <c r="AD106" s="403">
        <v>2225</v>
      </c>
      <c r="AE106" s="403">
        <v>4</v>
      </c>
      <c r="AF106" s="403">
        <v>6</v>
      </c>
      <c r="AG106" s="403">
        <v>10</v>
      </c>
    </row>
    <row r="107" spans="1:33" x14ac:dyDescent="0.3">
      <c r="A107" s="396" t="s">
        <v>274</v>
      </c>
      <c r="B107" s="396" t="s">
        <v>275</v>
      </c>
      <c r="C107" s="403">
        <v>4658</v>
      </c>
      <c r="D107" s="403">
        <v>0</v>
      </c>
      <c r="E107" s="403">
        <v>100</v>
      </c>
      <c r="F107" s="403">
        <v>1886</v>
      </c>
      <c r="G107" s="403">
        <v>201</v>
      </c>
      <c r="H107" s="400">
        <v>6845</v>
      </c>
      <c r="I107" s="400">
        <v>6644</v>
      </c>
      <c r="J107" s="403">
        <v>2</v>
      </c>
      <c r="K107" s="401">
        <v>89.67</v>
      </c>
      <c r="L107" s="401">
        <v>91.59</v>
      </c>
      <c r="M107" s="401">
        <v>3.52</v>
      </c>
      <c r="N107" s="401">
        <v>92.43</v>
      </c>
      <c r="O107" s="402">
        <v>4159</v>
      </c>
      <c r="P107" s="401">
        <v>81.400000000000006</v>
      </c>
      <c r="Q107" s="401">
        <v>80.69</v>
      </c>
      <c r="R107" s="401">
        <v>9.6999999999999993</v>
      </c>
      <c r="S107" s="401">
        <v>90.83</v>
      </c>
      <c r="T107" s="402">
        <v>1913</v>
      </c>
      <c r="U107" s="401">
        <v>103.77</v>
      </c>
      <c r="V107" s="402">
        <v>448</v>
      </c>
      <c r="W107" s="401">
        <v>93.78</v>
      </c>
      <c r="X107" s="402">
        <v>36</v>
      </c>
      <c r="Y107" s="403">
        <v>27</v>
      </c>
      <c r="Z107" s="403">
        <v>3</v>
      </c>
      <c r="AA107" s="403">
        <v>6</v>
      </c>
      <c r="AB107" s="403">
        <v>14</v>
      </c>
      <c r="AC107" s="403">
        <v>15</v>
      </c>
      <c r="AD107" s="403">
        <v>4657</v>
      </c>
      <c r="AE107" s="403">
        <v>25</v>
      </c>
      <c r="AF107" s="403">
        <v>28</v>
      </c>
      <c r="AG107" s="403">
        <v>53</v>
      </c>
    </row>
    <row r="108" spans="1:33" x14ac:dyDescent="0.3">
      <c r="A108" s="396" t="s">
        <v>276</v>
      </c>
      <c r="B108" s="396" t="s">
        <v>277</v>
      </c>
      <c r="C108" s="403">
        <v>3636</v>
      </c>
      <c r="D108" s="403">
        <v>4</v>
      </c>
      <c r="E108" s="403">
        <v>544</v>
      </c>
      <c r="F108" s="403">
        <v>394</v>
      </c>
      <c r="G108" s="403">
        <v>484</v>
      </c>
      <c r="H108" s="400">
        <v>5062</v>
      </c>
      <c r="I108" s="400">
        <v>4578</v>
      </c>
      <c r="J108" s="403">
        <v>0</v>
      </c>
      <c r="K108" s="401">
        <v>89.34</v>
      </c>
      <c r="L108" s="401">
        <v>87.48</v>
      </c>
      <c r="M108" s="401">
        <v>7.08</v>
      </c>
      <c r="N108" s="401">
        <v>94.73</v>
      </c>
      <c r="O108" s="402">
        <v>3394</v>
      </c>
      <c r="P108" s="401">
        <v>94.58</v>
      </c>
      <c r="Q108" s="401">
        <v>68.62</v>
      </c>
      <c r="R108" s="401">
        <v>94.89</v>
      </c>
      <c r="S108" s="401">
        <v>185.22</v>
      </c>
      <c r="T108" s="402">
        <v>469</v>
      </c>
      <c r="U108" s="401">
        <v>127.17</v>
      </c>
      <c r="V108" s="402">
        <v>217</v>
      </c>
      <c r="W108" s="401">
        <v>130.4</v>
      </c>
      <c r="X108" s="402">
        <v>61</v>
      </c>
      <c r="Y108" s="403">
        <v>0</v>
      </c>
      <c r="Z108" s="403">
        <v>0</v>
      </c>
      <c r="AA108" s="403">
        <v>3</v>
      </c>
      <c r="AB108" s="403">
        <v>20</v>
      </c>
      <c r="AC108" s="403">
        <v>6</v>
      </c>
      <c r="AD108" s="403">
        <v>3614</v>
      </c>
      <c r="AE108" s="403">
        <v>36</v>
      </c>
      <c r="AF108" s="403">
        <v>38</v>
      </c>
      <c r="AG108" s="403">
        <v>74</v>
      </c>
    </row>
    <row r="109" spans="1:33" x14ac:dyDescent="0.3">
      <c r="A109" s="396" t="s">
        <v>278</v>
      </c>
      <c r="B109" s="396" t="s">
        <v>279</v>
      </c>
      <c r="C109" s="403">
        <v>1543</v>
      </c>
      <c r="D109" s="403">
        <v>0</v>
      </c>
      <c r="E109" s="403">
        <v>180</v>
      </c>
      <c r="F109" s="403">
        <v>167</v>
      </c>
      <c r="G109" s="403">
        <v>249</v>
      </c>
      <c r="H109" s="400">
        <v>2139</v>
      </c>
      <c r="I109" s="400">
        <v>1890</v>
      </c>
      <c r="J109" s="403">
        <v>3</v>
      </c>
      <c r="K109" s="401">
        <v>107.58</v>
      </c>
      <c r="L109" s="401">
        <v>103.94</v>
      </c>
      <c r="M109" s="401">
        <v>8.2899999999999991</v>
      </c>
      <c r="N109" s="401">
        <v>113.65</v>
      </c>
      <c r="O109" s="402">
        <v>1059</v>
      </c>
      <c r="P109" s="401">
        <v>103.03</v>
      </c>
      <c r="Q109" s="401">
        <v>87.11</v>
      </c>
      <c r="R109" s="401">
        <v>49.9</v>
      </c>
      <c r="S109" s="401">
        <v>152.05000000000001</v>
      </c>
      <c r="T109" s="402">
        <v>229</v>
      </c>
      <c r="U109" s="401">
        <v>149.13999999999999</v>
      </c>
      <c r="V109" s="402">
        <v>366</v>
      </c>
      <c r="W109" s="401">
        <v>0</v>
      </c>
      <c r="X109" s="402">
        <v>0</v>
      </c>
      <c r="Y109" s="403">
        <v>20</v>
      </c>
      <c r="Z109" s="403">
        <v>0</v>
      </c>
      <c r="AA109" s="403">
        <v>0</v>
      </c>
      <c r="AB109" s="403">
        <v>12</v>
      </c>
      <c r="AC109" s="403">
        <v>7</v>
      </c>
      <c r="AD109" s="403">
        <v>1515</v>
      </c>
      <c r="AE109" s="403">
        <v>15</v>
      </c>
      <c r="AF109" s="403">
        <v>6</v>
      </c>
      <c r="AG109" s="403">
        <v>21</v>
      </c>
    </row>
    <row r="110" spans="1:33" x14ac:dyDescent="0.3">
      <c r="A110" s="396" t="s">
        <v>280</v>
      </c>
      <c r="B110" s="396" t="s">
        <v>281</v>
      </c>
      <c r="C110" s="403">
        <v>4793</v>
      </c>
      <c r="D110" s="403">
        <v>0</v>
      </c>
      <c r="E110" s="403">
        <v>229</v>
      </c>
      <c r="F110" s="403">
        <v>756</v>
      </c>
      <c r="G110" s="403">
        <v>166</v>
      </c>
      <c r="H110" s="400">
        <v>5944</v>
      </c>
      <c r="I110" s="400">
        <v>5778</v>
      </c>
      <c r="J110" s="403">
        <v>12</v>
      </c>
      <c r="K110" s="401">
        <v>90.39</v>
      </c>
      <c r="L110" s="401">
        <v>87.36</v>
      </c>
      <c r="M110" s="401">
        <v>5.29</v>
      </c>
      <c r="N110" s="401">
        <v>92.8</v>
      </c>
      <c r="O110" s="402">
        <v>4378</v>
      </c>
      <c r="P110" s="401">
        <v>97.27</v>
      </c>
      <c r="Q110" s="401">
        <v>82.52</v>
      </c>
      <c r="R110" s="401">
        <v>50.29</v>
      </c>
      <c r="S110" s="401">
        <v>146.82</v>
      </c>
      <c r="T110" s="402">
        <v>883</v>
      </c>
      <c r="U110" s="401">
        <v>111.09</v>
      </c>
      <c r="V110" s="402">
        <v>386</v>
      </c>
      <c r="W110" s="401">
        <v>231.31</v>
      </c>
      <c r="X110" s="402">
        <v>60</v>
      </c>
      <c r="Y110" s="403">
        <v>4</v>
      </c>
      <c r="Z110" s="403">
        <v>8</v>
      </c>
      <c r="AA110" s="403">
        <v>0</v>
      </c>
      <c r="AB110" s="403">
        <v>6</v>
      </c>
      <c r="AC110" s="403">
        <v>1</v>
      </c>
      <c r="AD110" s="403">
        <v>4793</v>
      </c>
      <c r="AE110" s="403">
        <v>19</v>
      </c>
      <c r="AF110" s="403">
        <v>27</v>
      </c>
      <c r="AG110" s="403">
        <v>46</v>
      </c>
    </row>
    <row r="111" spans="1:33" x14ac:dyDescent="0.3">
      <c r="A111" s="396" t="s">
        <v>282</v>
      </c>
      <c r="B111" s="396" t="s">
        <v>283</v>
      </c>
      <c r="C111" s="403">
        <v>1576</v>
      </c>
      <c r="D111" s="403">
        <v>0</v>
      </c>
      <c r="E111" s="403">
        <v>147</v>
      </c>
      <c r="F111" s="403">
        <v>264</v>
      </c>
      <c r="G111" s="403">
        <v>289</v>
      </c>
      <c r="H111" s="400">
        <v>2276</v>
      </c>
      <c r="I111" s="400">
        <v>1987</v>
      </c>
      <c r="J111" s="403">
        <v>28</v>
      </c>
      <c r="K111" s="401">
        <v>95.79</v>
      </c>
      <c r="L111" s="401">
        <v>93.77</v>
      </c>
      <c r="M111" s="401">
        <v>7.68</v>
      </c>
      <c r="N111" s="401">
        <v>101.6</v>
      </c>
      <c r="O111" s="402">
        <v>1192</v>
      </c>
      <c r="P111" s="401">
        <v>98.81</v>
      </c>
      <c r="Q111" s="401">
        <v>81.44</v>
      </c>
      <c r="R111" s="401">
        <v>51.36</v>
      </c>
      <c r="S111" s="401">
        <v>148.63</v>
      </c>
      <c r="T111" s="402">
        <v>367</v>
      </c>
      <c r="U111" s="401">
        <v>139.47</v>
      </c>
      <c r="V111" s="402">
        <v>200</v>
      </c>
      <c r="W111" s="401">
        <v>75.3</v>
      </c>
      <c r="X111" s="402">
        <v>7</v>
      </c>
      <c r="Y111" s="403">
        <v>5</v>
      </c>
      <c r="Z111" s="403">
        <v>0</v>
      </c>
      <c r="AA111" s="403">
        <v>1</v>
      </c>
      <c r="AB111" s="403">
        <v>17</v>
      </c>
      <c r="AC111" s="403">
        <v>2</v>
      </c>
      <c r="AD111" s="403">
        <v>1415</v>
      </c>
      <c r="AE111" s="403">
        <v>8</v>
      </c>
      <c r="AF111" s="403">
        <v>7</v>
      </c>
      <c r="AG111" s="403">
        <v>15</v>
      </c>
    </row>
    <row r="112" spans="1:33" x14ac:dyDescent="0.3">
      <c r="A112" s="396" t="s">
        <v>284</v>
      </c>
      <c r="B112" s="396" t="s">
        <v>285</v>
      </c>
      <c r="C112" s="403">
        <v>4215</v>
      </c>
      <c r="D112" s="403">
        <v>0</v>
      </c>
      <c r="E112" s="403">
        <v>78</v>
      </c>
      <c r="F112" s="403">
        <v>785</v>
      </c>
      <c r="G112" s="403">
        <v>250</v>
      </c>
      <c r="H112" s="400">
        <v>5328</v>
      </c>
      <c r="I112" s="400">
        <v>5078</v>
      </c>
      <c r="J112" s="403">
        <v>2</v>
      </c>
      <c r="K112" s="401">
        <v>94.75</v>
      </c>
      <c r="L112" s="401">
        <v>91.66</v>
      </c>
      <c r="M112" s="401">
        <v>1.94</v>
      </c>
      <c r="N112" s="401">
        <v>96.44</v>
      </c>
      <c r="O112" s="402">
        <v>3287</v>
      </c>
      <c r="P112" s="401">
        <v>89.62</v>
      </c>
      <c r="Q112" s="401">
        <v>82.56</v>
      </c>
      <c r="R112" s="401">
        <v>24.29</v>
      </c>
      <c r="S112" s="401">
        <v>113.49</v>
      </c>
      <c r="T112" s="402">
        <v>748</v>
      </c>
      <c r="U112" s="401">
        <v>112</v>
      </c>
      <c r="V112" s="402">
        <v>501</v>
      </c>
      <c r="W112" s="401">
        <v>211.47</v>
      </c>
      <c r="X112" s="402">
        <v>79</v>
      </c>
      <c r="Y112" s="403">
        <v>10</v>
      </c>
      <c r="Z112" s="403">
        <v>6</v>
      </c>
      <c r="AA112" s="403">
        <v>2</v>
      </c>
      <c r="AB112" s="403">
        <v>19</v>
      </c>
      <c r="AC112" s="403">
        <v>3</v>
      </c>
      <c r="AD112" s="403">
        <v>3781</v>
      </c>
      <c r="AE112" s="403">
        <v>5</v>
      </c>
      <c r="AF112" s="403">
        <v>18</v>
      </c>
      <c r="AG112" s="403">
        <v>23</v>
      </c>
    </row>
    <row r="113" spans="1:33" x14ac:dyDescent="0.3">
      <c r="A113" s="396" t="s">
        <v>286</v>
      </c>
      <c r="B113" s="396" t="s">
        <v>287</v>
      </c>
      <c r="C113" s="403">
        <v>2429</v>
      </c>
      <c r="D113" s="403">
        <v>0</v>
      </c>
      <c r="E113" s="403">
        <v>148</v>
      </c>
      <c r="F113" s="403">
        <v>512</v>
      </c>
      <c r="G113" s="403">
        <v>219</v>
      </c>
      <c r="H113" s="400">
        <v>3308</v>
      </c>
      <c r="I113" s="400">
        <v>3089</v>
      </c>
      <c r="J113" s="403">
        <v>0</v>
      </c>
      <c r="K113" s="401">
        <v>87.78</v>
      </c>
      <c r="L113" s="401">
        <v>87.83</v>
      </c>
      <c r="M113" s="401">
        <v>3.45</v>
      </c>
      <c r="N113" s="401">
        <v>90.96</v>
      </c>
      <c r="O113" s="402">
        <v>1826</v>
      </c>
      <c r="P113" s="401">
        <v>93.23</v>
      </c>
      <c r="Q113" s="401">
        <v>79.78</v>
      </c>
      <c r="R113" s="401">
        <v>25.43</v>
      </c>
      <c r="S113" s="401">
        <v>118.58</v>
      </c>
      <c r="T113" s="402">
        <v>605</v>
      </c>
      <c r="U113" s="401">
        <v>112.43</v>
      </c>
      <c r="V113" s="402">
        <v>589</v>
      </c>
      <c r="W113" s="401">
        <v>0</v>
      </c>
      <c r="X113" s="402">
        <v>0</v>
      </c>
      <c r="Y113" s="403">
        <v>42</v>
      </c>
      <c r="Z113" s="403">
        <v>4</v>
      </c>
      <c r="AA113" s="403">
        <v>0</v>
      </c>
      <c r="AB113" s="403">
        <v>50</v>
      </c>
      <c r="AC113" s="403">
        <v>4</v>
      </c>
      <c r="AD113" s="403">
        <v>2421</v>
      </c>
      <c r="AE113" s="403">
        <v>35</v>
      </c>
      <c r="AF113" s="403">
        <v>2</v>
      </c>
      <c r="AG113" s="403">
        <v>37</v>
      </c>
    </row>
    <row r="114" spans="1:33" x14ac:dyDescent="0.3">
      <c r="A114" s="396" t="s">
        <v>288</v>
      </c>
      <c r="B114" s="396" t="s">
        <v>289</v>
      </c>
      <c r="C114" s="403">
        <v>4022</v>
      </c>
      <c r="D114" s="403">
        <v>0</v>
      </c>
      <c r="E114" s="403">
        <v>360</v>
      </c>
      <c r="F114" s="403">
        <v>1036</v>
      </c>
      <c r="G114" s="403">
        <v>208</v>
      </c>
      <c r="H114" s="400">
        <v>5626</v>
      </c>
      <c r="I114" s="400">
        <v>5418</v>
      </c>
      <c r="J114" s="403">
        <v>0</v>
      </c>
      <c r="K114" s="401">
        <v>79.78</v>
      </c>
      <c r="L114" s="401">
        <v>76.53</v>
      </c>
      <c r="M114" s="401">
        <v>7.26</v>
      </c>
      <c r="N114" s="401">
        <v>84.16</v>
      </c>
      <c r="O114" s="402">
        <v>2883</v>
      </c>
      <c r="P114" s="401">
        <v>93.35</v>
      </c>
      <c r="Q114" s="401">
        <v>76.790000000000006</v>
      </c>
      <c r="R114" s="401">
        <v>57.79</v>
      </c>
      <c r="S114" s="401">
        <v>149.65</v>
      </c>
      <c r="T114" s="402">
        <v>1163</v>
      </c>
      <c r="U114" s="401">
        <v>98.91</v>
      </c>
      <c r="V114" s="402">
        <v>1098</v>
      </c>
      <c r="W114" s="401">
        <v>151.24</v>
      </c>
      <c r="X114" s="402">
        <v>211</v>
      </c>
      <c r="Y114" s="403">
        <v>0</v>
      </c>
      <c r="Z114" s="403">
        <v>3</v>
      </c>
      <c r="AA114" s="403">
        <v>2</v>
      </c>
      <c r="AB114" s="403">
        <v>20</v>
      </c>
      <c r="AC114" s="403">
        <v>4</v>
      </c>
      <c r="AD114" s="403">
        <v>3718</v>
      </c>
      <c r="AE114" s="403">
        <v>31</v>
      </c>
      <c r="AF114" s="403">
        <v>79</v>
      </c>
      <c r="AG114" s="403">
        <v>110</v>
      </c>
    </row>
    <row r="115" spans="1:33" x14ac:dyDescent="0.3">
      <c r="A115" s="396" t="s">
        <v>290</v>
      </c>
      <c r="B115" s="396" t="s">
        <v>291</v>
      </c>
      <c r="C115" s="403">
        <v>3750</v>
      </c>
      <c r="D115" s="403">
        <v>0</v>
      </c>
      <c r="E115" s="403">
        <v>198</v>
      </c>
      <c r="F115" s="403">
        <v>1157</v>
      </c>
      <c r="G115" s="403">
        <v>205</v>
      </c>
      <c r="H115" s="400">
        <v>5310</v>
      </c>
      <c r="I115" s="400">
        <v>5105</v>
      </c>
      <c r="J115" s="403">
        <v>5</v>
      </c>
      <c r="K115" s="401">
        <v>83.69</v>
      </c>
      <c r="L115" s="401">
        <v>82.19</v>
      </c>
      <c r="M115" s="401">
        <v>4.99</v>
      </c>
      <c r="N115" s="401">
        <v>85.6</v>
      </c>
      <c r="O115" s="402">
        <v>3470</v>
      </c>
      <c r="P115" s="401">
        <v>87.04</v>
      </c>
      <c r="Q115" s="401">
        <v>73.989999999999995</v>
      </c>
      <c r="R115" s="401">
        <v>32.090000000000003</v>
      </c>
      <c r="S115" s="401">
        <v>118.86</v>
      </c>
      <c r="T115" s="402">
        <v>1327</v>
      </c>
      <c r="U115" s="401">
        <v>109.54</v>
      </c>
      <c r="V115" s="402">
        <v>257</v>
      </c>
      <c r="W115" s="401">
        <v>174.5</v>
      </c>
      <c r="X115" s="402">
        <v>17</v>
      </c>
      <c r="Y115" s="403">
        <v>0</v>
      </c>
      <c r="Z115" s="403">
        <v>19</v>
      </c>
      <c r="AA115" s="403">
        <v>1</v>
      </c>
      <c r="AB115" s="403">
        <v>2</v>
      </c>
      <c r="AC115" s="403">
        <v>9</v>
      </c>
      <c r="AD115" s="403">
        <v>3750</v>
      </c>
      <c r="AE115" s="403">
        <v>22</v>
      </c>
      <c r="AF115" s="403">
        <v>2</v>
      </c>
      <c r="AG115" s="403">
        <v>24</v>
      </c>
    </row>
    <row r="116" spans="1:33" x14ac:dyDescent="0.3">
      <c r="A116" s="396" t="s">
        <v>292</v>
      </c>
      <c r="B116" s="396" t="s">
        <v>293</v>
      </c>
      <c r="C116" s="403">
        <v>6970</v>
      </c>
      <c r="D116" s="403">
        <v>0</v>
      </c>
      <c r="E116" s="403">
        <v>527</v>
      </c>
      <c r="F116" s="403">
        <v>775</v>
      </c>
      <c r="G116" s="403">
        <v>562</v>
      </c>
      <c r="H116" s="400">
        <v>8834</v>
      </c>
      <c r="I116" s="400">
        <v>8272</v>
      </c>
      <c r="J116" s="403">
        <v>3</v>
      </c>
      <c r="K116" s="401">
        <v>86.87</v>
      </c>
      <c r="L116" s="401">
        <v>85.02</v>
      </c>
      <c r="M116" s="401">
        <v>8.4600000000000009</v>
      </c>
      <c r="N116" s="401">
        <v>90.78</v>
      </c>
      <c r="O116" s="402">
        <v>6292</v>
      </c>
      <c r="P116" s="401">
        <v>88.83</v>
      </c>
      <c r="Q116" s="401">
        <v>83.06</v>
      </c>
      <c r="R116" s="401">
        <v>52.88</v>
      </c>
      <c r="S116" s="401">
        <v>141.15</v>
      </c>
      <c r="T116" s="402">
        <v>949</v>
      </c>
      <c r="U116" s="401">
        <v>120.9</v>
      </c>
      <c r="V116" s="402">
        <v>574</v>
      </c>
      <c r="W116" s="401">
        <v>224.11</v>
      </c>
      <c r="X116" s="402">
        <v>90</v>
      </c>
      <c r="Y116" s="403">
        <v>0</v>
      </c>
      <c r="Z116" s="403">
        <v>8</v>
      </c>
      <c r="AA116" s="403">
        <v>0</v>
      </c>
      <c r="AB116" s="403">
        <v>47</v>
      </c>
      <c r="AC116" s="403">
        <v>10</v>
      </c>
      <c r="AD116" s="403">
        <v>6911</v>
      </c>
      <c r="AE116" s="403">
        <v>31</v>
      </c>
      <c r="AF116" s="403">
        <v>69</v>
      </c>
      <c r="AG116" s="403">
        <v>100</v>
      </c>
    </row>
    <row r="117" spans="1:33" x14ac:dyDescent="0.3">
      <c r="A117" s="396" t="s">
        <v>294</v>
      </c>
      <c r="B117" s="396" t="s">
        <v>295</v>
      </c>
      <c r="C117" s="403">
        <v>2345</v>
      </c>
      <c r="D117" s="403">
        <v>0</v>
      </c>
      <c r="E117" s="403">
        <v>73</v>
      </c>
      <c r="F117" s="403">
        <v>584</v>
      </c>
      <c r="G117" s="403">
        <v>463</v>
      </c>
      <c r="H117" s="400">
        <v>3465</v>
      </c>
      <c r="I117" s="400">
        <v>3002</v>
      </c>
      <c r="J117" s="403">
        <v>10</v>
      </c>
      <c r="K117" s="401">
        <v>99.82</v>
      </c>
      <c r="L117" s="401">
        <v>95.32</v>
      </c>
      <c r="M117" s="401">
        <v>9.94</v>
      </c>
      <c r="N117" s="401">
        <v>108.43</v>
      </c>
      <c r="O117" s="402">
        <v>1914</v>
      </c>
      <c r="P117" s="401">
        <v>95.77</v>
      </c>
      <c r="Q117" s="401">
        <v>87.27</v>
      </c>
      <c r="R117" s="401">
        <v>36.229999999999997</v>
      </c>
      <c r="S117" s="401">
        <v>129.22999999999999</v>
      </c>
      <c r="T117" s="402">
        <v>379</v>
      </c>
      <c r="U117" s="401">
        <v>129.01</v>
      </c>
      <c r="V117" s="402">
        <v>298</v>
      </c>
      <c r="W117" s="401">
        <v>136.88</v>
      </c>
      <c r="X117" s="402">
        <v>26</v>
      </c>
      <c r="Y117" s="403">
        <v>0</v>
      </c>
      <c r="Z117" s="403">
        <v>0</v>
      </c>
      <c r="AA117" s="403">
        <v>0</v>
      </c>
      <c r="AB117" s="403">
        <v>70</v>
      </c>
      <c r="AC117" s="403">
        <v>11</v>
      </c>
      <c r="AD117" s="403">
        <v>2345</v>
      </c>
      <c r="AE117" s="403">
        <v>10</v>
      </c>
      <c r="AF117" s="403">
        <v>2</v>
      </c>
      <c r="AG117" s="403">
        <v>12</v>
      </c>
    </row>
    <row r="118" spans="1:33" x14ac:dyDescent="0.3">
      <c r="A118" s="396" t="s">
        <v>296</v>
      </c>
      <c r="B118" s="396" t="s">
        <v>297</v>
      </c>
      <c r="C118" s="403">
        <v>1554</v>
      </c>
      <c r="D118" s="403">
        <v>0</v>
      </c>
      <c r="E118" s="403">
        <v>83</v>
      </c>
      <c r="F118" s="403">
        <v>178</v>
      </c>
      <c r="G118" s="403">
        <v>493</v>
      </c>
      <c r="H118" s="400">
        <v>2308</v>
      </c>
      <c r="I118" s="400">
        <v>1815</v>
      </c>
      <c r="J118" s="403">
        <v>0</v>
      </c>
      <c r="K118" s="401">
        <v>107.01</v>
      </c>
      <c r="L118" s="401">
        <v>107.03</v>
      </c>
      <c r="M118" s="401">
        <v>6.51</v>
      </c>
      <c r="N118" s="401">
        <v>112.21</v>
      </c>
      <c r="O118" s="402">
        <v>744</v>
      </c>
      <c r="P118" s="401">
        <v>95.08</v>
      </c>
      <c r="Q118" s="401">
        <v>89.74</v>
      </c>
      <c r="R118" s="401">
        <v>68.38</v>
      </c>
      <c r="S118" s="401">
        <v>151.61000000000001</v>
      </c>
      <c r="T118" s="402">
        <v>75</v>
      </c>
      <c r="U118" s="401">
        <v>148.59</v>
      </c>
      <c r="V118" s="402">
        <v>401</v>
      </c>
      <c r="W118" s="401">
        <v>222.4</v>
      </c>
      <c r="X118" s="402">
        <v>57</v>
      </c>
      <c r="Y118" s="403">
        <v>0</v>
      </c>
      <c r="Z118" s="403">
        <v>1</v>
      </c>
      <c r="AA118" s="403">
        <v>0</v>
      </c>
      <c r="AB118" s="403">
        <v>58</v>
      </c>
      <c r="AC118" s="403">
        <v>9</v>
      </c>
      <c r="AD118" s="403">
        <v>1149</v>
      </c>
      <c r="AE118" s="403">
        <v>7</v>
      </c>
      <c r="AF118" s="403">
        <v>7</v>
      </c>
      <c r="AG118" s="403">
        <v>14</v>
      </c>
    </row>
    <row r="119" spans="1:33" x14ac:dyDescent="0.3">
      <c r="A119" s="396" t="s">
        <v>298</v>
      </c>
      <c r="B119" s="396" t="s">
        <v>299</v>
      </c>
      <c r="C119" s="403">
        <v>1455</v>
      </c>
      <c r="D119" s="403">
        <v>0</v>
      </c>
      <c r="E119" s="403">
        <v>271</v>
      </c>
      <c r="F119" s="403">
        <v>149</v>
      </c>
      <c r="G119" s="403">
        <v>97</v>
      </c>
      <c r="H119" s="400">
        <v>1972</v>
      </c>
      <c r="I119" s="400">
        <v>1875</v>
      </c>
      <c r="J119" s="403">
        <v>0</v>
      </c>
      <c r="K119" s="401">
        <v>87.65</v>
      </c>
      <c r="L119" s="401">
        <v>86.99</v>
      </c>
      <c r="M119" s="401">
        <v>6.06</v>
      </c>
      <c r="N119" s="401">
        <v>91.7</v>
      </c>
      <c r="O119" s="402">
        <v>1209</v>
      </c>
      <c r="P119" s="401">
        <v>99.16</v>
      </c>
      <c r="Q119" s="401">
        <v>85.79</v>
      </c>
      <c r="R119" s="401">
        <v>66.290000000000006</v>
      </c>
      <c r="S119" s="401">
        <v>165.21</v>
      </c>
      <c r="T119" s="402">
        <v>280</v>
      </c>
      <c r="U119" s="401">
        <v>102.29</v>
      </c>
      <c r="V119" s="402">
        <v>211</v>
      </c>
      <c r="W119" s="401">
        <v>0</v>
      </c>
      <c r="X119" s="402">
        <v>0</v>
      </c>
      <c r="Y119" s="403">
        <v>13</v>
      </c>
      <c r="Z119" s="403">
        <v>0</v>
      </c>
      <c r="AA119" s="403">
        <v>5</v>
      </c>
      <c r="AB119" s="403">
        <v>13</v>
      </c>
      <c r="AC119" s="403">
        <v>1</v>
      </c>
      <c r="AD119" s="403">
        <v>1455</v>
      </c>
      <c r="AE119" s="403">
        <v>10</v>
      </c>
      <c r="AF119" s="403">
        <v>30</v>
      </c>
      <c r="AG119" s="403">
        <v>40</v>
      </c>
    </row>
    <row r="120" spans="1:33" x14ac:dyDescent="0.3">
      <c r="A120" s="396" t="s">
        <v>300</v>
      </c>
      <c r="B120" s="396" t="s">
        <v>301</v>
      </c>
      <c r="C120" s="403">
        <v>13275</v>
      </c>
      <c r="D120" s="403">
        <v>159</v>
      </c>
      <c r="E120" s="403">
        <v>512</v>
      </c>
      <c r="F120" s="403">
        <v>984</v>
      </c>
      <c r="G120" s="403">
        <v>2736</v>
      </c>
      <c r="H120" s="400">
        <v>17666</v>
      </c>
      <c r="I120" s="400">
        <v>14930</v>
      </c>
      <c r="J120" s="403">
        <v>22</v>
      </c>
      <c r="K120" s="401">
        <v>120.65</v>
      </c>
      <c r="L120" s="401">
        <v>120.83</v>
      </c>
      <c r="M120" s="401">
        <v>16.649999999999999</v>
      </c>
      <c r="N120" s="401">
        <v>133.4</v>
      </c>
      <c r="O120" s="402">
        <v>10039</v>
      </c>
      <c r="P120" s="401">
        <v>115.9</v>
      </c>
      <c r="Q120" s="401">
        <v>106.36</v>
      </c>
      <c r="R120" s="401">
        <v>52.37</v>
      </c>
      <c r="S120" s="401">
        <v>166.33</v>
      </c>
      <c r="T120" s="402">
        <v>1212</v>
      </c>
      <c r="U120" s="401">
        <v>178.77</v>
      </c>
      <c r="V120" s="402">
        <v>1490</v>
      </c>
      <c r="W120" s="401">
        <v>0</v>
      </c>
      <c r="X120" s="402">
        <v>0</v>
      </c>
      <c r="Y120" s="403">
        <v>0</v>
      </c>
      <c r="Z120" s="403">
        <v>1</v>
      </c>
      <c r="AA120" s="403">
        <v>52</v>
      </c>
      <c r="AB120" s="403">
        <v>63</v>
      </c>
      <c r="AC120" s="403">
        <v>67</v>
      </c>
      <c r="AD120" s="403">
        <v>11975</v>
      </c>
      <c r="AE120" s="403">
        <v>102</v>
      </c>
      <c r="AF120" s="403">
        <v>50</v>
      </c>
      <c r="AG120" s="403">
        <v>152</v>
      </c>
    </row>
    <row r="121" spans="1:33" x14ac:dyDescent="0.3">
      <c r="A121" s="396" t="s">
        <v>302</v>
      </c>
      <c r="B121" s="396" t="s">
        <v>303</v>
      </c>
      <c r="C121" s="403">
        <v>1790</v>
      </c>
      <c r="D121" s="403">
        <v>10</v>
      </c>
      <c r="E121" s="403">
        <v>284</v>
      </c>
      <c r="F121" s="403">
        <v>235</v>
      </c>
      <c r="G121" s="403">
        <v>428</v>
      </c>
      <c r="H121" s="400">
        <v>2747</v>
      </c>
      <c r="I121" s="400">
        <v>2319</v>
      </c>
      <c r="J121" s="403">
        <v>0</v>
      </c>
      <c r="K121" s="401">
        <v>126.1</v>
      </c>
      <c r="L121" s="401">
        <v>122.86</v>
      </c>
      <c r="M121" s="401">
        <v>7.97</v>
      </c>
      <c r="N121" s="401">
        <v>132.74</v>
      </c>
      <c r="O121" s="402">
        <v>1329</v>
      </c>
      <c r="P121" s="401">
        <v>98.52</v>
      </c>
      <c r="Q121" s="401">
        <v>86.5</v>
      </c>
      <c r="R121" s="401">
        <v>85.83</v>
      </c>
      <c r="S121" s="401">
        <v>180.93</v>
      </c>
      <c r="T121" s="402">
        <v>226</v>
      </c>
      <c r="U121" s="401">
        <v>169.45</v>
      </c>
      <c r="V121" s="402">
        <v>313</v>
      </c>
      <c r="W121" s="401">
        <v>271.39</v>
      </c>
      <c r="X121" s="402">
        <v>36</v>
      </c>
      <c r="Y121" s="403">
        <v>0</v>
      </c>
      <c r="Z121" s="403">
        <v>0</v>
      </c>
      <c r="AA121" s="403">
        <v>0</v>
      </c>
      <c r="AB121" s="403">
        <v>20</v>
      </c>
      <c r="AC121" s="403">
        <v>11</v>
      </c>
      <c r="AD121" s="403">
        <v>1642</v>
      </c>
      <c r="AE121" s="403">
        <v>5</v>
      </c>
      <c r="AF121" s="403">
        <v>4</v>
      </c>
      <c r="AG121" s="403">
        <v>9</v>
      </c>
    </row>
    <row r="122" spans="1:33" x14ac:dyDescent="0.3">
      <c r="A122" s="396" t="s">
        <v>304</v>
      </c>
      <c r="B122" s="396" t="s">
        <v>305</v>
      </c>
      <c r="C122" s="403">
        <v>20130</v>
      </c>
      <c r="D122" s="403">
        <v>595</v>
      </c>
      <c r="E122" s="403">
        <v>1411</v>
      </c>
      <c r="F122" s="403">
        <v>1797</v>
      </c>
      <c r="G122" s="403">
        <v>2490</v>
      </c>
      <c r="H122" s="400">
        <v>26423</v>
      </c>
      <c r="I122" s="400">
        <v>23933</v>
      </c>
      <c r="J122" s="403">
        <v>74</v>
      </c>
      <c r="K122" s="401">
        <v>121.41</v>
      </c>
      <c r="L122" s="401">
        <v>128.21</v>
      </c>
      <c r="M122" s="401">
        <v>13.99</v>
      </c>
      <c r="N122" s="401">
        <v>131.99</v>
      </c>
      <c r="O122" s="402">
        <v>17071</v>
      </c>
      <c r="P122" s="401">
        <v>112.01</v>
      </c>
      <c r="Q122" s="401">
        <v>108.86</v>
      </c>
      <c r="R122" s="401">
        <v>59.43</v>
      </c>
      <c r="S122" s="401">
        <v>167.56</v>
      </c>
      <c r="T122" s="402">
        <v>2818</v>
      </c>
      <c r="U122" s="401">
        <v>219.29</v>
      </c>
      <c r="V122" s="402">
        <v>1062</v>
      </c>
      <c r="W122" s="401">
        <v>263.54000000000002</v>
      </c>
      <c r="X122" s="402">
        <v>51</v>
      </c>
      <c r="Y122" s="403">
        <v>4</v>
      </c>
      <c r="Z122" s="403">
        <v>2</v>
      </c>
      <c r="AA122" s="403">
        <v>13</v>
      </c>
      <c r="AB122" s="403">
        <v>61</v>
      </c>
      <c r="AC122" s="403">
        <v>41</v>
      </c>
      <c r="AD122" s="403">
        <v>18522</v>
      </c>
      <c r="AE122" s="403">
        <v>196</v>
      </c>
      <c r="AF122" s="403">
        <v>101</v>
      </c>
      <c r="AG122" s="403">
        <v>297</v>
      </c>
    </row>
    <row r="123" spans="1:33" x14ac:dyDescent="0.3">
      <c r="A123" s="396" t="s">
        <v>306</v>
      </c>
      <c r="B123" s="396" t="s">
        <v>307</v>
      </c>
      <c r="C123" s="403">
        <v>13380</v>
      </c>
      <c r="D123" s="403">
        <v>0</v>
      </c>
      <c r="E123" s="403">
        <v>497</v>
      </c>
      <c r="F123" s="403">
        <v>467</v>
      </c>
      <c r="G123" s="403">
        <v>369</v>
      </c>
      <c r="H123" s="400">
        <v>14713</v>
      </c>
      <c r="I123" s="400">
        <v>14344</v>
      </c>
      <c r="J123" s="403">
        <v>8</v>
      </c>
      <c r="K123" s="401">
        <v>84.1</v>
      </c>
      <c r="L123" s="401">
        <v>82.69</v>
      </c>
      <c r="M123" s="401">
        <v>4.42</v>
      </c>
      <c r="N123" s="401">
        <v>88.34</v>
      </c>
      <c r="O123" s="402">
        <v>11285</v>
      </c>
      <c r="P123" s="401">
        <v>89.68</v>
      </c>
      <c r="Q123" s="401">
        <v>73.45</v>
      </c>
      <c r="R123" s="401">
        <v>41.84</v>
      </c>
      <c r="S123" s="401">
        <v>130.94</v>
      </c>
      <c r="T123" s="402">
        <v>790</v>
      </c>
      <c r="U123" s="401">
        <v>101.01</v>
      </c>
      <c r="V123" s="402">
        <v>2071</v>
      </c>
      <c r="W123" s="401">
        <v>153.88999999999999</v>
      </c>
      <c r="X123" s="402">
        <v>78</v>
      </c>
      <c r="Y123" s="403">
        <v>0</v>
      </c>
      <c r="Z123" s="403">
        <v>26</v>
      </c>
      <c r="AA123" s="403">
        <v>5</v>
      </c>
      <c r="AB123" s="403">
        <v>51</v>
      </c>
      <c r="AC123" s="403">
        <v>11</v>
      </c>
      <c r="AD123" s="403">
        <v>13380</v>
      </c>
      <c r="AE123" s="403">
        <v>49</v>
      </c>
      <c r="AF123" s="403">
        <v>18</v>
      </c>
      <c r="AG123" s="403">
        <v>67</v>
      </c>
    </row>
    <row r="124" spans="1:33" x14ac:dyDescent="0.3">
      <c r="A124" s="396" t="s">
        <v>308</v>
      </c>
      <c r="B124" s="396" t="s">
        <v>309</v>
      </c>
      <c r="C124" s="403">
        <v>5242</v>
      </c>
      <c r="D124" s="403">
        <v>8</v>
      </c>
      <c r="E124" s="403">
        <v>347</v>
      </c>
      <c r="F124" s="403">
        <v>180</v>
      </c>
      <c r="G124" s="403">
        <v>304</v>
      </c>
      <c r="H124" s="400">
        <v>6081</v>
      </c>
      <c r="I124" s="400">
        <v>5777</v>
      </c>
      <c r="J124" s="403">
        <v>38</v>
      </c>
      <c r="K124" s="401">
        <v>92.4</v>
      </c>
      <c r="L124" s="401">
        <v>89.35</v>
      </c>
      <c r="M124" s="401">
        <v>2.04</v>
      </c>
      <c r="N124" s="401">
        <v>94.2</v>
      </c>
      <c r="O124" s="402">
        <v>4813</v>
      </c>
      <c r="P124" s="401">
        <v>109.81</v>
      </c>
      <c r="Q124" s="401">
        <v>79.42</v>
      </c>
      <c r="R124" s="401">
        <v>70.34</v>
      </c>
      <c r="S124" s="401">
        <v>180.15</v>
      </c>
      <c r="T124" s="402">
        <v>319</v>
      </c>
      <c r="U124" s="401">
        <v>113.23</v>
      </c>
      <c r="V124" s="402">
        <v>337</v>
      </c>
      <c r="W124" s="401">
        <v>175.39</v>
      </c>
      <c r="X124" s="402">
        <v>180</v>
      </c>
      <c r="Y124" s="403">
        <v>0</v>
      </c>
      <c r="Z124" s="403">
        <v>4</v>
      </c>
      <c r="AA124" s="403">
        <v>1</v>
      </c>
      <c r="AB124" s="403">
        <v>42</v>
      </c>
      <c r="AC124" s="403">
        <v>2</v>
      </c>
      <c r="AD124" s="403">
        <v>5228</v>
      </c>
      <c r="AE124" s="403">
        <v>25</v>
      </c>
      <c r="AF124" s="403">
        <v>120</v>
      </c>
      <c r="AG124" s="403">
        <v>145</v>
      </c>
    </row>
    <row r="125" spans="1:33" x14ac:dyDescent="0.3">
      <c r="A125" s="396" t="s">
        <v>310</v>
      </c>
      <c r="B125" s="396" t="s">
        <v>311</v>
      </c>
      <c r="C125" s="403">
        <v>11642</v>
      </c>
      <c r="D125" s="403">
        <v>54</v>
      </c>
      <c r="E125" s="403">
        <v>1185</v>
      </c>
      <c r="F125" s="403">
        <v>542</v>
      </c>
      <c r="G125" s="403">
        <v>978</v>
      </c>
      <c r="H125" s="400">
        <v>14401</v>
      </c>
      <c r="I125" s="400">
        <v>13423</v>
      </c>
      <c r="J125" s="403">
        <v>223</v>
      </c>
      <c r="K125" s="401">
        <v>130.44</v>
      </c>
      <c r="L125" s="401">
        <v>144.28</v>
      </c>
      <c r="M125" s="401">
        <v>12.73</v>
      </c>
      <c r="N125" s="401">
        <v>137.08000000000001</v>
      </c>
      <c r="O125" s="402">
        <v>9438</v>
      </c>
      <c r="P125" s="401">
        <v>125.66</v>
      </c>
      <c r="Q125" s="401">
        <v>120.32</v>
      </c>
      <c r="R125" s="401">
        <v>69.81</v>
      </c>
      <c r="S125" s="401">
        <v>191.68</v>
      </c>
      <c r="T125" s="402">
        <v>1214</v>
      </c>
      <c r="U125" s="401">
        <v>210.98</v>
      </c>
      <c r="V125" s="402">
        <v>1209</v>
      </c>
      <c r="W125" s="401">
        <v>216.73</v>
      </c>
      <c r="X125" s="402">
        <v>84</v>
      </c>
      <c r="Y125" s="403">
        <v>0</v>
      </c>
      <c r="Z125" s="403">
        <v>0</v>
      </c>
      <c r="AA125" s="403">
        <v>18</v>
      </c>
      <c r="AB125" s="403">
        <v>65</v>
      </c>
      <c r="AC125" s="403">
        <v>85</v>
      </c>
      <c r="AD125" s="403">
        <v>11254</v>
      </c>
      <c r="AE125" s="403">
        <v>54</v>
      </c>
      <c r="AF125" s="403">
        <v>69</v>
      </c>
      <c r="AG125" s="403">
        <v>123</v>
      </c>
    </row>
    <row r="126" spans="1:33" x14ac:dyDescent="0.3">
      <c r="A126" s="396" t="s">
        <v>312</v>
      </c>
      <c r="B126" s="396" t="s">
        <v>313</v>
      </c>
      <c r="C126" s="403">
        <v>3156</v>
      </c>
      <c r="D126" s="403">
        <v>0</v>
      </c>
      <c r="E126" s="403">
        <v>125</v>
      </c>
      <c r="F126" s="403">
        <v>283</v>
      </c>
      <c r="G126" s="403">
        <v>768</v>
      </c>
      <c r="H126" s="400">
        <v>4332</v>
      </c>
      <c r="I126" s="400">
        <v>3564</v>
      </c>
      <c r="J126" s="403">
        <v>5</v>
      </c>
      <c r="K126" s="401">
        <v>90.75</v>
      </c>
      <c r="L126" s="401">
        <v>91.01</v>
      </c>
      <c r="M126" s="401">
        <v>4.3499999999999996</v>
      </c>
      <c r="N126" s="401">
        <v>93.5</v>
      </c>
      <c r="O126" s="402">
        <v>2417</v>
      </c>
      <c r="P126" s="401">
        <v>79.77</v>
      </c>
      <c r="Q126" s="401">
        <v>76.209999999999994</v>
      </c>
      <c r="R126" s="401">
        <v>46.41</v>
      </c>
      <c r="S126" s="401">
        <v>121.52</v>
      </c>
      <c r="T126" s="402">
        <v>379</v>
      </c>
      <c r="U126" s="401">
        <v>115.49</v>
      </c>
      <c r="V126" s="402">
        <v>635</v>
      </c>
      <c r="W126" s="401">
        <v>115.2</v>
      </c>
      <c r="X126" s="402">
        <v>13</v>
      </c>
      <c r="Y126" s="403">
        <v>19</v>
      </c>
      <c r="Z126" s="403">
        <v>10</v>
      </c>
      <c r="AA126" s="403">
        <v>1</v>
      </c>
      <c r="AB126" s="403">
        <v>74</v>
      </c>
      <c r="AC126" s="403">
        <v>7</v>
      </c>
      <c r="AD126" s="403">
        <v>3156</v>
      </c>
      <c r="AE126" s="403">
        <v>17</v>
      </c>
      <c r="AF126" s="403">
        <v>30</v>
      </c>
      <c r="AG126" s="403">
        <v>47</v>
      </c>
    </row>
    <row r="127" spans="1:33" x14ac:dyDescent="0.3">
      <c r="A127" s="396" t="s">
        <v>314</v>
      </c>
      <c r="B127" s="396" t="s">
        <v>315</v>
      </c>
      <c r="C127" s="403">
        <v>10032</v>
      </c>
      <c r="D127" s="403">
        <v>78</v>
      </c>
      <c r="E127" s="403">
        <v>1109</v>
      </c>
      <c r="F127" s="403">
        <v>855</v>
      </c>
      <c r="G127" s="403">
        <v>1563</v>
      </c>
      <c r="H127" s="400">
        <v>13637</v>
      </c>
      <c r="I127" s="400">
        <v>12074</v>
      </c>
      <c r="J127" s="403">
        <v>40</v>
      </c>
      <c r="K127" s="401">
        <v>121.16</v>
      </c>
      <c r="L127" s="401">
        <v>121.7</v>
      </c>
      <c r="M127" s="401">
        <v>10.92</v>
      </c>
      <c r="N127" s="401">
        <v>128.31</v>
      </c>
      <c r="O127" s="402">
        <v>8181</v>
      </c>
      <c r="P127" s="401">
        <v>118.43</v>
      </c>
      <c r="Q127" s="401">
        <v>109.24</v>
      </c>
      <c r="R127" s="401">
        <v>73.12</v>
      </c>
      <c r="S127" s="401">
        <v>188.99</v>
      </c>
      <c r="T127" s="402">
        <v>1258</v>
      </c>
      <c r="U127" s="401">
        <v>186.94</v>
      </c>
      <c r="V127" s="402">
        <v>632</v>
      </c>
      <c r="W127" s="401">
        <v>264.44</v>
      </c>
      <c r="X127" s="402">
        <v>134</v>
      </c>
      <c r="Y127" s="403">
        <v>9</v>
      </c>
      <c r="Z127" s="403">
        <v>1</v>
      </c>
      <c r="AA127" s="403">
        <v>13</v>
      </c>
      <c r="AB127" s="403">
        <v>27</v>
      </c>
      <c r="AC127" s="403">
        <v>34</v>
      </c>
      <c r="AD127" s="403">
        <v>9111</v>
      </c>
      <c r="AE127" s="403">
        <v>56</v>
      </c>
      <c r="AF127" s="403">
        <v>49</v>
      </c>
      <c r="AG127" s="403">
        <v>105</v>
      </c>
    </row>
    <row r="128" spans="1:33" x14ac:dyDescent="0.3">
      <c r="A128" s="396" t="s">
        <v>316</v>
      </c>
      <c r="B128" s="396" t="s">
        <v>317</v>
      </c>
      <c r="C128" s="403">
        <v>1619</v>
      </c>
      <c r="D128" s="403">
        <v>280</v>
      </c>
      <c r="E128" s="403">
        <v>287</v>
      </c>
      <c r="F128" s="403">
        <v>261</v>
      </c>
      <c r="G128" s="403">
        <v>472</v>
      </c>
      <c r="H128" s="400">
        <v>2919</v>
      </c>
      <c r="I128" s="400">
        <v>2447</v>
      </c>
      <c r="J128" s="403">
        <v>0</v>
      </c>
      <c r="K128" s="401">
        <v>102.38</v>
      </c>
      <c r="L128" s="401">
        <v>99.27</v>
      </c>
      <c r="M128" s="401">
        <v>8.25</v>
      </c>
      <c r="N128" s="401">
        <v>109.37</v>
      </c>
      <c r="O128" s="402">
        <v>1256</v>
      </c>
      <c r="P128" s="401">
        <v>94.35</v>
      </c>
      <c r="Q128" s="401">
        <v>85.97</v>
      </c>
      <c r="R128" s="401">
        <v>57.26</v>
      </c>
      <c r="S128" s="401">
        <v>150.82</v>
      </c>
      <c r="T128" s="402">
        <v>361</v>
      </c>
      <c r="U128" s="401">
        <v>160.94</v>
      </c>
      <c r="V128" s="402">
        <v>350</v>
      </c>
      <c r="W128" s="401">
        <v>110.28</v>
      </c>
      <c r="X128" s="402">
        <v>2</v>
      </c>
      <c r="Y128" s="403">
        <v>31</v>
      </c>
      <c r="Z128" s="403">
        <v>1</v>
      </c>
      <c r="AA128" s="403">
        <v>0</v>
      </c>
      <c r="AB128" s="403">
        <v>66</v>
      </c>
      <c r="AC128" s="403">
        <v>3</v>
      </c>
      <c r="AD128" s="403">
        <v>1608</v>
      </c>
      <c r="AE128" s="403">
        <v>18</v>
      </c>
      <c r="AF128" s="403">
        <v>164</v>
      </c>
      <c r="AG128" s="403">
        <v>182</v>
      </c>
    </row>
    <row r="129" spans="1:33" x14ac:dyDescent="0.3">
      <c r="A129" s="396" t="s">
        <v>318</v>
      </c>
      <c r="B129" s="396" t="s">
        <v>319</v>
      </c>
      <c r="C129" s="403">
        <v>2755</v>
      </c>
      <c r="D129" s="403">
        <v>0</v>
      </c>
      <c r="E129" s="403">
        <v>213</v>
      </c>
      <c r="F129" s="403">
        <v>391</v>
      </c>
      <c r="G129" s="403">
        <v>548</v>
      </c>
      <c r="H129" s="400">
        <v>3907</v>
      </c>
      <c r="I129" s="400">
        <v>3359</v>
      </c>
      <c r="J129" s="403">
        <v>5</v>
      </c>
      <c r="K129" s="401">
        <v>97.66</v>
      </c>
      <c r="L129" s="401">
        <v>93.95</v>
      </c>
      <c r="M129" s="401">
        <v>6.4</v>
      </c>
      <c r="N129" s="401">
        <v>102.02</v>
      </c>
      <c r="O129" s="402">
        <v>1725</v>
      </c>
      <c r="P129" s="401">
        <v>109.19</v>
      </c>
      <c r="Q129" s="401">
        <v>83.47</v>
      </c>
      <c r="R129" s="401">
        <v>52.29</v>
      </c>
      <c r="S129" s="401">
        <v>161.47999999999999</v>
      </c>
      <c r="T129" s="402">
        <v>466</v>
      </c>
      <c r="U129" s="401">
        <v>125.49</v>
      </c>
      <c r="V129" s="402">
        <v>880</v>
      </c>
      <c r="W129" s="401">
        <v>113.68</v>
      </c>
      <c r="X129" s="402">
        <v>11</v>
      </c>
      <c r="Y129" s="403">
        <v>3</v>
      </c>
      <c r="Z129" s="403">
        <v>0</v>
      </c>
      <c r="AA129" s="403">
        <v>0</v>
      </c>
      <c r="AB129" s="403">
        <v>88</v>
      </c>
      <c r="AC129" s="403">
        <v>5</v>
      </c>
      <c r="AD129" s="403">
        <v>2523</v>
      </c>
      <c r="AE129" s="403">
        <v>35</v>
      </c>
      <c r="AF129" s="403">
        <v>16</v>
      </c>
      <c r="AG129" s="403">
        <v>51</v>
      </c>
    </row>
    <row r="130" spans="1:33" x14ac:dyDescent="0.3">
      <c r="A130" s="396" t="s">
        <v>320</v>
      </c>
      <c r="B130" s="396" t="s">
        <v>321</v>
      </c>
      <c r="C130" s="403">
        <v>3482</v>
      </c>
      <c r="D130" s="403">
        <v>3</v>
      </c>
      <c r="E130" s="403">
        <v>315</v>
      </c>
      <c r="F130" s="403">
        <v>610</v>
      </c>
      <c r="G130" s="403">
        <v>963</v>
      </c>
      <c r="H130" s="400">
        <v>5373</v>
      </c>
      <c r="I130" s="400">
        <v>4410</v>
      </c>
      <c r="J130" s="403">
        <v>6</v>
      </c>
      <c r="K130" s="401">
        <v>133.37</v>
      </c>
      <c r="L130" s="401">
        <v>127.91</v>
      </c>
      <c r="M130" s="401">
        <v>10.36</v>
      </c>
      <c r="N130" s="401">
        <v>140.61000000000001</v>
      </c>
      <c r="O130" s="402">
        <v>2760</v>
      </c>
      <c r="P130" s="401">
        <v>106.89</v>
      </c>
      <c r="Q130" s="401">
        <v>93.47</v>
      </c>
      <c r="R130" s="401">
        <v>37.97</v>
      </c>
      <c r="S130" s="401">
        <v>139.13999999999999</v>
      </c>
      <c r="T130" s="402">
        <v>531</v>
      </c>
      <c r="U130" s="401">
        <v>196.88</v>
      </c>
      <c r="V130" s="402">
        <v>467</v>
      </c>
      <c r="W130" s="401">
        <v>191.56</v>
      </c>
      <c r="X130" s="402">
        <v>31</v>
      </c>
      <c r="Y130" s="403">
        <v>0</v>
      </c>
      <c r="Z130" s="403">
        <v>1</v>
      </c>
      <c r="AA130" s="403">
        <v>12</v>
      </c>
      <c r="AB130" s="403">
        <v>11</v>
      </c>
      <c r="AC130" s="403">
        <v>32</v>
      </c>
      <c r="AD130" s="403">
        <v>3405</v>
      </c>
      <c r="AE130" s="403">
        <v>11</v>
      </c>
      <c r="AF130" s="403">
        <v>2</v>
      </c>
      <c r="AG130" s="403">
        <v>13</v>
      </c>
    </row>
    <row r="131" spans="1:33" x14ac:dyDescent="0.3">
      <c r="A131" s="396" t="s">
        <v>322</v>
      </c>
      <c r="B131" s="396" t="s">
        <v>323</v>
      </c>
      <c r="C131" s="403">
        <v>3108</v>
      </c>
      <c r="D131" s="403">
        <v>0</v>
      </c>
      <c r="E131" s="403">
        <v>41</v>
      </c>
      <c r="F131" s="403">
        <v>321</v>
      </c>
      <c r="G131" s="403">
        <v>719</v>
      </c>
      <c r="H131" s="400">
        <v>4189</v>
      </c>
      <c r="I131" s="400">
        <v>3470</v>
      </c>
      <c r="J131" s="403">
        <v>0</v>
      </c>
      <c r="K131" s="401">
        <v>117.88</v>
      </c>
      <c r="L131" s="401">
        <v>113.95</v>
      </c>
      <c r="M131" s="401">
        <v>6.72</v>
      </c>
      <c r="N131" s="401">
        <v>120.68</v>
      </c>
      <c r="O131" s="402">
        <v>2389</v>
      </c>
      <c r="P131" s="401">
        <v>103.66</v>
      </c>
      <c r="Q131" s="401">
        <v>98.85</v>
      </c>
      <c r="R131" s="401">
        <v>37.11</v>
      </c>
      <c r="S131" s="401">
        <v>140.53</v>
      </c>
      <c r="T131" s="402">
        <v>308</v>
      </c>
      <c r="U131" s="401">
        <v>173.83</v>
      </c>
      <c r="V131" s="402">
        <v>684</v>
      </c>
      <c r="W131" s="401">
        <v>144.91999999999999</v>
      </c>
      <c r="X131" s="402">
        <v>1</v>
      </c>
      <c r="Y131" s="403">
        <v>0</v>
      </c>
      <c r="Z131" s="403">
        <v>0</v>
      </c>
      <c r="AA131" s="403">
        <v>0</v>
      </c>
      <c r="AB131" s="403">
        <v>38</v>
      </c>
      <c r="AC131" s="403">
        <v>23</v>
      </c>
      <c r="AD131" s="403">
        <v>3108</v>
      </c>
      <c r="AE131" s="403">
        <v>19</v>
      </c>
      <c r="AF131" s="403">
        <v>13</v>
      </c>
      <c r="AG131" s="403">
        <v>32</v>
      </c>
    </row>
    <row r="132" spans="1:33" x14ac:dyDescent="0.3">
      <c r="A132" s="396" t="s">
        <v>324</v>
      </c>
      <c r="B132" s="396" t="s">
        <v>325</v>
      </c>
      <c r="C132" s="403">
        <v>7631</v>
      </c>
      <c r="D132" s="403">
        <v>0</v>
      </c>
      <c r="E132" s="403">
        <v>162</v>
      </c>
      <c r="F132" s="403">
        <v>1962</v>
      </c>
      <c r="G132" s="403">
        <v>215</v>
      </c>
      <c r="H132" s="400">
        <v>9970</v>
      </c>
      <c r="I132" s="400">
        <v>9755</v>
      </c>
      <c r="J132" s="403">
        <v>0</v>
      </c>
      <c r="K132" s="401">
        <v>82.36</v>
      </c>
      <c r="L132" s="401">
        <v>81.319999999999993</v>
      </c>
      <c r="M132" s="401">
        <v>5.52</v>
      </c>
      <c r="N132" s="401">
        <v>84.59</v>
      </c>
      <c r="O132" s="402">
        <v>6512</v>
      </c>
      <c r="P132" s="401">
        <v>82.29</v>
      </c>
      <c r="Q132" s="401">
        <v>80.08</v>
      </c>
      <c r="R132" s="401">
        <v>40.130000000000003</v>
      </c>
      <c r="S132" s="401">
        <v>105.69</v>
      </c>
      <c r="T132" s="402">
        <v>2040</v>
      </c>
      <c r="U132" s="401">
        <v>95.54</v>
      </c>
      <c r="V132" s="402">
        <v>1060</v>
      </c>
      <c r="W132" s="401">
        <v>104.16</v>
      </c>
      <c r="X132" s="402">
        <v>72</v>
      </c>
      <c r="Y132" s="403">
        <v>10</v>
      </c>
      <c r="Z132" s="403">
        <v>18</v>
      </c>
      <c r="AA132" s="403">
        <v>0</v>
      </c>
      <c r="AB132" s="403">
        <v>10</v>
      </c>
      <c r="AC132" s="403">
        <v>2</v>
      </c>
      <c r="AD132" s="403">
        <v>7605</v>
      </c>
      <c r="AE132" s="403">
        <v>47</v>
      </c>
      <c r="AF132" s="403">
        <v>97</v>
      </c>
      <c r="AG132" s="403">
        <v>144</v>
      </c>
    </row>
    <row r="133" spans="1:33" x14ac:dyDescent="0.3">
      <c r="A133" s="396" t="s">
        <v>326</v>
      </c>
      <c r="B133" s="396" t="s">
        <v>327</v>
      </c>
      <c r="C133" s="403">
        <v>5128</v>
      </c>
      <c r="D133" s="403">
        <v>0</v>
      </c>
      <c r="E133" s="403">
        <v>280</v>
      </c>
      <c r="F133" s="403">
        <v>721</v>
      </c>
      <c r="G133" s="403">
        <v>195</v>
      </c>
      <c r="H133" s="400">
        <v>6324</v>
      </c>
      <c r="I133" s="400">
        <v>6129</v>
      </c>
      <c r="J133" s="403">
        <v>5</v>
      </c>
      <c r="K133" s="401">
        <v>87.5</v>
      </c>
      <c r="L133" s="401">
        <v>84.82</v>
      </c>
      <c r="M133" s="401">
        <v>6.99</v>
      </c>
      <c r="N133" s="401">
        <v>93.52</v>
      </c>
      <c r="O133" s="402">
        <v>4177</v>
      </c>
      <c r="P133" s="401">
        <v>72.73</v>
      </c>
      <c r="Q133" s="401">
        <v>68.989999999999995</v>
      </c>
      <c r="R133" s="401">
        <v>43.14</v>
      </c>
      <c r="S133" s="401">
        <v>115.87</v>
      </c>
      <c r="T133" s="402">
        <v>800</v>
      </c>
      <c r="U133" s="401">
        <v>115.03</v>
      </c>
      <c r="V133" s="402">
        <v>756</v>
      </c>
      <c r="W133" s="401">
        <v>155.33000000000001</v>
      </c>
      <c r="X133" s="402">
        <v>106</v>
      </c>
      <c r="Y133" s="403">
        <v>0</v>
      </c>
      <c r="Z133" s="403">
        <v>0</v>
      </c>
      <c r="AA133" s="403">
        <v>3</v>
      </c>
      <c r="AB133" s="403">
        <v>16</v>
      </c>
      <c r="AC133" s="403">
        <v>5</v>
      </c>
      <c r="AD133" s="403">
        <v>5059</v>
      </c>
      <c r="AE133" s="403">
        <v>23</v>
      </c>
      <c r="AF133" s="403">
        <v>58</v>
      </c>
      <c r="AG133" s="403">
        <v>81</v>
      </c>
    </row>
    <row r="134" spans="1:33" x14ac:dyDescent="0.3">
      <c r="A134" s="396" t="s">
        <v>328</v>
      </c>
      <c r="B134" s="396" t="s">
        <v>329</v>
      </c>
      <c r="C134" s="403">
        <v>4447</v>
      </c>
      <c r="D134" s="403">
        <v>0</v>
      </c>
      <c r="E134" s="403">
        <v>237</v>
      </c>
      <c r="F134" s="403">
        <v>1060</v>
      </c>
      <c r="G134" s="403">
        <v>412</v>
      </c>
      <c r="H134" s="400">
        <v>6156</v>
      </c>
      <c r="I134" s="400">
        <v>5744</v>
      </c>
      <c r="J134" s="403">
        <v>20</v>
      </c>
      <c r="K134" s="401">
        <v>106.98</v>
      </c>
      <c r="L134" s="401">
        <v>101.92</v>
      </c>
      <c r="M134" s="401">
        <v>10.220000000000001</v>
      </c>
      <c r="N134" s="401">
        <v>111.73</v>
      </c>
      <c r="O134" s="402">
        <v>3522</v>
      </c>
      <c r="P134" s="401">
        <v>98.27</v>
      </c>
      <c r="Q134" s="401">
        <v>88.81</v>
      </c>
      <c r="R134" s="401">
        <v>22.82</v>
      </c>
      <c r="S134" s="401">
        <v>118.52</v>
      </c>
      <c r="T134" s="402">
        <v>1147</v>
      </c>
      <c r="U134" s="401">
        <v>147.57</v>
      </c>
      <c r="V134" s="402">
        <v>789</v>
      </c>
      <c r="W134" s="401">
        <v>164.94</v>
      </c>
      <c r="X134" s="402">
        <v>14</v>
      </c>
      <c r="Y134" s="403">
        <v>0</v>
      </c>
      <c r="Z134" s="403">
        <v>0</v>
      </c>
      <c r="AA134" s="403">
        <v>1</v>
      </c>
      <c r="AB134" s="403">
        <v>17</v>
      </c>
      <c r="AC134" s="403">
        <v>12</v>
      </c>
      <c r="AD134" s="403">
        <v>4396</v>
      </c>
      <c r="AE134" s="403">
        <v>23</v>
      </c>
      <c r="AF134" s="403">
        <v>13</v>
      </c>
      <c r="AG134" s="403">
        <v>36</v>
      </c>
    </row>
    <row r="135" spans="1:33" x14ac:dyDescent="0.3">
      <c r="A135" s="396" t="s">
        <v>330</v>
      </c>
      <c r="B135" s="396" t="s">
        <v>331</v>
      </c>
      <c r="C135" s="403">
        <v>3650</v>
      </c>
      <c r="D135" s="403">
        <v>354</v>
      </c>
      <c r="E135" s="403">
        <v>209</v>
      </c>
      <c r="F135" s="403">
        <v>497</v>
      </c>
      <c r="G135" s="403">
        <v>962</v>
      </c>
      <c r="H135" s="400">
        <v>5672</v>
      </c>
      <c r="I135" s="400">
        <v>4710</v>
      </c>
      <c r="J135" s="403">
        <v>15</v>
      </c>
      <c r="K135" s="401">
        <v>118.14</v>
      </c>
      <c r="L135" s="401">
        <v>118.32</v>
      </c>
      <c r="M135" s="401">
        <v>11.92</v>
      </c>
      <c r="N135" s="401">
        <v>127.41</v>
      </c>
      <c r="O135" s="402">
        <v>2386</v>
      </c>
      <c r="P135" s="401">
        <v>108</v>
      </c>
      <c r="Q135" s="401">
        <v>98.29</v>
      </c>
      <c r="R135" s="401">
        <v>46.04</v>
      </c>
      <c r="S135" s="401">
        <v>153</v>
      </c>
      <c r="T135" s="402">
        <v>615</v>
      </c>
      <c r="U135" s="401">
        <v>182.91</v>
      </c>
      <c r="V135" s="402">
        <v>1037</v>
      </c>
      <c r="W135" s="401">
        <v>212.92</v>
      </c>
      <c r="X135" s="402">
        <v>40</v>
      </c>
      <c r="Y135" s="403">
        <v>0</v>
      </c>
      <c r="Z135" s="403">
        <v>2</v>
      </c>
      <c r="AA135" s="403">
        <v>18</v>
      </c>
      <c r="AB135" s="403">
        <v>83</v>
      </c>
      <c r="AC135" s="403">
        <v>18</v>
      </c>
      <c r="AD135" s="403">
        <v>3618</v>
      </c>
      <c r="AE135" s="403">
        <v>36</v>
      </c>
      <c r="AF135" s="403">
        <v>9</v>
      </c>
      <c r="AG135" s="403">
        <v>45</v>
      </c>
    </row>
    <row r="136" spans="1:33" x14ac:dyDescent="0.3">
      <c r="A136" s="396" t="s">
        <v>332</v>
      </c>
      <c r="B136" s="396" t="s">
        <v>333</v>
      </c>
      <c r="C136" s="403">
        <v>9374</v>
      </c>
      <c r="D136" s="403">
        <v>0</v>
      </c>
      <c r="E136" s="403">
        <v>318</v>
      </c>
      <c r="F136" s="403">
        <v>1644</v>
      </c>
      <c r="G136" s="403">
        <v>907</v>
      </c>
      <c r="H136" s="400">
        <v>12243</v>
      </c>
      <c r="I136" s="400">
        <v>11336</v>
      </c>
      <c r="J136" s="403">
        <v>2</v>
      </c>
      <c r="K136" s="401">
        <v>90.6</v>
      </c>
      <c r="L136" s="401">
        <v>89.55</v>
      </c>
      <c r="M136" s="401">
        <v>4.2699999999999996</v>
      </c>
      <c r="N136" s="401">
        <v>92.84</v>
      </c>
      <c r="O136" s="402">
        <v>8440</v>
      </c>
      <c r="P136" s="401">
        <v>85.41</v>
      </c>
      <c r="Q136" s="401">
        <v>83.06</v>
      </c>
      <c r="R136" s="401">
        <v>39.520000000000003</v>
      </c>
      <c r="S136" s="401">
        <v>116.31</v>
      </c>
      <c r="T136" s="402">
        <v>1903</v>
      </c>
      <c r="U136" s="401">
        <v>109.23</v>
      </c>
      <c r="V136" s="402">
        <v>860</v>
      </c>
      <c r="W136" s="401">
        <v>185.94</v>
      </c>
      <c r="X136" s="402">
        <v>20</v>
      </c>
      <c r="Y136" s="403">
        <v>0</v>
      </c>
      <c r="Z136" s="403">
        <v>7</v>
      </c>
      <c r="AA136" s="403">
        <v>2</v>
      </c>
      <c r="AB136" s="403">
        <v>32</v>
      </c>
      <c r="AC136" s="403">
        <v>10</v>
      </c>
      <c r="AD136" s="403">
        <v>9335</v>
      </c>
      <c r="AE136" s="403">
        <v>71</v>
      </c>
      <c r="AF136" s="403">
        <v>15</v>
      </c>
      <c r="AG136" s="403">
        <v>86</v>
      </c>
    </row>
    <row r="137" spans="1:33" x14ac:dyDescent="0.3">
      <c r="A137" s="396" t="s">
        <v>334</v>
      </c>
      <c r="B137" s="396" t="s">
        <v>335</v>
      </c>
      <c r="C137" s="403">
        <v>6425</v>
      </c>
      <c r="D137" s="403">
        <v>28</v>
      </c>
      <c r="E137" s="403">
        <v>184</v>
      </c>
      <c r="F137" s="403">
        <v>799</v>
      </c>
      <c r="G137" s="403">
        <v>525</v>
      </c>
      <c r="H137" s="400">
        <v>7961</v>
      </c>
      <c r="I137" s="400">
        <v>7436</v>
      </c>
      <c r="J137" s="403">
        <v>1</v>
      </c>
      <c r="K137" s="401">
        <v>121.6</v>
      </c>
      <c r="L137" s="401">
        <v>123.18</v>
      </c>
      <c r="M137" s="401">
        <v>7.6</v>
      </c>
      <c r="N137" s="401">
        <v>125.53</v>
      </c>
      <c r="O137" s="402">
        <v>5443</v>
      </c>
      <c r="P137" s="401">
        <v>113.06</v>
      </c>
      <c r="Q137" s="401">
        <v>105.5</v>
      </c>
      <c r="R137" s="401">
        <v>31.5</v>
      </c>
      <c r="S137" s="401">
        <v>142.6</v>
      </c>
      <c r="T137" s="402">
        <v>948</v>
      </c>
      <c r="U137" s="401">
        <v>181.74</v>
      </c>
      <c r="V137" s="402">
        <v>799</v>
      </c>
      <c r="W137" s="401">
        <v>213.91</v>
      </c>
      <c r="X137" s="402">
        <v>4</v>
      </c>
      <c r="Y137" s="403">
        <v>0</v>
      </c>
      <c r="Z137" s="403">
        <v>4</v>
      </c>
      <c r="AA137" s="403">
        <v>1</v>
      </c>
      <c r="AB137" s="403">
        <v>30</v>
      </c>
      <c r="AC137" s="403">
        <v>8</v>
      </c>
      <c r="AD137" s="403">
        <v>6250</v>
      </c>
      <c r="AE137" s="403">
        <v>55</v>
      </c>
      <c r="AF137" s="403">
        <v>58</v>
      </c>
      <c r="AG137" s="403">
        <v>113</v>
      </c>
    </row>
    <row r="138" spans="1:33" x14ac:dyDescent="0.3">
      <c r="A138" s="396" t="s">
        <v>336</v>
      </c>
      <c r="B138" s="396" t="s">
        <v>337</v>
      </c>
      <c r="C138" s="403">
        <v>1031</v>
      </c>
      <c r="D138" s="403">
        <v>1</v>
      </c>
      <c r="E138" s="403">
        <v>68</v>
      </c>
      <c r="F138" s="403">
        <v>317</v>
      </c>
      <c r="G138" s="403">
        <v>204</v>
      </c>
      <c r="H138" s="400">
        <v>1621</v>
      </c>
      <c r="I138" s="400">
        <v>1417</v>
      </c>
      <c r="J138" s="403">
        <v>18</v>
      </c>
      <c r="K138" s="401">
        <v>96.52</v>
      </c>
      <c r="L138" s="401">
        <v>93.5</v>
      </c>
      <c r="M138" s="401">
        <v>7.86</v>
      </c>
      <c r="N138" s="401">
        <v>100.95</v>
      </c>
      <c r="O138" s="402">
        <v>793</v>
      </c>
      <c r="P138" s="401">
        <v>91.39</v>
      </c>
      <c r="Q138" s="401">
        <v>80.400000000000006</v>
      </c>
      <c r="R138" s="401">
        <v>46.94</v>
      </c>
      <c r="S138" s="401">
        <v>137.44</v>
      </c>
      <c r="T138" s="402">
        <v>369</v>
      </c>
      <c r="U138" s="401">
        <v>111.68</v>
      </c>
      <c r="V138" s="402">
        <v>221</v>
      </c>
      <c r="W138" s="401">
        <v>0</v>
      </c>
      <c r="X138" s="402">
        <v>0</v>
      </c>
      <c r="Y138" s="403">
        <v>2</v>
      </c>
      <c r="Z138" s="403">
        <v>1</v>
      </c>
      <c r="AA138" s="403">
        <v>1</v>
      </c>
      <c r="AB138" s="403">
        <v>7</v>
      </c>
      <c r="AC138" s="403">
        <v>4</v>
      </c>
      <c r="AD138" s="403">
        <v>1013</v>
      </c>
      <c r="AE138" s="403">
        <v>21</v>
      </c>
      <c r="AF138" s="403">
        <v>6</v>
      </c>
      <c r="AG138" s="403">
        <v>27</v>
      </c>
    </row>
    <row r="139" spans="1:33" x14ac:dyDescent="0.3">
      <c r="A139" s="396" t="s">
        <v>338</v>
      </c>
      <c r="B139" s="396" t="s">
        <v>339</v>
      </c>
      <c r="C139" s="403">
        <v>6535</v>
      </c>
      <c r="D139" s="403">
        <v>6</v>
      </c>
      <c r="E139" s="403">
        <v>539</v>
      </c>
      <c r="F139" s="403">
        <v>570</v>
      </c>
      <c r="G139" s="403">
        <v>1222</v>
      </c>
      <c r="H139" s="400">
        <v>8872</v>
      </c>
      <c r="I139" s="400">
        <v>7650</v>
      </c>
      <c r="J139" s="403">
        <v>22</v>
      </c>
      <c r="K139" s="401">
        <v>125</v>
      </c>
      <c r="L139" s="401">
        <v>124.19</v>
      </c>
      <c r="M139" s="401">
        <v>10.8</v>
      </c>
      <c r="N139" s="401">
        <v>132.72</v>
      </c>
      <c r="O139" s="402">
        <v>5147</v>
      </c>
      <c r="P139" s="401">
        <v>104.72</v>
      </c>
      <c r="Q139" s="401">
        <v>101</v>
      </c>
      <c r="R139" s="401">
        <v>41.48</v>
      </c>
      <c r="S139" s="401">
        <v>138.41999999999999</v>
      </c>
      <c r="T139" s="402">
        <v>853</v>
      </c>
      <c r="U139" s="401">
        <v>190.97</v>
      </c>
      <c r="V139" s="402">
        <v>915</v>
      </c>
      <c r="W139" s="401">
        <v>166.15</v>
      </c>
      <c r="X139" s="402">
        <v>58</v>
      </c>
      <c r="Y139" s="403">
        <v>847</v>
      </c>
      <c r="Z139" s="403">
        <v>1</v>
      </c>
      <c r="AA139" s="403">
        <v>5</v>
      </c>
      <c r="AB139" s="403">
        <v>56</v>
      </c>
      <c r="AC139" s="403">
        <v>40</v>
      </c>
      <c r="AD139" s="403">
        <v>6382</v>
      </c>
      <c r="AE139" s="403">
        <v>16</v>
      </c>
      <c r="AF139" s="403">
        <v>17</v>
      </c>
      <c r="AG139" s="403">
        <v>33</v>
      </c>
    </row>
    <row r="140" spans="1:33" x14ac:dyDescent="0.3">
      <c r="A140" s="396" t="s">
        <v>340</v>
      </c>
      <c r="B140" s="396" t="s">
        <v>341</v>
      </c>
      <c r="C140" s="403">
        <v>1947</v>
      </c>
      <c r="D140" s="403">
        <v>1</v>
      </c>
      <c r="E140" s="403">
        <v>125</v>
      </c>
      <c r="F140" s="403">
        <v>125</v>
      </c>
      <c r="G140" s="403">
        <v>415</v>
      </c>
      <c r="H140" s="400">
        <v>2613</v>
      </c>
      <c r="I140" s="400">
        <v>2198</v>
      </c>
      <c r="J140" s="403">
        <v>9</v>
      </c>
      <c r="K140" s="401">
        <v>92.02</v>
      </c>
      <c r="L140" s="401">
        <v>89.21</v>
      </c>
      <c r="M140" s="401">
        <v>5.93</v>
      </c>
      <c r="N140" s="401">
        <v>95.25</v>
      </c>
      <c r="O140" s="402">
        <v>1404</v>
      </c>
      <c r="P140" s="401">
        <v>102.63</v>
      </c>
      <c r="Q140" s="401">
        <v>74.44</v>
      </c>
      <c r="R140" s="401">
        <v>61.5</v>
      </c>
      <c r="S140" s="401">
        <v>164.13</v>
      </c>
      <c r="T140" s="402">
        <v>215</v>
      </c>
      <c r="U140" s="401">
        <v>108.14</v>
      </c>
      <c r="V140" s="402">
        <v>506</v>
      </c>
      <c r="W140" s="401">
        <v>0</v>
      </c>
      <c r="X140" s="402">
        <v>0</v>
      </c>
      <c r="Y140" s="403">
        <v>0</v>
      </c>
      <c r="Z140" s="403">
        <v>3</v>
      </c>
      <c r="AA140" s="403">
        <v>14</v>
      </c>
      <c r="AB140" s="403">
        <v>55</v>
      </c>
      <c r="AC140" s="403">
        <v>10</v>
      </c>
      <c r="AD140" s="403">
        <v>1947</v>
      </c>
      <c r="AE140" s="403">
        <v>18</v>
      </c>
      <c r="AF140" s="403">
        <v>8</v>
      </c>
      <c r="AG140" s="403">
        <v>26</v>
      </c>
    </row>
    <row r="141" spans="1:33" x14ac:dyDescent="0.3">
      <c r="A141" s="396" t="s">
        <v>342</v>
      </c>
      <c r="B141" s="396" t="s">
        <v>343</v>
      </c>
      <c r="C141" s="403">
        <v>6087</v>
      </c>
      <c r="D141" s="403">
        <v>0</v>
      </c>
      <c r="E141" s="403">
        <v>124</v>
      </c>
      <c r="F141" s="403">
        <v>1066</v>
      </c>
      <c r="G141" s="403">
        <v>1011</v>
      </c>
      <c r="H141" s="400">
        <v>8288</v>
      </c>
      <c r="I141" s="400">
        <v>7277</v>
      </c>
      <c r="J141" s="403">
        <v>12</v>
      </c>
      <c r="K141" s="401">
        <v>112.61</v>
      </c>
      <c r="L141" s="401">
        <v>111.31</v>
      </c>
      <c r="M141" s="401">
        <v>5.27</v>
      </c>
      <c r="N141" s="401">
        <v>115.8</v>
      </c>
      <c r="O141" s="402">
        <v>4650</v>
      </c>
      <c r="P141" s="401">
        <v>98.12</v>
      </c>
      <c r="Q141" s="401">
        <v>96.19</v>
      </c>
      <c r="R141" s="401">
        <v>27.33</v>
      </c>
      <c r="S141" s="401">
        <v>124.51</v>
      </c>
      <c r="T141" s="402">
        <v>938</v>
      </c>
      <c r="U141" s="401">
        <v>170.52</v>
      </c>
      <c r="V141" s="402">
        <v>1384</v>
      </c>
      <c r="W141" s="401">
        <v>222.22</v>
      </c>
      <c r="X141" s="402">
        <v>128</v>
      </c>
      <c r="Y141" s="403">
        <v>0</v>
      </c>
      <c r="Z141" s="403">
        <v>3</v>
      </c>
      <c r="AA141" s="403">
        <v>18</v>
      </c>
      <c r="AB141" s="403">
        <v>157</v>
      </c>
      <c r="AC141" s="403">
        <v>16</v>
      </c>
      <c r="AD141" s="403">
        <v>6054</v>
      </c>
      <c r="AE141" s="403">
        <v>54</v>
      </c>
      <c r="AF141" s="403">
        <v>15</v>
      </c>
      <c r="AG141" s="403">
        <v>69</v>
      </c>
    </row>
    <row r="142" spans="1:33" x14ac:dyDescent="0.3">
      <c r="A142" s="396" t="s">
        <v>344</v>
      </c>
      <c r="B142" s="396" t="s">
        <v>345</v>
      </c>
      <c r="C142" s="403">
        <v>7930</v>
      </c>
      <c r="D142" s="403">
        <v>15</v>
      </c>
      <c r="E142" s="403">
        <v>417</v>
      </c>
      <c r="F142" s="403">
        <v>228</v>
      </c>
      <c r="G142" s="403">
        <v>2158</v>
      </c>
      <c r="H142" s="400">
        <v>10748</v>
      </c>
      <c r="I142" s="400">
        <v>8590</v>
      </c>
      <c r="J142" s="403">
        <v>65</v>
      </c>
      <c r="K142" s="401">
        <v>125.61</v>
      </c>
      <c r="L142" s="401">
        <v>126.11</v>
      </c>
      <c r="M142" s="401">
        <v>10.92</v>
      </c>
      <c r="N142" s="401">
        <v>134.32</v>
      </c>
      <c r="O142" s="402">
        <v>5852</v>
      </c>
      <c r="P142" s="401">
        <v>119.6</v>
      </c>
      <c r="Q142" s="401">
        <v>111.8</v>
      </c>
      <c r="R142" s="401">
        <v>110.97</v>
      </c>
      <c r="S142" s="401">
        <v>213.37</v>
      </c>
      <c r="T142" s="402">
        <v>329</v>
      </c>
      <c r="U142" s="401">
        <v>201.6</v>
      </c>
      <c r="V142" s="402">
        <v>1216</v>
      </c>
      <c r="W142" s="401">
        <v>252.18</v>
      </c>
      <c r="X142" s="402">
        <v>112</v>
      </c>
      <c r="Y142" s="403">
        <v>78</v>
      </c>
      <c r="Z142" s="403">
        <v>2</v>
      </c>
      <c r="AA142" s="403">
        <v>7</v>
      </c>
      <c r="AB142" s="403">
        <v>85</v>
      </c>
      <c r="AC142" s="403">
        <v>34</v>
      </c>
      <c r="AD142" s="403">
        <v>7476</v>
      </c>
      <c r="AE142" s="403">
        <v>47</v>
      </c>
      <c r="AF142" s="403">
        <v>114</v>
      </c>
      <c r="AG142" s="403">
        <v>161</v>
      </c>
    </row>
    <row r="143" spans="1:33" x14ac:dyDescent="0.3">
      <c r="A143" s="396" t="s">
        <v>346</v>
      </c>
      <c r="B143" s="396" t="s">
        <v>347</v>
      </c>
      <c r="C143" s="403">
        <v>8818</v>
      </c>
      <c r="D143" s="403">
        <v>17</v>
      </c>
      <c r="E143" s="403">
        <v>460</v>
      </c>
      <c r="F143" s="403">
        <v>980</v>
      </c>
      <c r="G143" s="403">
        <v>978</v>
      </c>
      <c r="H143" s="400">
        <v>11253</v>
      </c>
      <c r="I143" s="400">
        <v>10275</v>
      </c>
      <c r="J143" s="403">
        <v>35</v>
      </c>
      <c r="K143" s="401">
        <v>96.32</v>
      </c>
      <c r="L143" s="401">
        <v>96.11</v>
      </c>
      <c r="M143" s="401">
        <v>3.29</v>
      </c>
      <c r="N143" s="401">
        <v>99.38</v>
      </c>
      <c r="O143" s="402">
        <v>7826</v>
      </c>
      <c r="P143" s="401">
        <v>95.12</v>
      </c>
      <c r="Q143" s="401">
        <v>84.68</v>
      </c>
      <c r="R143" s="401">
        <v>50.87</v>
      </c>
      <c r="S143" s="401">
        <v>145.32</v>
      </c>
      <c r="T143" s="402">
        <v>1300</v>
      </c>
      <c r="U143" s="401">
        <v>136.52000000000001</v>
      </c>
      <c r="V143" s="402">
        <v>830</v>
      </c>
      <c r="W143" s="401">
        <v>193.6</v>
      </c>
      <c r="X143" s="402">
        <v>55</v>
      </c>
      <c r="Y143" s="403">
        <v>68</v>
      </c>
      <c r="Z143" s="403">
        <v>2</v>
      </c>
      <c r="AA143" s="403">
        <v>0</v>
      </c>
      <c r="AB143" s="403">
        <v>116</v>
      </c>
      <c r="AC143" s="403">
        <v>13</v>
      </c>
      <c r="AD143" s="403">
        <v>8818</v>
      </c>
      <c r="AE143" s="403">
        <v>33</v>
      </c>
      <c r="AF143" s="403">
        <v>30</v>
      </c>
      <c r="AG143" s="403">
        <v>63</v>
      </c>
    </row>
    <row r="144" spans="1:33" x14ac:dyDescent="0.3">
      <c r="A144" s="396" t="s">
        <v>348</v>
      </c>
      <c r="B144" s="396" t="s">
        <v>349</v>
      </c>
      <c r="C144" s="403">
        <v>3026</v>
      </c>
      <c r="D144" s="403">
        <v>0</v>
      </c>
      <c r="E144" s="403">
        <v>307</v>
      </c>
      <c r="F144" s="403">
        <v>1561</v>
      </c>
      <c r="G144" s="403">
        <v>63</v>
      </c>
      <c r="H144" s="400">
        <v>4957</v>
      </c>
      <c r="I144" s="400">
        <v>4894</v>
      </c>
      <c r="J144" s="403">
        <v>3</v>
      </c>
      <c r="K144" s="401">
        <v>77.78</v>
      </c>
      <c r="L144" s="401">
        <v>76.13</v>
      </c>
      <c r="M144" s="401">
        <v>2.37</v>
      </c>
      <c r="N144" s="401">
        <v>79.05</v>
      </c>
      <c r="O144" s="402">
        <v>2916</v>
      </c>
      <c r="P144" s="401">
        <v>78.069999999999993</v>
      </c>
      <c r="Q144" s="401">
        <v>66.59</v>
      </c>
      <c r="R144" s="401">
        <v>26.17</v>
      </c>
      <c r="S144" s="401">
        <v>103.9</v>
      </c>
      <c r="T144" s="402">
        <v>1757</v>
      </c>
      <c r="U144" s="401">
        <v>93.7</v>
      </c>
      <c r="V144" s="402">
        <v>110</v>
      </c>
      <c r="W144" s="401">
        <v>252.28</v>
      </c>
      <c r="X144" s="402">
        <v>14</v>
      </c>
      <c r="Y144" s="403">
        <v>1</v>
      </c>
      <c r="Z144" s="403">
        <v>8</v>
      </c>
      <c r="AA144" s="403">
        <v>3</v>
      </c>
      <c r="AB144" s="403">
        <v>0</v>
      </c>
      <c r="AC144" s="403">
        <v>0</v>
      </c>
      <c r="AD144" s="403">
        <v>3026</v>
      </c>
      <c r="AE144" s="403">
        <v>18</v>
      </c>
      <c r="AF144" s="403">
        <v>3</v>
      </c>
      <c r="AG144" s="403">
        <v>21</v>
      </c>
    </row>
    <row r="145" spans="1:33" x14ac:dyDescent="0.3">
      <c r="A145" s="396" t="s">
        <v>350</v>
      </c>
      <c r="B145" s="396" t="s">
        <v>351</v>
      </c>
      <c r="C145" s="403">
        <v>3735</v>
      </c>
      <c r="D145" s="403">
        <v>0</v>
      </c>
      <c r="E145" s="403">
        <v>560</v>
      </c>
      <c r="F145" s="403">
        <v>711</v>
      </c>
      <c r="G145" s="403">
        <v>297</v>
      </c>
      <c r="H145" s="400">
        <v>5303</v>
      </c>
      <c r="I145" s="400">
        <v>5006</v>
      </c>
      <c r="J145" s="403">
        <v>0</v>
      </c>
      <c r="K145" s="401">
        <v>90.12</v>
      </c>
      <c r="L145" s="401">
        <v>90.22</v>
      </c>
      <c r="M145" s="401">
        <v>6.74</v>
      </c>
      <c r="N145" s="401">
        <v>95.28</v>
      </c>
      <c r="O145" s="402">
        <v>2992</v>
      </c>
      <c r="P145" s="401">
        <v>83.28</v>
      </c>
      <c r="Q145" s="401">
        <v>74.3</v>
      </c>
      <c r="R145" s="401">
        <v>63.72</v>
      </c>
      <c r="S145" s="401">
        <v>147</v>
      </c>
      <c r="T145" s="402">
        <v>1047</v>
      </c>
      <c r="U145" s="401">
        <v>104.88</v>
      </c>
      <c r="V145" s="402">
        <v>575</v>
      </c>
      <c r="W145" s="401">
        <v>103.17</v>
      </c>
      <c r="X145" s="402">
        <v>2</v>
      </c>
      <c r="Y145" s="403">
        <v>1</v>
      </c>
      <c r="Z145" s="403">
        <v>1</v>
      </c>
      <c r="AA145" s="403">
        <v>15</v>
      </c>
      <c r="AB145" s="403">
        <v>2</v>
      </c>
      <c r="AC145" s="403">
        <v>5</v>
      </c>
      <c r="AD145" s="403">
        <v>3606</v>
      </c>
      <c r="AE145" s="403">
        <v>16</v>
      </c>
      <c r="AF145" s="403">
        <v>28</v>
      </c>
      <c r="AG145" s="403">
        <v>44</v>
      </c>
    </row>
    <row r="146" spans="1:33" x14ac:dyDescent="0.3">
      <c r="A146" s="396" t="s">
        <v>352</v>
      </c>
      <c r="B146" s="396" t="s">
        <v>353</v>
      </c>
      <c r="C146" s="403">
        <v>6296</v>
      </c>
      <c r="D146" s="403">
        <v>0</v>
      </c>
      <c r="E146" s="403">
        <v>396</v>
      </c>
      <c r="F146" s="403">
        <v>638</v>
      </c>
      <c r="G146" s="403">
        <v>333</v>
      </c>
      <c r="H146" s="400">
        <v>7663</v>
      </c>
      <c r="I146" s="400">
        <v>7330</v>
      </c>
      <c r="J146" s="403">
        <v>214</v>
      </c>
      <c r="K146" s="401">
        <v>89.55</v>
      </c>
      <c r="L146" s="401">
        <v>87.65</v>
      </c>
      <c r="M146" s="401">
        <v>5.07</v>
      </c>
      <c r="N146" s="401">
        <v>92.59</v>
      </c>
      <c r="O146" s="402">
        <v>5450</v>
      </c>
      <c r="P146" s="401">
        <v>81.69</v>
      </c>
      <c r="Q146" s="401">
        <v>77.31</v>
      </c>
      <c r="R146" s="401">
        <v>40.99</v>
      </c>
      <c r="S146" s="401">
        <v>120.31</v>
      </c>
      <c r="T146" s="402">
        <v>983</v>
      </c>
      <c r="U146" s="401">
        <v>123.43</v>
      </c>
      <c r="V146" s="402">
        <v>323</v>
      </c>
      <c r="W146" s="401">
        <v>95.23</v>
      </c>
      <c r="X146" s="402">
        <v>12</v>
      </c>
      <c r="Y146" s="403">
        <v>0</v>
      </c>
      <c r="Z146" s="403">
        <v>3</v>
      </c>
      <c r="AA146" s="403">
        <v>1</v>
      </c>
      <c r="AB146" s="403">
        <v>0</v>
      </c>
      <c r="AC146" s="403">
        <v>5</v>
      </c>
      <c r="AD146" s="403">
        <v>5840</v>
      </c>
      <c r="AE146" s="403">
        <v>17</v>
      </c>
      <c r="AF146" s="403">
        <v>13</v>
      </c>
      <c r="AG146" s="403">
        <v>30</v>
      </c>
    </row>
    <row r="147" spans="1:33" x14ac:dyDescent="0.3">
      <c r="A147" s="396" t="s">
        <v>354</v>
      </c>
      <c r="B147" s="396" t="s">
        <v>355</v>
      </c>
      <c r="C147" s="403">
        <v>54</v>
      </c>
      <c r="D147" s="403">
        <v>0</v>
      </c>
      <c r="E147" s="403">
        <v>0</v>
      </c>
      <c r="F147" s="403">
        <v>7</v>
      </c>
      <c r="G147" s="403">
        <v>0</v>
      </c>
      <c r="H147" s="400">
        <v>61</v>
      </c>
      <c r="I147" s="400">
        <v>61</v>
      </c>
      <c r="J147" s="403">
        <v>0</v>
      </c>
      <c r="K147" s="401">
        <v>100.02</v>
      </c>
      <c r="L147" s="401">
        <v>104.92</v>
      </c>
      <c r="M147" s="401">
        <v>3.11</v>
      </c>
      <c r="N147" s="401">
        <v>101.29</v>
      </c>
      <c r="O147" s="402">
        <v>27</v>
      </c>
      <c r="P147" s="401">
        <v>96.99</v>
      </c>
      <c r="Q147" s="401">
        <v>88.17</v>
      </c>
      <c r="R147" s="401">
        <v>21.02</v>
      </c>
      <c r="S147" s="401">
        <v>118.01</v>
      </c>
      <c r="T147" s="402">
        <v>7</v>
      </c>
      <c r="U147" s="401">
        <v>117.01</v>
      </c>
      <c r="V147" s="402">
        <v>2</v>
      </c>
      <c r="W147" s="401">
        <v>0</v>
      </c>
      <c r="X147" s="402">
        <v>0</v>
      </c>
      <c r="Y147" s="403">
        <v>0</v>
      </c>
      <c r="Z147" s="403">
        <v>0</v>
      </c>
      <c r="AA147" s="403">
        <v>0</v>
      </c>
      <c r="AB147" s="403">
        <v>0</v>
      </c>
      <c r="AC147" s="403">
        <v>0</v>
      </c>
      <c r="AD147" s="403">
        <v>27</v>
      </c>
      <c r="AE147" s="403">
        <v>0</v>
      </c>
      <c r="AF147" s="403">
        <v>0</v>
      </c>
      <c r="AG147" s="403">
        <v>0</v>
      </c>
    </row>
    <row r="148" spans="1:33" x14ac:dyDescent="0.3">
      <c r="A148" s="396" t="s">
        <v>356</v>
      </c>
      <c r="B148" s="396" t="s">
        <v>357</v>
      </c>
      <c r="C148" s="403">
        <v>14096</v>
      </c>
      <c r="D148" s="403">
        <v>290</v>
      </c>
      <c r="E148" s="403">
        <v>1306</v>
      </c>
      <c r="F148" s="403">
        <v>741</v>
      </c>
      <c r="G148" s="403">
        <v>1367</v>
      </c>
      <c r="H148" s="400">
        <v>17800</v>
      </c>
      <c r="I148" s="400">
        <v>16433</v>
      </c>
      <c r="J148" s="403">
        <v>58</v>
      </c>
      <c r="K148" s="401">
        <v>128.61000000000001</v>
      </c>
      <c r="L148" s="401">
        <v>137.16999999999999</v>
      </c>
      <c r="M148" s="401">
        <v>14.15</v>
      </c>
      <c r="N148" s="401">
        <v>139.72</v>
      </c>
      <c r="O148" s="402">
        <v>12284</v>
      </c>
      <c r="P148" s="401">
        <v>117.4</v>
      </c>
      <c r="Q148" s="401">
        <v>117.21</v>
      </c>
      <c r="R148" s="401">
        <v>83.94</v>
      </c>
      <c r="S148" s="401">
        <v>198.54</v>
      </c>
      <c r="T148" s="402">
        <v>1648</v>
      </c>
      <c r="U148" s="401">
        <v>190.68</v>
      </c>
      <c r="V148" s="402">
        <v>525</v>
      </c>
      <c r="W148" s="401">
        <v>199.05</v>
      </c>
      <c r="X148" s="402">
        <v>7</v>
      </c>
      <c r="Y148" s="403">
        <v>1</v>
      </c>
      <c r="Z148" s="403">
        <v>1</v>
      </c>
      <c r="AA148" s="403">
        <v>40</v>
      </c>
      <c r="AB148" s="403">
        <v>24</v>
      </c>
      <c r="AC148" s="403">
        <v>30</v>
      </c>
      <c r="AD148" s="403">
        <v>13115</v>
      </c>
      <c r="AE148" s="403">
        <v>117</v>
      </c>
      <c r="AF148" s="403">
        <v>84</v>
      </c>
      <c r="AG148" s="403">
        <v>201</v>
      </c>
    </row>
    <row r="149" spans="1:33" x14ac:dyDescent="0.3">
      <c r="A149" s="396" t="s">
        <v>358</v>
      </c>
      <c r="B149" s="396" t="s">
        <v>359</v>
      </c>
      <c r="C149" s="403">
        <v>10859</v>
      </c>
      <c r="D149" s="403">
        <v>142</v>
      </c>
      <c r="E149" s="403">
        <v>1025</v>
      </c>
      <c r="F149" s="403">
        <v>913</v>
      </c>
      <c r="G149" s="403">
        <v>556</v>
      </c>
      <c r="H149" s="400">
        <v>13495</v>
      </c>
      <c r="I149" s="400">
        <v>12939</v>
      </c>
      <c r="J149" s="403">
        <v>110</v>
      </c>
      <c r="K149" s="401">
        <v>128.78</v>
      </c>
      <c r="L149" s="401">
        <v>150.66</v>
      </c>
      <c r="M149" s="401">
        <v>13.1</v>
      </c>
      <c r="N149" s="401">
        <v>137.71</v>
      </c>
      <c r="O149" s="402">
        <v>9415</v>
      </c>
      <c r="P149" s="401">
        <v>121.37</v>
      </c>
      <c r="Q149" s="401">
        <v>122.28</v>
      </c>
      <c r="R149" s="401">
        <v>63.61</v>
      </c>
      <c r="S149" s="401">
        <v>175.48</v>
      </c>
      <c r="T149" s="402">
        <v>1526</v>
      </c>
      <c r="U149" s="401">
        <v>213.31</v>
      </c>
      <c r="V149" s="402">
        <v>613</v>
      </c>
      <c r="W149" s="401">
        <v>190.43</v>
      </c>
      <c r="X149" s="402">
        <v>31</v>
      </c>
      <c r="Y149" s="403">
        <v>31</v>
      </c>
      <c r="Z149" s="403">
        <v>0</v>
      </c>
      <c r="AA149" s="403">
        <v>12</v>
      </c>
      <c r="AB149" s="403">
        <v>0</v>
      </c>
      <c r="AC149" s="403">
        <v>11</v>
      </c>
      <c r="AD149" s="403">
        <v>10043</v>
      </c>
      <c r="AE149" s="403">
        <v>45</v>
      </c>
      <c r="AF149" s="403">
        <v>266</v>
      </c>
      <c r="AG149" s="403">
        <v>311</v>
      </c>
    </row>
    <row r="150" spans="1:33" x14ac:dyDescent="0.3">
      <c r="A150" s="396" t="s">
        <v>360</v>
      </c>
      <c r="B150" s="396" t="s">
        <v>361</v>
      </c>
      <c r="C150" s="403">
        <v>8487</v>
      </c>
      <c r="D150" s="403">
        <v>9</v>
      </c>
      <c r="E150" s="403">
        <v>283</v>
      </c>
      <c r="F150" s="403">
        <v>912</v>
      </c>
      <c r="G150" s="403">
        <v>219</v>
      </c>
      <c r="H150" s="400">
        <v>9910</v>
      </c>
      <c r="I150" s="400">
        <v>9691</v>
      </c>
      <c r="J150" s="403">
        <v>108</v>
      </c>
      <c r="K150" s="401">
        <v>84.58</v>
      </c>
      <c r="L150" s="401">
        <v>84.47</v>
      </c>
      <c r="M150" s="401">
        <v>5.42</v>
      </c>
      <c r="N150" s="401">
        <v>86.55</v>
      </c>
      <c r="O150" s="402">
        <v>7750</v>
      </c>
      <c r="P150" s="401">
        <v>89.76</v>
      </c>
      <c r="Q150" s="401">
        <v>82.87</v>
      </c>
      <c r="R150" s="401">
        <v>27.97</v>
      </c>
      <c r="S150" s="401">
        <v>117.21</v>
      </c>
      <c r="T150" s="402">
        <v>1124</v>
      </c>
      <c r="U150" s="401">
        <v>108.72</v>
      </c>
      <c r="V150" s="402">
        <v>702</v>
      </c>
      <c r="W150" s="401">
        <v>91.97</v>
      </c>
      <c r="X150" s="402">
        <v>13</v>
      </c>
      <c r="Y150" s="403">
        <v>0</v>
      </c>
      <c r="Z150" s="403">
        <v>14</v>
      </c>
      <c r="AA150" s="403">
        <v>0</v>
      </c>
      <c r="AB150" s="403">
        <v>10</v>
      </c>
      <c r="AC150" s="403">
        <v>7</v>
      </c>
      <c r="AD150" s="403">
        <v>8472</v>
      </c>
      <c r="AE150" s="403">
        <v>49</v>
      </c>
      <c r="AF150" s="403">
        <v>121</v>
      </c>
      <c r="AG150" s="403">
        <v>170</v>
      </c>
    </row>
    <row r="151" spans="1:33" x14ac:dyDescent="0.3">
      <c r="A151" s="396" t="s">
        <v>362</v>
      </c>
      <c r="B151" s="396" t="s">
        <v>363</v>
      </c>
      <c r="C151" s="403">
        <v>7214</v>
      </c>
      <c r="D151" s="403">
        <v>0</v>
      </c>
      <c r="E151" s="403">
        <v>972</v>
      </c>
      <c r="F151" s="403">
        <v>1292</v>
      </c>
      <c r="G151" s="403">
        <v>337</v>
      </c>
      <c r="H151" s="400">
        <v>9815</v>
      </c>
      <c r="I151" s="400">
        <v>9478</v>
      </c>
      <c r="J151" s="403">
        <v>4</v>
      </c>
      <c r="K151" s="401">
        <v>83.03</v>
      </c>
      <c r="L151" s="401">
        <v>82.19</v>
      </c>
      <c r="M151" s="401">
        <v>6.01</v>
      </c>
      <c r="N151" s="401">
        <v>87.73</v>
      </c>
      <c r="O151" s="402">
        <v>6052</v>
      </c>
      <c r="P151" s="401">
        <v>80.25</v>
      </c>
      <c r="Q151" s="401">
        <v>75.209999999999994</v>
      </c>
      <c r="R151" s="401">
        <v>55.01</v>
      </c>
      <c r="S151" s="401">
        <v>131.82</v>
      </c>
      <c r="T151" s="402">
        <v>1694</v>
      </c>
      <c r="U151" s="401">
        <v>96.78</v>
      </c>
      <c r="V151" s="402">
        <v>972</v>
      </c>
      <c r="W151" s="401">
        <v>232</v>
      </c>
      <c r="X151" s="402">
        <v>30</v>
      </c>
      <c r="Y151" s="403">
        <v>2</v>
      </c>
      <c r="Z151" s="403">
        <v>7</v>
      </c>
      <c r="AA151" s="403">
        <v>0</v>
      </c>
      <c r="AB151" s="403">
        <v>22</v>
      </c>
      <c r="AC151" s="403">
        <v>2</v>
      </c>
      <c r="AD151" s="403">
        <v>6986</v>
      </c>
      <c r="AE151" s="403">
        <v>48</v>
      </c>
      <c r="AF151" s="403">
        <v>51</v>
      </c>
      <c r="AG151" s="403">
        <v>99</v>
      </c>
    </row>
    <row r="152" spans="1:33" x14ac:dyDescent="0.3">
      <c r="A152" s="396" t="s">
        <v>364</v>
      </c>
      <c r="B152" s="396" t="s">
        <v>365</v>
      </c>
      <c r="C152" s="403">
        <v>2179</v>
      </c>
      <c r="D152" s="403">
        <v>94</v>
      </c>
      <c r="E152" s="403">
        <v>304</v>
      </c>
      <c r="F152" s="403">
        <v>218</v>
      </c>
      <c r="G152" s="403">
        <v>447</v>
      </c>
      <c r="H152" s="400">
        <v>3242</v>
      </c>
      <c r="I152" s="400">
        <v>2795</v>
      </c>
      <c r="J152" s="403">
        <v>14</v>
      </c>
      <c r="K152" s="401">
        <v>130.28</v>
      </c>
      <c r="L152" s="401">
        <v>131.77000000000001</v>
      </c>
      <c r="M152" s="401">
        <v>10.210000000000001</v>
      </c>
      <c r="N152" s="401">
        <v>139.21</v>
      </c>
      <c r="O152" s="402">
        <v>1546</v>
      </c>
      <c r="P152" s="401">
        <v>129.22999999999999</v>
      </c>
      <c r="Q152" s="401">
        <v>104.21</v>
      </c>
      <c r="R152" s="401">
        <v>42.32</v>
      </c>
      <c r="S152" s="401">
        <v>171.55</v>
      </c>
      <c r="T152" s="402">
        <v>333</v>
      </c>
      <c r="U152" s="401">
        <v>223.87</v>
      </c>
      <c r="V152" s="402">
        <v>371</v>
      </c>
      <c r="W152" s="401">
        <v>0</v>
      </c>
      <c r="X152" s="402">
        <v>0</v>
      </c>
      <c r="Y152" s="403">
        <v>0</v>
      </c>
      <c r="Z152" s="403">
        <v>0</v>
      </c>
      <c r="AA152" s="403">
        <v>2</v>
      </c>
      <c r="AB152" s="403">
        <v>39</v>
      </c>
      <c r="AC152" s="403">
        <v>11</v>
      </c>
      <c r="AD152" s="403">
        <v>1914</v>
      </c>
      <c r="AE152" s="403">
        <v>10</v>
      </c>
      <c r="AF152" s="403">
        <v>26</v>
      </c>
      <c r="AG152" s="403">
        <v>36</v>
      </c>
    </row>
    <row r="153" spans="1:33" x14ac:dyDescent="0.3">
      <c r="A153" s="396" t="s">
        <v>366</v>
      </c>
      <c r="B153" s="396" t="s">
        <v>367</v>
      </c>
      <c r="C153" s="403">
        <v>4221</v>
      </c>
      <c r="D153" s="403">
        <v>3</v>
      </c>
      <c r="E153" s="403">
        <v>476</v>
      </c>
      <c r="F153" s="403">
        <v>1304</v>
      </c>
      <c r="G153" s="403">
        <v>395</v>
      </c>
      <c r="H153" s="400">
        <v>6399</v>
      </c>
      <c r="I153" s="400">
        <v>6004</v>
      </c>
      <c r="J153" s="403">
        <v>10</v>
      </c>
      <c r="K153" s="401">
        <v>85.86</v>
      </c>
      <c r="L153" s="401">
        <v>83.33</v>
      </c>
      <c r="M153" s="401">
        <v>4.3499999999999996</v>
      </c>
      <c r="N153" s="401">
        <v>89.16</v>
      </c>
      <c r="O153" s="402">
        <v>3520</v>
      </c>
      <c r="P153" s="401">
        <v>82.39</v>
      </c>
      <c r="Q153" s="401">
        <v>75.59</v>
      </c>
      <c r="R153" s="401">
        <v>41.62</v>
      </c>
      <c r="S153" s="401">
        <v>123.15</v>
      </c>
      <c r="T153" s="402">
        <v>1541</v>
      </c>
      <c r="U153" s="401">
        <v>97.21</v>
      </c>
      <c r="V153" s="402">
        <v>582</v>
      </c>
      <c r="W153" s="401">
        <v>110.16</v>
      </c>
      <c r="X153" s="402">
        <v>38</v>
      </c>
      <c r="Y153" s="403">
        <v>38</v>
      </c>
      <c r="Z153" s="403">
        <v>2</v>
      </c>
      <c r="AA153" s="403">
        <v>7</v>
      </c>
      <c r="AB153" s="403">
        <v>51</v>
      </c>
      <c r="AC153" s="403">
        <v>11</v>
      </c>
      <c r="AD153" s="403">
        <v>4209</v>
      </c>
      <c r="AE153" s="403">
        <v>28</v>
      </c>
      <c r="AF153" s="403">
        <v>6</v>
      </c>
      <c r="AG153" s="403">
        <v>34</v>
      </c>
    </row>
    <row r="154" spans="1:33" x14ac:dyDescent="0.3">
      <c r="A154" s="396" t="s">
        <v>368</v>
      </c>
      <c r="B154" s="396" t="s">
        <v>369</v>
      </c>
      <c r="C154" s="403">
        <v>16110</v>
      </c>
      <c r="D154" s="403">
        <v>0</v>
      </c>
      <c r="E154" s="403">
        <v>803</v>
      </c>
      <c r="F154" s="403">
        <v>1345</v>
      </c>
      <c r="G154" s="403">
        <v>463</v>
      </c>
      <c r="H154" s="400">
        <v>18721</v>
      </c>
      <c r="I154" s="400">
        <v>18258</v>
      </c>
      <c r="J154" s="403">
        <v>0</v>
      </c>
      <c r="K154" s="401">
        <v>84.93</v>
      </c>
      <c r="L154" s="401">
        <v>84.88</v>
      </c>
      <c r="M154" s="401">
        <v>11.74</v>
      </c>
      <c r="N154" s="401">
        <v>87.78</v>
      </c>
      <c r="O154" s="402">
        <v>14534</v>
      </c>
      <c r="P154" s="401">
        <v>86.13</v>
      </c>
      <c r="Q154" s="401">
        <v>75.349999999999994</v>
      </c>
      <c r="R154" s="401">
        <v>33.130000000000003</v>
      </c>
      <c r="S154" s="401">
        <v>118.44</v>
      </c>
      <c r="T154" s="402">
        <v>1586</v>
      </c>
      <c r="U154" s="401">
        <v>108.43</v>
      </c>
      <c r="V154" s="402">
        <v>1288</v>
      </c>
      <c r="W154" s="401">
        <v>154.49</v>
      </c>
      <c r="X154" s="402">
        <v>410</v>
      </c>
      <c r="Y154" s="403">
        <v>0</v>
      </c>
      <c r="Z154" s="403">
        <v>78</v>
      </c>
      <c r="AA154" s="403">
        <v>0</v>
      </c>
      <c r="AB154" s="403">
        <v>48</v>
      </c>
      <c r="AC154" s="403">
        <v>1</v>
      </c>
      <c r="AD154" s="403">
        <v>15948</v>
      </c>
      <c r="AE154" s="403">
        <v>67</v>
      </c>
      <c r="AF154" s="403">
        <v>242</v>
      </c>
      <c r="AG154" s="403">
        <v>309</v>
      </c>
    </row>
    <row r="155" spans="1:33" x14ac:dyDescent="0.3">
      <c r="A155" s="396" t="s">
        <v>370</v>
      </c>
      <c r="B155" s="396" t="s">
        <v>371</v>
      </c>
      <c r="C155" s="403">
        <v>21325</v>
      </c>
      <c r="D155" s="403">
        <v>183</v>
      </c>
      <c r="E155" s="403">
        <v>1913</v>
      </c>
      <c r="F155" s="403">
        <v>1412</v>
      </c>
      <c r="G155" s="403">
        <v>2331</v>
      </c>
      <c r="H155" s="400">
        <v>27164</v>
      </c>
      <c r="I155" s="400">
        <v>24833</v>
      </c>
      <c r="J155" s="403">
        <v>85</v>
      </c>
      <c r="K155" s="401">
        <v>119.78</v>
      </c>
      <c r="L155" s="401">
        <v>127.53</v>
      </c>
      <c r="M155" s="401">
        <v>15.13</v>
      </c>
      <c r="N155" s="401">
        <v>132.5</v>
      </c>
      <c r="O155" s="402">
        <v>18642</v>
      </c>
      <c r="P155" s="401">
        <v>112.15</v>
      </c>
      <c r="Q155" s="401">
        <v>107.66</v>
      </c>
      <c r="R155" s="401">
        <v>53.12</v>
      </c>
      <c r="S155" s="401">
        <v>161.66</v>
      </c>
      <c r="T155" s="402">
        <v>2825</v>
      </c>
      <c r="U155" s="401">
        <v>196.92</v>
      </c>
      <c r="V155" s="402">
        <v>1326</v>
      </c>
      <c r="W155" s="401">
        <v>270.22000000000003</v>
      </c>
      <c r="X155" s="402">
        <v>82</v>
      </c>
      <c r="Y155" s="403">
        <v>2</v>
      </c>
      <c r="Z155" s="403">
        <v>6</v>
      </c>
      <c r="AA155" s="403">
        <v>46</v>
      </c>
      <c r="AB155" s="403">
        <v>62</v>
      </c>
      <c r="AC155" s="403">
        <v>91</v>
      </c>
      <c r="AD155" s="403">
        <v>20181</v>
      </c>
      <c r="AE155" s="403">
        <v>150</v>
      </c>
      <c r="AF155" s="403">
        <v>87</v>
      </c>
      <c r="AG155" s="403">
        <v>237</v>
      </c>
    </row>
    <row r="156" spans="1:33" x14ac:dyDescent="0.3">
      <c r="A156" s="396" t="s">
        <v>372</v>
      </c>
      <c r="B156" s="396" t="s">
        <v>373</v>
      </c>
      <c r="C156" s="403">
        <v>1976</v>
      </c>
      <c r="D156" s="403">
        <v>0</v>
      </c>
      <c r="E156" s="403">
        <v>410</v>
      </c>
      <c r="F156" s="403">
        <v>524</v>
      </c>
      <c r="G156" s="403">
        <v>270</v>
      </c>
      <c r="H156" s="400">
        <v>3180</v>
      </c>
      <c r="I156" s="400">
        <v>2910</v>
      </c>
      <c r="J156" s="403">
        <v>1</v>
      </c>
      <c r="K156" s="401">
        <v>84.54</v>
      </c>
      <c r="L156" s="401">
        <v>81.209999999999994</v>
      </c>
      <c r="M156" s="401">
        <v>5.84</v>
      </c>
      <c r="N156" s="401">
        <v>89.63</v>
      </c>
      <c r="O156" s="402">
        <v>1269</v>
      </c>
      <c r="P156" s="401">
        <v>90.22</v>
      </c>
      <c r="Q156" s="401">
        <v>71.989999999999995</v>
      </c>
      <c r="R156" s="401">
        <v>66.010000000000005</v>
      </c>
      <c r="S156" s="401">
        <v>153.99</v>
      </c>
      <c r="T156" s="402">
        <v>768</v>
      </c>
      <c r="U156" s="401">
        <v>105.66</v>
      </c>
      <c r="V156" s="402">
        <v>635</v>
      </c>
      <c r="W156" s="401">
        <v>282.66000000000003</v>
      </c>
      <c r="X156" s="402">
        <v>32</v>
      </c>
      <c r="Y156" s="403">
        <v>0</v>
      </c>
      <c r="Z156" s="403">
        <v>1</v>
      </c>
      <c r="AA156" s="403">
        <v>2</v>
      </c>
      <c r="AB156" s="403">
        <v>3</v>
      </c>
      <c r="AC156" s="403">
        <v>4</v>
      </c>
      <c r="AD156" s="403">
        <v>1928</v>
      </c>
      <c r="AE156" s="403">
        <v>19</v>
      </c>
      <c r="AF156" s="403">
        <v>7</v>
      </c>
      <c r="AG156" s="403">
        <v>26</v>
      </c>
    </row>
    <row r="157" spans="1:33" x14ac:dyDescent="0.3">
      <c r="A157" s="396" t="s">
        <v>374</v>
      </c>
      <c r="B157" s="396" t="s">
        <v>375</v>
      </c>
      <c r="C157" s="403">
        <v>13324</v>
      </c>
      <c r="D157" s="403">
        <v>8</v>
      </c>
      <c r="E157" s="403">
        <v>1365</v>
      </c>
      <c r="F157" s="403">
        <v>2905</v>
      </c>
      <c r="G157" s="403">
        <v>1488</v>
      </c>
      <c r="H157" s="400">
        <v>19090</v>
      </c>
      <c r="I157" s="400">
        <v>17602</v>
      </c>
      <c r="J157" s="403">
        <v>19</v>
      </c>
      <c r="K157" s="401">
        <v>84.89</v>
      </c>
      <c r="L157" s="401">
        <v>83.16</v>
      </c>
      <c r="M157" s="401">
        <v>6.37</v>
      </c>
      <c r="N157" s="401">
        <v>88.9</v>
      </c>
      <c r="O157" s="402">
        <v>11031</v>
      </c>
      <c r="P157" s="401">
        <v>95.66</v>
      </c>
      <c r="Q157" s="401">
        <v>74.89</v>
      </c>
      <c r="R157" s="401">
        <v>50.36</v>
      </c>
      <c r="S157" s="401">
        <v>144.22</v>
      </c>
      <c r="T157" s="402">
        <v>3384</v>
      </c>
      <c r="U157" s="401">
        <v>108.45</v>
      </c>
      <c r="V157" s="402">
        <v>1437</v>
      </c>
      <c r="W157" s="401">
        <v>139.24</v>
      </c>
      <c r="X157" s="402">
        <v>52</v>
      </c>
      <c r="Y157" s="403">
        <v>32</v>
      </c>
      <c r="Z157" s="403">
        <v>5</v>
      </c>
      <c r="AA157" s="403">
        <v>28</v>
      </c>
      <c r="AB157" s="403">
        <v>144</v>
      </c>
      <c r="AC157" s="403">
        <v>37</v>
      </c>
      <c r="AD157" s="403">
        <v>12951</v>
      </c>
      <c r="AE157" s="403">
        <v>119</v>
      </c>
      <c r="AF157" s="403">
        <v>67</v>
      </c>
      <c r="AG157" s="403">
        <v>186</v>
      </c>
    </row>
    <row r="158" spans="1:33" x14ac:dyDescent="0.3">
      <c r="A158" s="396" t="s">
        <v>376</v>
      </c>
      <c r="B158" s="396" t="s">
        <v>377</v>
      </c>
      <c r="C158" s="403">
        <v>8970</v>
      </c>
      <c r="D158" s="403">
        <v>0</v>
      </c>
      <c r="E158" s="403">
        <v>996</v>
      </c>
      <c r="F158" s="403">
        <v>919</v>
      </c>
      <c r="G158" s="403">
        <v>573</v>
      </c>
      <c r="H158" s="400">
        <v>11458</v>
      </c>
      <c r="I158" s="400">
        <v>10885</v>
      </c>
      <c r="J158" s="403">
        <v>170</v>
      </c>
      <c r="K158" s="401">
        <v>84.64</v>
      </c>
      <c r="L158" s="401">
        <v>82.26</v>
      </c>
      <c r="M158" s="401">
        <v>8.7899999999999991</v>
      </c>
      <c r="N158" s="401">
        <v>90.62</v>
      </c>
      <c r="O158" s="402">
        <v>6991</v>
      </c>
      <c r="P158" s="401">
        <v>88.89</v>
      </c>
      <c r="Q158" s="401">
        <v>75.67</v>
      </c>
      <c r="R158" s="401">
        <v>69.13</v>
      </c>
      <c r="S158" s="401">
        <v>156.41</v>
      </c>
      <c r="T158" s="402">
        <v>1540</v>
      </c>
      <c r="U158" s="401">
        <v>112.1</v>
      </c>
      <c r="V158" s="402">
        <v>1093</v>
      </c>
      <c r="W158" s="401">
        <v>136.76</v>
      </c>
      <c r="X158" s="402">
        <v>86</v>
      </c>
      <c r="Y158" s="403">
        <v>15</v>
      </c>
      <c r="Z158" s="403">
        <v>10</v>
      </c>
      <c r="AA158" s="403">
        <v>3</v>
      </c>
      <c r="AB158" s="403">
        <v>28</v>
      </c>
      <c r="AC158" s="403">
        <v>18</v>
      </c>
      <c r="AD158" s="403">
        <v>8251</v>
      </c>
      <c r="AE158" s="403">
        <v>30</v>
      </c>
      <c r="AF158" s="403">
        <v>82</v>
      </c>
      <c r="AG158" s="403">
        <v>112</v>
      </c>
    </row>
    <row r="159" spans="1:33" x14ac:dyDescent="0.3">
      <c r="A159" s="396" t="s">
        <v>378</v>
      </c>
      <c r="B159" s="396" t="s">
        <v>379</v>
      </c>
      <c r="C159" s="403">
        <v>1091</v>
      </c>
      <c r="D159" s="403">
        <v>0</v>
      </c>
      <c r="E159" s="403">
        <v>174</v>
      </c>
      <c r="F159" s="403">
        <v>427</v>
      </c>
      <c r="G159" s="403">
        <v>330</v>
      </c>
      <c r="H159" s="400">
        <v>2022</v>
      </c>
      <c r="I159" s="400">
        <v>1692</v>
      </c>
      <c r="J159" s="403">
        <v>17</v>
      </c>
      <c r="K159" s="401">
        <v>95.03</v>
      </c>
      <c r="L159" s="401">
        <v>93.56</v>
      </c>
      <c r="M159" s="401">
        <v>6.44</v>
      </c>
      <c r="N159" s="401">
        <v>100.67</v>
      </c>
      <c r="O159" s="402">
        <v>864</v>
      </c>
      <c r="P159" s="401">
        <v>84.24</v>
      </c>
      <c r="Q159" s="401">
        <v>79.12</v>
      </c>
      <c r="R159" s="401">
        <v>55.97</v>
      </c>
      <c r="S159" s="401">
        <v>139.49</v>
      </c>
      <c r="T159" s="402">
        <v>312</v>
      </c>
      <c r="U159" s="401">
        <v>167.99</v>
      </c>
      <c r="V159" s="402">
        <v>203</v>
      </c>
      <c r="W159" s="401">
        <v>145.37</v>
      </c>
      <c r="X159" s="402">
        <v>9</v>
      </c>
      <c r="Y159" s="403">
        <v>22</v>
      </c>
      <c r="Z159" s="403">
        <v>1</v>
      </c>
      <c r="AA159" s="403">
        <v>0</v>
      </c>
      <c r="AB159" s="403">
        <v>30</v>
      </c>
      <c r="AC159" s="403">
        <v>6</v>
      </c>
      <c r="AD159" s="403">
        <v>1077</v>
      </c>
      <c r="AE159" s="403">
        <v>25</v>
      </c>
      <c r="AF159" s="403">
        <v>0</v>
      </c>
      <c r="AG159" s="403">
        <v>25</v>
      </c>
    </row>
    <row r="160" spans="1:33" x14ac:dyDescent="0.3">
      <c r="A160" s="396" t="s">
        <v>380</v>
      </c>
      <c r="B160" s="396" t="s">
        <v>381</v>
      </c>
      <c r="C160" s="403">
        <v>20896</v>
      </c>
      <c r="D160" s="403">
        <v>164</v>
      </c>
      <c r="E160" s="403">
        <v>1493</v>
      </c>
      <c r="F160" s="403">
        <v>685</v>
      </c>
      <c r="G160" s="403">
        <v>1963</v>
      </c>
      <c r="H160" s="400">
        <v>25201</v>
      </c>
      <c r="I160" s="400">
        <v>23238</v>
      </c>
      <c r="J160" s="403">
        <v>155</v>
      </c>
      <c r="K160" s="401">
        <v>110.96</v>
      </c>
      <c r="L160" s="401">
        <v>113.71</v>
      </c>
      <c r="M160" s="401">
        <v>10.78</v>
      </c>
      <c r="N160" s="401">
        <v>117.61</v>
      </c>
      <c r="O160" s="402">
        <v>18322</v>
      </c>
      <c r="P160" s="401">
        <v>108.19</v>
      </c>
      <c r="Q160" s="401">
        <v>104.14</v>
      </c>
      <c r="R160" s="401">
        <v>82.92</v>
      </c>
      <c r="S160" s="401">
        <v>187.23</v>
      </c>
      <c r="T160" s="402">
        <v>1706</v>
      </c>
      <c r="U160" s="401">
        <v>180.35</v>
      </c>
      <c r="V160" s="402">
        <v>1556</v>
      </c>
      <c r="W160" s="401">
        <v>280.63</v>
      </c>
      <c r="X160" s="402">
        <v>181</v>
      </c>
      <c r="Y160" s="403">
        <v>14</v>
      </c>
      <c r="Z160" s="403">
        <v>16</v>
      </c>
      <c r="AA160" s="403">
        <v>39</v>
      </c>
      <c r="AB160" s="403">
        <v>25</v>
      </c>
      <c r="AC160" s="403">
        <v>62</v>
      </c>
      <c r="AD160" s="403">
        <v>20022</v>
      </c>
      <c r="AE160" s="403">
        <v>192</v>
      </c>
      <c r="AF160" s="403">
        <v>100</v>
      </c>
      <c r="AG160" s="403">
        <v>292</v>
      </c>
    </row>
    <row r="161" spans="1:33" x14ac:dyDescent="0.3">
      <c r="A161" s="396" t="s">
        <v>382</v>
      </c>
      <c r="B161" s="396" t="s">
        <v>383</v>
      </c>
      <c r="C161" s="403">
        <v>5541</v>
      </c>
      <c r="D161" s="403">
        <v>15</v>
      </c>
      <c r="E161" s="403">
        <v>111</v>
      </c>
      <c r="F161" s="403">
        <v>268</v>
      </c>
      <c r="G161" s="403">
        <v>408</v>
      </c>
      <c r="H161" s="400">
        <v>6343</v>
      </c>
      <c r="I161" s="400">
        <v>5935</v>
      </c>
      <c r="J161" s="403">
        <v>1</v>
      </c>
      <c r="K161" s="401">
        <v>89.65</v>
      </c>
      <c r="L161" s="401">
        <v>86.03</v>
      </c>
      <c r="M161" s="401">
        <v>3.1</v>
      </c>
      <c r="N161" s="401">
        <v>91.93</v>
      </c>
      <c r="O161" s="402">
        <v>5017</v>
      </c>
      <c r="P161" s="401">
        <v>101.9</v>
      </c>
      <c r="Q161" s="401">
        <v>91.64</v>
      </c>
      <c r="R161" s="401">
        <v>35.909999999999997</v>
      </c>
      <c r="S161" s="401">
        <v>137.81</v>
      </c>
      <c r="T161" s="402">
        <v>378</v>
      </c>
      <c r="U161" s="401">
        <v>112.52</v>
      </c>
      <c r="V161" s="402">
        <v>516</v>
      </c>
      <c r="W161" s="401">
        <v>0</v>
      </c>
      <c r="X161" s="402">
        <v>0</v>
      </c>
      <c r="Y161" s="403">
        <v>0</v>
      </c>
      <c r="Z161" s="403">
        <v>8</v>
      </c>
      <c r="AA161" s="403">
        <v>7</v>
      </c>
      <c r="AB161" s="403">
        <v>57</v>
      </c>
      <c r="AC161" s="403">
        <v>8</v>
      </c>
      <c r="AD161" s="403">
        <v>5539</v>
      </c>
      <c r="AE161" s="403">
        <v>29</v>
      </c>
      <c r="AF161" s="403">
        <v>26</v>
      </c>
      <c r="AG161" s="403">
        <v>55</v>
      </c>
    </row>
    <row r="162" spans="1:33" x14ac:dyDescent="0.3">
      <c r="A162" s="396" t="s">
        <v>384</v>
      </c>
      <c r="B162" s="396" t="s">
        <v>385</v>
      </c>
      <c r="C162" s="403">
        <v>1332</v>
      </c>
      <c r="D162" s="403">
        <v>0</v>
      </c>
      <c r="E162" s="403">
        <v>462</v>
      </c>
      <c r="F162" s="403">
        <v>148</v>
      </c>
      <c r="G162" s="403">
        <v>303</v>
      </c>
      <c r="H162" s="400">
        <v>2245</v>
      </c>
      <c r="I162" s="400">
        <v>1942</v>
      </c>
      <c r="J162" s="403">
        <v>15</v>
      </c>
      <c r="K162" s="401">
        <v>81.459999999999994</v>
      </c>
      <c r="L162" s="401">
        <v>78.42</v>
      </c>
      <c r="M162" s="401">
        <v>9.36</v>
      </c>
      <c r="N162" s="401">
        <v>88.52</v>
      </c>
      <c r="O162" s="402">
        <v>1018</v>
      </c>
      <c r="P162" s="401">
        <v>91.55</v>
      </c>
      <c r="Q162" s="401">
        <v>80.44</v>
      </c>
      <c r="R162" s="401">
        <v>113.79</v>
      </c>
      <c r="S162" s="401">
        <v>205.34</v>
      </c>
      <c r="T162" s="402">
        <v>281</v>
      </c>
      <c r="U162" s="401">
        <v>101.94</v>
      </c>
      <c r="V162" s="402">
        <v>214</v>
      </c>
      <c r="W162" s="401">
        <v>299.22000000000003</v>
      </c>
      <c r="X162" s="402">
        <v>31</v>
      </c>
      <c r="Y162" s="403">
        <v>15</v>
      </c>
      <c r="Z162" s="403">
        <v>0</v>
      </c>
      <c r="AA162" s="403">
        <v>0</v>
      </c>
      <c r="AB162" s="403">
        <v>103</v>
      </c>
      <c r="AC162" s="403">
        <v>6</v>
      </c>
      <c r="AD162" s="403">
        <v>1299</v>
      </c>
      <c r="AE162" s="403">
        <v>15</v>
      </c>
      <c r="AF162" s="403">
        <v>9</v>
      </c>
      <c r="AG162" s="403">
        <v>24</v>
      </c>
    </row>
    <row r="163" spans="1:33" x14ac:dyDescent="0.3">
      <c r="A163" s="396" t="s">
        <v>386</v>
      </c>
      <c r="B163" s="396" t="s">
        <v>387</v>
      </c>
      <c r="C163" s="403">
        <v>52156</v>
      </c>
      <c r="D163" s="403">
        <v>13</v>
      </c>
      <c r="E163" s="403">
        <v>2435</v>
      </c>
      <c r="F163" s="403">
        <v>3782</v>
      </c>
      <c r="G163" s="403">
        <v>848</v>
      </c>
      <c r="H163" s="400">
        <v>59234</v>
      </c>
      <c r="I163" s="400">
        <v>58386</v>
      </c>
      <c r="J163" s="403">
        <v>35</v>
      </c>
      <c r="K163" s="401">
        <v>84.51</v>
      </c>
      <c r="L163" s="401">
        <v>83.26</v>
      </c>
      <c r="M163" s="401">
        <v>9.6300000000000008</v>
      </c>
      <c r="N163" s="401">
        <v>87.13</v>
      </c>
      <c r="O163" s="402">
        <v>43600</v>
      </c>
      <c r="P163" s="401">
        <v>87.26</v>
      </c>
      <c r="Q163" s="401">
        <v>76.47</v>
      </c>
      <c r="R163" s="401">
        <v>48.83</v>
      </c>
      <c r="S163" s="401">
        <v>134.78</v>
      </c>
      <c r="T163" s="402">
        <v>4941</v>
      </c>
      <c r="U163" s="401">
        <v>103.68</v>
      </c>
      <c r="V163" s="402">
        <v>5805</v>
      </c>
      <c r="W163" s="401">
        <v>145.62</v>
      </c>
      <c r="X163" s="402">
        <v>136</v>
      </c>
      <c r="Y163" s="403">
        <v>0</v>
      </c>
      <c r="Z163" s="403">
        <v>146</v>
      </c>
      <c r="AA163" s="403">
        <v>20</v>
      </c>
      <c r="AB163" s="403">
        <v>16</v>
      </c>
      <c r="AC163" s="403">
        <v>17</v>
      </c>
      <c r="AD163" s="403">
        <v>49588</v>
      </c>
      <c r="AE163" s="403">
        <v>242</v>
      </c>
      <c r="AF163" s="403">
        <v>330</v>
      </c>
      <c r="AG163" s="403">
        <v>572</v>
      </c>
    </row>
    <row r="164" spans="1:33" x14ac:dyDescent="0.3">
      <c r="A164" s="396" t="s">
        <v>388</v>
      </c>
      <c r="B164" s="396" t="s">
        <v>389</v>
      </c>
      <c r="C164" s="403">
        <v>3925</v>
      </c>
      <c r="D164" s="403">
        <v>171</v>
      </c>
      <c r="E164" s="403">
        <v>378</v>
      </c>
      <c r="F164" s="403">
        <v>392</v>
      </c>
      <c r="G164" s="403">
        <v>317</v>
      </c>
      <c r="H164" s="400">
        <v>5183</v>
      </c>
      <c r="I164" s="400">
        <v>4866</v>
      </c>
      <c r="J164" s="403">
        <v>2</v>
      </c>
      <c r="K164" s="401">
        <v>101.95</v>
      </c>
      <c r="L164" s="401">
        <v>101.25</v>
      </c>
      <c r="M164" s="401">
        <v>6.46</v>
      </c>
      <c r="N164" s="401">
        <v>106.78</v>
      </c>
      <c r="O164" s="402">
        <v>2794</v>
      </c>
      <c r="P164" s="401">
        <v>101.83</v>
      </c>
      <c r="Q164" s="401">
        <v>97.26</v>
      </c>
      <c r="R164" s="401">
        <v>48.83</v>
      </c>
      <c r="S164" s="401">
        <v>148.97</v>
      </c>
      <c r="T164" s="402">
        <v>433</v>
      </c>
      <c r="U164" s="401">
        <v>143.35</v>
      </c>
      <c r="V164" s="402">
        <v>624</v>
      </c>
      <c r="W164" s="401">
        <v>139.29</v>
      </c>
      <c r="X164" s="402">
        <v>13</v>
      </c>
      <c r="Y164" s="403">
        <v>16</v>
      </c>
      <c r="Z164" s="403">
        <v>4</v>
      </c>
      <c r="AA164" s="403">
        <v>2</v>
      </c>
      <c r="AB164" s="403">
        <v>61</v>
      </c>
      <c r="AC164" s="403">
        <v>3</v>
      </c>
      <c r="AD164" s="403">
        <v>3550</v>
      </c>
      <c r="AE164" s="403">
        <v>12</v>
      </c>
      <c r="AF164" s="403">
        <v>7</v>
      </c>
      <c r="AG164" s="403">
        <v>19</v>
      </c>
    </row>
    <row r="165" spans="1:33" x14ac:dyDescent="0.3">
      <c r="A165" s="396" t="s">
        <v>390</v>
      </c>
      <c r="B165" s="396" t="s">
        <v>391</v>
      </c>
      <c r="C165" s="403">
        <v>8150</v>
      </c>
      <c r="D165" s="403">
        <v>0</v>
      </c>
      <c r="E165" s="403">
        <v>299</v>
      </c>
      <c r="F165" s="403">
        <v>1149</v>
      </c>
      <c r="G165" s="403">
        <v>1157</v>
      </c>
      <c r="H165" s="400">
        <v>10755</v>
      </c>
      <c r="I165" s="400">
        <v>9598</v>
      </c>
      <c r="J165" s="403">
        <v>41</v>
      </c>
      <c r="K165" s="401">
        <v>97.5</v>
      </c>
      <c r="L165" s="401">
        <v>96.38</v>
      </c>
      <c r="M165" s="401">
        <v>7.33</v>
      </c>
      <c r="N165" s="401">
        <v>103.13</v>
      </c>
      <c r="O165" s="402">
        <v>6032</v>
      </c>
      <c r="P165" s="401">
        <v>89.59</v>
      </c>
      <c r="Q165" s="401">
        <v>86.61</v>
      </c>
      <c r="R165" s="401">
        <v>22.33</v>
      </c>
      <c r="S165" s="401">
        <v>111.19</v>
      </c>
      <c r="T165" s="402">
        <v>1257</v>
      </c>
      <c r="U165" s="401">
        <v>161.1</v>
      </c>
      <c r="V165" s="402">
        <v>1760</v>
      </c>
      <c r="W165" s="401">
        <v>199.75</v>
      </c>
      <c r="X165" s="402">
        <v>70</v>
      </c>
      <c r="Y165" s="403">
        <v>94</v>
      </c>
      <c r="Z165" s="403">
        <v>6</v>
      </c>
      <c r="AA165" s="403">
        <v>0</v>
      </c>
      <c r="AB165" s="403">
        <v>199</v>
      </c>
      <c r="AC165" s="403">
        <v>19</v>
      </c>
      <c r="AD165" s="403">
        <v>7702</v>
      </c>
      <c r="AE165" s="403">
        <v>81</v>
      </c>
      <c r="AF165" s="403">
        <v>8</v>
      </c>
      <c r="AG165" s="403">
        <v>89</v>
      </c>
    </row>
    <row r="166" spans="1:33" x14ac:dyDescent="0.3">
      <c r="A166" s="396" t="s">
        <v>392</v>
      </c>
      <c r="B166" s="396" t="s">
        <v>393</v>
      </c>
      <c r="C166" s="403">
        <v>2391</v>
      </c>
      <c r="D166" s="403">
        <v>0</v>
      </c>
      <c r="E166" s="403">
        <v>32</v>
      </c>
      <c r="F166" s="403">
        <v>811</v>
      </c>
      <c r="G166" s="403">
        <v>170</v>
      </c>
      <c r="H166" s="400">
        <v>3404</v>
      </c>
      <c r="I166" s="400">
        <v>3234</v>
      </c>
      <c r="J166" s="403">
        <v>0</v>
      </c>
      <c r="K166" s="401">
        <v>104.35</v>
      </c>
      <c r="L166" s="401">
        <v>103.6</v>
      </c>
      <c r="M166" s="401">
        <v>4.3899999999999997</v>
      </c>
      <c r="N166" s="401">
        <v>107.08</v>
      </c>
      <c r="O166" s="402">
        <v>1943</v>
      </c>
      <c r="P166" s="401">
        <v>88.04</v>
      </c>
      <c r="Q166" s="401">
        <v>87.41</v>
      </c>
      <c r="R166" s="401">
        <v>14.81</v>
      </c>
      <c r="S166" s="401">
        <v>102.43</v>
      </c>
      <c r="T166" s="402">
        <v>765</v>
      </c>
      <c r="U166" s="401">
        <v>143.49</v>
      </c>
      <c r="V166" s="402">
        <v>435</v>
      </c>
      <c r="W166" s="401">
        <v>114.76</v>
      </c>
      <c r="X166" s="402">
        <v>1</v>
      </c>
      <c r="Y166" s="403">
        <v>0</v>
      </c>
      <c r="Z166" s="403">
        <v>1</v>
      </c>
      <c r="AA166" s="403">
        <v>0</v>
      </c>
      <c r="AB166" s="403">
        <v>37</v>
      </c>
      <c r="AC166" s="403">
        <v>1</v>
      </c>
      <c r="AD166" s="403">
        <v>2378</v>
      </c>
      <c r="AE166" s="403">
        <v>30</v>
      </c>
      <c r="AF166" s="403">
        <v>15</v>
      </c>
      <c r="AG166" s="403">
        <v>45</v>
      </c>
    </row>
    <row r="167" spans="1:33" x14ac:dyDescent="0.3">
      <c r="A167" s="396" t="s">
        <v>394</v>
      </c>
      <c r="B167" s="396" t="s">
        <v>395</v>
      </c>
      <c r="C167" s="403">
        <v>4483</v>
      </c>
      <c r="D167" s="403">
        <v>0</v>
      </c>
      <c r="E167" s="403">
        <v>65</v>
      </c>
      <c r="F167" s="403">
        <v>594</v>
      </c>
      <c r="G167" s="403">
        <v>433</v>
      </c>
      <c r="H167" s="400">
        <v>5575</v>
      </c>
      <c r="I167" s="400">
        <v>5142</v>
      </c>
      <c r="J167" s="403">
        <v>1</v>
      </c>
      <c r="K167" s="401">
        <v>97.41</v>
      </c>
      <c r="L167" s="401">
        <v>97.14</v>
      </c>
      <c r="M167" s="401">
        <v>4.0199999999999996</v>
      </c>
      <c r="N167" s="401">
        <v>101.09</v>
      </c>
      <c r="O167" s="402">
        <v>4051</v>
      </c>
      <c r="P167" s="401">
        <v>91.2</v>
      </c>
      <c r="Q167" s="401">
        <v>92.34</v>
      </c>
      <c r="R167" s="401">
        <v>30.54</v>
      </c>
      <c r="S167" s="401">
        <v>121.48</v>
      </c>
      <c r="T167" s="402">
        <v>599</v>
      </c>
      <c r="U167" s="401">
        <v>115.71</v>
      </c>
      <c r="V167" s="402">
        <v>343</v>
      </c>
      <c r="W167" s="401">
        <v>191.87</v>
      </c>
      <c r="X167" s="402">
        <v>60</v>
      </c>
      <c r="Y167" s="403">
        <v>0</v>
      </c>
      <c r="Z167" s="403">
        <v>3</v>
      </c>
      <c r="AA167" s="403">
        <v>1</v>
      </c>
      <c r="AB167" s="403">
        <v>64</v>
      </c>
      <c r="AC167" s="403">
        <v>4</v>
      </c>
      <c r="AD167" s="403">
        <v>4464</v>
      </c>
      <c r="AE167" s="403">
        <v>30</v>
      </c>
      <c r="AF167" s="403">
        <v>8</v>
      </c>
      <c r="AG167" s="403">
        <v>38</v>
      </c>
    </row>
    <row r="168" spans="1:33" x14ac:dyDescent="0.3">
      <c r="A168" s="396" t="s">
        <v>396</v>
      </c>
      <c r="B168" s="396" t="s">
        <v>397</v>
      </c>
      <c r="C168" s="403">
        <v>46153</v>
      </c>
      <c r="D168" s="403">
        <v>157</v>
      </c>
      <c r="E168" s="403">
        <v>1768</v>
      </c>
      <c r="F168" s="403">
        <v>3165</v>
      </c>
      <c r="G168" s="403">
        <v>1506</v>
      </c>
      <c r="H168" s="400">
        <v>52749</v>
      </c>
      <c r="I168" s="400">
        <v>51243</v>
      </c>
      <c r="J168" s="403">
        <v>12</v>
      </c>
      <c r="K168" s="401">
        <v>82.14</v>
      </c>
      <c r="L168" s="401">
        <v>82.94</v>
      </c>
      <c r="M168" s="401">
        <v>5.33</v>
      </c>
      <c r="N168" s="401">
        <v>84.24</v>
      </c>
      <c r="O168" s="402">
        <v>42180</v>
      </c>
      <c r="P168" s="401">
        <v>80.38</v>
      </c>
      <c r="Q168" s="401">
        <v>75.2</v>
      </c>
      <c r="R168" s="401">
        <v>46.48</v>
      </c>
      <c r="S168" s="401">
        <v>124.67</v>
      </c>
      <c r="T168" s="402">
        <v>4516</v>
      </c>
      <c r="U168" s="401">
        <v>111.99</v>
      </c>
      <c r="V168" s="402">
        <v>3120</v>
      </c>
      <c r="W168" s="401">
        <v>132.69999999999999</v>
      </c>
      <c r="X168" s="402">
        <v>104</v>
      </c>
      <c r="Y168" s="403">
        <v>6</v>
      </c>
      <c r="Z168" s="403">
        <v>133</v>
      </c>
      <c r="AA168" s="403">
        <v>7</v>
      </c>
      <c r="AB168" s="403">
        <v>110</v>
      </c>
      <c r="AC168" s="403">
        <v>27</v>
      </c>
      <c r="AD168" s="403">
        <v>45628</v>
      </c>
      <c r="AE168" s="403">
        <v>369</v>
      </c>
      <c r="AF168" s="403">
        <v>172</v>
      </c>
      <c r="AG168" s="403">
        <v>541</v>
      </c>
    </row>
    <row r="169" spans="1:33" x14ac:dyDescent="0.3">
      <c r="A169" s="396" t="s">
        <v>398</v>
      </c>
      <c r="B169" s="396" t="s">
        <v>399</v>
      </c>
      <c r="C169" s="403">
        <v>1731</v>
      </c>
      <c r="D169" s="403">
        <v>0</v>
      </c>
      <c r="E169" s="403">
        <v>359</v>
      </c>
      <c r="F169" s="403">
        <v>232</v>
      </c>
      <c r="G169" s="403">
        <v>131</v>
      </c>
      <c r="H169" s="400">
        <v>2453</v>
      </c>
      <c r="I169" s="400">
        <v>2322</v>
      </c>
      <c r="J169" s="403">
        <v>10</v>
      </c>
      <c r="K169" s="401">
        <v>82.49</v>
      </c>
      <c r="L169" s="401">
        <v>80.14</v>
      </c>
      <c r="M169" s="401">
        <v>5.89</v>
      </c>
      <c r="N169" s="401">
        <v>85.43</v>
      </c>
      <c r="O169" s="402">
        <v>1626</v>
      </c>
      <c r="P169" s="401">
        <v>109.97</v>
      </c>
      <c r="Q169" s="401">
        <v>77.650000000000006</v>
      </c>
      <c r="R169" s="401">
        <v>91.26</v>
      </c>
      <c r="S169" s="401">
        <v>200.07</v>
      </c>
      <c r="T169" s="402">
        <v>394</v>
      </c>
      <c r="U169" s="401">
        <v>97.9</v>
      </c>
      <c r="V169" s="402">
        <v>100</v>
      </c>
      <c r="W169" s="401">
        <v>0</v>
      </c>
      <c r="X169" s="402">
        <v>0</v>
      </c>
      <c r="Y169" s="403">
        <v>0</v>
      </c>
      <c r="Z169" s="403">
        <v>1</v>
      </c>
      <c r="AA169" s="403">
        <v>11</v>
      </c>
      <c r="AB169" s="403">
        <v>8</v>
      </c>
      <c r="AC169" s="403">
        <v>4</v>
      </c>
      <c r="AD169" s="403">
        <v>1718</v>
      </c>
      <c r="AE169" s="403">
        <v>3</v>
      </c>
      <c r="AF169" s="403">
        <v>10</v>
      </c>
      <c r="AG169" s="403">
        <v>13</v>
      </c>
    </row>
    <row r="170" spans="1:33" x14ac:dyDescent="0.3">
      <c r="A170" s="396" t="s">
        <v>400</v>
      </c>
      <c r="B170" s="396" t="s">
        <v>401</v>
      </c>
      <c r="C170" s="403">
        <v>4000</v>
      </c>
      <c r="D170" s="403">
        <v>1</v>
      </c>
      <c r="E170" s="403">
        <v>375</v>
      </c>
      <c r="F170" s="403">
        <v>897</v>
      </c>
      <c r="G170" s="403">
        <v>1430</v>
      </c>
      <c r="H170" s="400">
        <v>6703</v>
      </c>
      <c r="I170" s="400">
        <v>5273</v>
      </c>
      <c r="J170" s="403">
        <v>192</v>
      </c>
      <c r="K170" s="401">
        <v>101.21</v>
      </c>
      <c r="L170" s="401">
        <v>97.98</v>
      </c>
      <c r="M170" s="401">
        <v>8.1</v>
      </c>
      <c r="N170" s="401">
        <v>107.8</v>
      </c>
      <c r="O170" s="402">
        <v>2841</v>
      </c>
      <c r="P170" s="401">
        <v>96.44</v>
      </c>
      <c r="Q170" s="401">
        <v>86.14</v>
      </c>
      <c r="R170" s="401">
        <v>41.77</v>
      </c>
      <c r="S170" s="401">
        <v>137.85</v>
      </c>
      <c r="T170" s="402">
        <v>1034</v>
      </c>
      <c r="U170" s="401">
        <v>133.47999999999999</v>
      </c>
      <c r="V170" s="402">
        <v>807</v>
      </c>
      <c r="W170" s="401">
        <v>175.66</v>
      </c>
      <c r="X170" s="402">
        <v>61</v>
      </c>
      <c r="Y170" s="403">
        <v>0</v>
      </c>
      <c r="Z170" s="403">
        <v>0</v>
      </c>
      <c r="AA170" s="403">
        <v>2</v>
      </c>
      <c r="AB170" s="403">
        <v>57</v>
      </c>
      <c r="AC170" s="403">
        <v>20</v>
      </c>
      <c r="AD170" s="403">
        <v>3612</v>
      </c>
      <c r="AE170" s="403">
        <v>37</v>
      </c>
      <c r="AF170" s="403">
        <v>18</v>
      </c>
      <c r="AG170" s="403">
        <v>55</v>
      </c>
    </row>
    <row r="171" spans="1:33" x14ac:dyDescent="0.3">
      <c r="A171" s="396" t="s">
        <v>402</v>
      </c>
      <c r="B171" s="396" t="s">
        <v>403</v>
      </c>
      <c r="C171" s="403">
        <v>625</v>
      </c>
      <c r="D171" s="403">
        <v>0</v>
      </c>
      <c r="E171" s="403">
        <v>39</v>
      </c>
      <c r="F171" s="403">
        <v>77</v>
      </c>
      <c r="G171" s="403">
        <v>228</v>
      </c>
      <c r="H171" s="400">
        <v>969</v>
      </c>
      <c r="I171" s="400">
        <v>741</v>
      </c>
      <c r="J171" s="403">
        <v>0</v>
      </c>
      <c r="K171" s="401">
        <v>93.26</v>
      </c>
      <c r="L171" s="401">
        <v>90.35</v>
      </c>
      <c r="M171" s="401">
        <v>2.74</v>
      </c>
      <c r="N171" s="401">
        <v>95.39</v>
      </c>
      <c r="O171" s="402">
        <v>399</v>
      </c>
      <c r="P171" s="401">
        <v>92.77</v>
      </c>
      <c r="Q171" s="401">
        <v>84.73</v>
      </c>
      <c r="R171" s="401">
        <v>75.73</v>
      </c>
      <c r="S171" s="401">
        <v>167.19</v>
      </c>
      <c r="T171" s="402">
        <v>116</v>
      </c>
      <c r="U171" s="401">
        <v>108.14</v>
      </c>
      <c r="V171" s="402">
        <v>205</v>
      </c>
      <c r="W171" s="401">
        <v>0</v>
      </c>
      <c r="X171" s="402">
        <v>0</v>
      </c>
      <c r="Y171" s="403">
        <v>0</v>
      </c>
      <c r="Z171" s="403">
        <v>0</v>
      </c>
      <c r="AA171" s="403">
        <v>10</v>
      </c>
      <c r="AB171" s="403">
        <v>24</v>
      </c>
      <c r="AC171" s="403">
        <v>2</v>
      </c>
      <c r="AD171" s="403">
        <v>624</v>
      </c>
      <c r="AE171" s="403">
        <v>1</v>
      </c>
      <c r="AF171" s="403">
        <v>0</v>
      </c>
      <c r="AG171" s="403">
        <v>1</v>
      </c>
    </row>
    <row r="172" spans="1:33" x14ac:dyDescent="0.3">
      <c r="A172" s="396" t="s">
        <v>404</v>
      </c>
      <c r="B172" s="396" t="s">
        <v>405</v>
      </c>
      <c r="C172" s="403">
        <v>5159</v>
      </c>
      <c r="D172" s="403">
        <v>0</v>
      </c>
      <c r="E172" s="403">
        <v>286</v>
      </c>
      <c r="F172" s="403">
        <v>1011</v>
      </c>
      <c r="G172" s="403">
        <v>571</v>
      </c>
      <c r="H172" s="400">
        <v>7027</v>
      </c>
      <c r="I172" s="400">
        <v>6456</v>
      </c>
      <c r="J172" s="403">
        <v>84</v>
      </c>
      <c r="K172" s="401">
        <v>94.28</v>
      </c>
      <c r="L172" s="401">
        <v>93.41</v>
      </c>
      <c r="M172" s="401">
        <v>4.24</v>
      </c>
      <c r="N172" s="401">
        <v>96.45</v>
      </c>
      <c r="O172" s="402">
        <v>4316</v>
      </c>
      <c r="P172" s="401">
        <v>87.44</v>
      </c>
      <c r="Q172" s="401">
        <v>84.43</v>
      </c>
      <c r="R172" s="401">
        <v>32.880000000000003</v>
      </c>
      <c r="S172" s="401">
        <v>120.14</v>
      </c>
      <c r="T172" s="402">
        <v>1092</v>
      </c>
      <c r="U172" s="401">
        <v>118.06</v>
      </c>
      <c r="V172" s="402">
        <v>746</v>
      </c>
      <c r="W172" s="401">
        <v>108.23</v>
      </c>
      <c r="X172" s="402">
        <v>49</v>
      </c>
      <c r="Y172" s="403">
        <v>0</v>
      </c>
      <c r="Z172" s="403">
        <v>12</v>
      </c>
      <c r="AA172" s="403">
        <v>28</v>
      </c>
      <c r="AB172" s="403">
        <v>45</v>
      </c>
      <c r="AC172" s="403">
        <v>7</v>
      </c>
      <c r="AD172" s="403">
        <v>5065</v>
      </c>
      <c r="AE172" s="403">
        <v>11</v>
      </c>
      <c r="AF172" s="403">
        <v>31</v>
      </c>
      <c r="AG172" s="403">
        <v>42</v>
      </c>
    </row>
    <row r="173" spans="1:33" x14ac:dyDescent="0.3">
      <c r="A173" s="396" t="s">
        <v>406</v>
      </c>
      <c r="B173" s="396" t="s">
        <v>407</v>
      </c>
      <c r="C173" s="403">
        <v>10288</v>
      </c>
      <c r="D173" s="403">
        <v>23</v>
      </c>
      <c r="E173" s="403">
        <v>406</v>
      </c>
      <c r="F173" s="403">
        <v>790</v>
      </c>
      <c r="G173" s="403">
        <v>879</v>
      </c>
      <c r="H173" s="400">
        <v>12386</v>
      </c>
      <c r="I173" s="400">
        <v>11507</v>
      </c>
      <c r="J173" s="403">
        <v>118</v>
      </c>
      <c r="K173" s="401">
        <v>117.14</v>
      </c>
      <c r="L173" s="401">
        <v>115.74</v>
      </c>
      <c r="M173" s="401">
        <v>9.66</v>
      </c>
      <c r="N173" s="401">
        <v>123.53</v>
      </c>
      <c r="O173" s="402">
        <v>9041</v>
      </c>
      <c r="P173" s="401">
        <v>108.72</v>
      </c>
      <c r="Q173" s="401">
        <v>103.23</v>
      </c>
      <c r="R173" s="401">
        <v>38.11</v>
      </c>
      <c r="S173" s="401">
        <v>145.6</v>
      </c>
      <c r="T173" s="402">
        <v>896</v>
      </c>
      <c r="U173" s="401">
        <v>161.96</v>
      </c>
      <c r="V173" s="402">
        <v>1070</v>
      </c>
      <c r="W173" s="401">
        <v>268.56</v>
      </c>
      <c r="X173" s="402">
        <v>37</v>
      </c>
      <c r="Y173" s="403">
        <v>0</v>
      </c>
      <c r="Z173" s="403">
        <v>15</v>
      </c>
      <c r="AA173" s="403">
        <v>6</v>
      </c>
      <c r="AB173" s="403">
        <v>91</v>
      </c>
      <c r="AC173" s="403">
        <v>29</v>
      </c>
      <c r="AD173" s="403">
        <v>10199</v>
      </c>
      <c r="AE173" s="403">
        <v>63</v>
      </c>
      <c r="AF173" s="403">
        <v>82</v>
      </c>
      <c r="AG173" s="403">
        <v>145</v>
      </c>
    </row>
    <row r="174" spans="1:33" x14ac:dyDescent="0.3">
      <c r="A174" s="396" t="s">
        <v>408</v>
      </c>
      <c r="B174" s="396" t="s">
        <v>409</v>
      </c>
      <c r="C174" s="403">
        <v>1205</v>
      </c>
      <c r="D174" s="403">
        <v>0</v>
      </c>
      <c r="E174" s="403">
        <v>34</v>
      </c>
      <c r="F174" s="403">
        <v>283</v>
      </c>
      <c r="G174" s="403">
        <v>283</v>
      </c>
      <c r="H174" s="400">
        <v>1805</v>
      </c>
      <c r="I174" s="400">
        <v>1522</v>
      </c>
      <c r="J174" s="403">
        <v>0</v>
      </c>
      <c r="K174" s="401">
        <v>88.54</v>
      </c>
      <c r="L174" s="401">
        <v>85.38</v>
      </c>
      <c r="M174" s="401">
        <v>5.05</v>
      </c>
      <c r="N174" s="401">
        <v>92.94</v>
      </c>
      <c r="O174" s="402">
        <v>801</v>
      </c>
      <c r="P174" s="401">
        <v>79.540000000000006</v>
      </c>
      <c r="Q174" s="401">
        <v>76.599999999999994</v>
      </c>
      <c r="R174" s="401">
        <v>17.3</v>
      </c>
      <c r="S174" s="401">
        <v>95.9</v>
      </c>
      <c r="T174" s="402">
        <v>147</v>
      </c>
      <c r="U174" s="401">
        <v>128.61000000000001</v>
      </c>
      <c r="V174" s="402">
        <v>289</v>
      </c>
      <c r="W174" s="401">
        <v>0</v>
      </c>
      <c r="X174" s="402">
        <v>0</v>
      </c>
      <c r="Y174" s="403">
        <v>0</v>
      </c>
      <c r="Z174" s="403">
        <v>0</v>
      </c>
      <c r="AA174" s="403">
        <v>1</v>
      </c>
      <c r="AB174" s="403">
        <v>15</v>
      </c>
      <c r="AC174" s="403">
        <v>3</v>
      </c>
      <c r="AD174" s="403">
        <v>1087</v>
      </c>
      <c r="AE174" s="403">
        <v>7</v>
      </c>
      <c r="AF174" s="403">
        <v>9</v>
      </c>
      <c r="AG174" s="403">
        <v>16</v>
      </c>
    </row>
    <row r="175" spans="1:33" x14ac:dyDescent="0.3">
      <c r="A175" s="396" t="s">
        <v>410</v>
      </c>
      <c r="B175" s="396" t="s">
        <v>411</v>
      </c>
      <c r="C175" s="403">
        <v>1572</v>
      </c>
      <c r="D175" s="403">
        <v>0</v>
      </c>
      <c r="E175" s="403">
        <v>107</v>
      </c>
      <c r="F175" s="403">
        <v>210</v>
      </c>
      <c r="G175" s="403">
        <v>447</v>
      </c>
      <c r="H175" s="400">
        <v>2336</v>
      </c>
      <c r="I175" s="400">
        <v>1889</v>
      </c>
      <c r="J175" s="403">
        <v>2</v>
      </c>
      <c r="K175" s="401">
        <v>94.51</v>
      </c>
      <c r="L175" s="401">
        <v>93.76</v>
      </c>
      <c r="M175" s="401">
        <v>3.89</v>
      </c>
      <c r="N175" s="401">
        <v>97.36</v>
      </c>
      <c r="O175" s="402">
        <v>906</v>
      </c>
      <c r="P175" s="401">
        <v>87.41</v>
      </c>
      <c r="Q175" s="401">
        <v>79.95</v>
      </c>
      <c r="R175" s="401">
        <v>35.130000000000003</v>
      </c>
      <c r="S175" s="401">
        <v>122.41</v>
      </c>
      <c r="T175" s="402">
        <v>291</v>
      </c>
      <c r="U175" s="401">
        <v>117.16</v>
      </c>
      <c r="V175" s="402">
        <v>601</v>
      </c>
      <c r="W175" s="401">
        <v>116.39</v>
      </c>
      <c r="X175" s="402">
        <v>1</v>
      </c>
      <c r="Y175" s="403">
        <v>0</v>
      </c>
      <c r="Z175" s="403">
        <v>0</v>
      </c>
      <c r="AA175" s="403">
        <v>0</v>
      </c>
      <c r="AB175" s="403">
        <v>46</v>
      </c>
      <c r="AC175" s="403">
        <v>6</v>
      </c>
      <c r="AD175" s="403">
        <v>1572</v>
      </c>
      <c r="AE175" s="403">
        <v>51</v>
      </c>
      <c r="AF175" s="403">
        <v>4</v>
      </c>
      <c r="AG175" s="403">
        <v>55</v>
      </c>
    </row>
    <row r="176" spans="1:33" x14ac:dyDescent="0.3">
      <c r="A176" s="396" t="s">
        <v>412</v>
      </c>
      <c r="B176" s="396" t="s">
        <v>413</v>
      </c>
      <c r="C176" s="403">
        <v>6202</v>
      </c>
      <c r="D176" s="403">
        <v>3</v>
      </c>
      <c r="E176" s="403">
        <v>165</v>
      </c>
      <c r="F176" s="403">
        <v>784</v>
      </c>
      <c r="G176" s="403">
        <v>768</v>
      </c>
      <c r="H176" s="400">
        <v>7922</v>
      </c>
      <c r="I176" s="400">
        <v>7154</v>
      </c>
      <c r="J176" s="403">
        <v>17</v>
      </c>
      <c r="K176" s="401">
        <v>118.32</v>
      </c>
      <c r="L176" s="401">
        <v>113.17</v>
      </c>
      <c r="M176" s="401">
        <v>5.47</v>
      </c>
      <c r="N176" s="401">
        <v>122.35</v>
      </c>
      <c r="O176" s="402">
        <v>4151</v>
      </c>
      <c r="P176" s="401">
        <v>103.11</v>
      </c>
      <c r="Q176" s="401">
        <v>95.32</v>
      </c>
      <c r="R176" s="401">
        <v>47.36</v>
      </c>
      <c r="S176" s="401">
        <v>149.31</v>
      </c>
      <c r="T176" s="402">
        <v>772</v>
      </c>
      <c r="U176" s="401">
        <v>170.65</v>
      </c>
      <c r="V176" s="402">
        <v>1653</v>
      </c>
      <c r="W176" s="401">
        <v>197.04</v>
      </c>
      <c r="X176" s="402">
        <v>17</v>
      </c>
      <c r="Y176" s="403">
        <v>24</v>
      </c>
      <c r="Z176" s="403">
        <v>1</v>
      </c>
      <c r="AA176" s="403">
        <v>41</v>
      </c>
      <c r="AB176" s="403">
        <v>63</v>
      </c>
      <c r="AC176" s="403">
        <v>13</v>
      </c>
      <c r="AD176" s="403">
        <v>5899</v>
      </c>
      <c r="AE176" s="403">
        <v>130</v>
      </c>
      <c r="AF176" s="403">
        <v>4</v>
      </c>
      <c r="AG176" s="403">
        <v>134</v>
      </c>
    </row>
    <row r="177" spans="1:33" x14ac:dyDescent="0.3">
      <c r="A177" s="396" t="s">
        <v>414</v>
      </c>
      <c r="B177" s="396" t="s">
        <v>415</v>
      </c>
      <c r="C177" s="403">
        <v>13068</v>
      </c>
      <c r="D177" s="403">
        <v>2</v>
      </c>
      <c r="E177" s="403">
        <v>576</v>
      </c>
      <c r="F177" s="403">
        <v>1415</v>
      </c>
      <c r="G177" s="403">
        <v>264</v>
      </c>
      <c r="H177" s="400">
        <v>15325</v>
      </c>
      <c r="I177" s="400">
        <v>15061</v>
      </c>
      <c r="J177" s="403">
        <v>3</v>
      </c>
      <c r="K177" s="401">
        <v>86.69</v>
      </c>
      <c r="L177" s="401">
        <v>83.17</v>
      </c>
      <c r="M177" s="401">
        <v>8.15</v>
      </c>
      <c r="N177" s="401">
        <v>89.27</v>
      </c>
      <c r="O177" s="402">
        <v>12244</v>
      </c>
      <c r="P177" s="401">
        <v>88.94</v>
      </c>
      <c r="Q177" s="401">
        <v>78.67</v>
      </c>
      <c r="R177" s="401">
        <v>62.23</v>
      </c>
      <c r="S177" s="401">
        <v>137.59</v>
      </c>
      <c r="T177" s="402">
        <v>1843</v>
      </c>
      <c r="U177" s="401">
        <v>97.96</v>
      </c>
      <c r="V177" s="402">
        <v>705</v>
      </c>
      <c r="W177" s="401">
        <v>160.16</v>
      </c>
      <c r="X177" s="402">
        <v>102</v>
      </c>
      <c r="Y177" s="403">
        <v>18</v>
      </c>
      <c r="Z177" s="403">
        <v>45</v>
      </c>
      <c r="AA177" s="403">
        <v>6</v>
      </c>
      <c r="AB177" s="403">
        <v>5</v>
      </c>
      <c r="AC177" s="403">
        <v>8</v>
      </c>
      <c r="AD177" s="403">
        <v>13038</v>
      </c>
      <c r="AE177" s="403">
        <v>96</v>
      </c>
      <c r="AF177" s="403">
        <v>242</v>
      </c>
      <c r="AG177" s="403">
        <v>338</v>
      </c>
    </row>
    <row r="178" spans="1:33" x14ac:dyDescent="0.3">
      <c r="A178" s="396" t="s">
        <v>416</v>
      </c>
      <c r="B178" s="396" t="s">
        <v>417</v>
      </c>
      <c r="C178" s="403">
        <v>8558</v>
      </c>
      <c r="D178" s="403">
        <v>81</v>
      </c>
      <c r="E178" s="403">
        <v>601</v>
      </c>
      <c r="F178" s="403">
        <v>585</v>
      </c>
      <c r="G178" s="403">
        <v>5758</v>
      </c>
      <c r="H178" s="400">
        <v>15583</v>
      </c>
      <c r="I178" s="400">
        <v>9825</v>
      </c>
      <c r="J178" s="403">
        <v>10</v>
      </c>
      <c r="K178" s="401">
        <v>100.2</v>
      </c>
      <c r="L178" s="401">
        <v>97.58</v>
      </c>
      <c r="M178" s="401">
        <v>7.01</v>
      </c>
      <c r="N178" s="401">
        <v>104.8</v>
      </c>
      <c r="O178" s="402">
        <v>6468</v>
      </c>
      <c r="P178" s="401">
        <v>108.01</v>
      </c>
      <c r="Q178" s="401">
        <v>95.95</v>
      </c>
      <c r="R178" s="401">
        <v>41.05</v>
      </c>
      <c r="S178" s="401">
        <v>147.80000000000001</v>
      </c>
      <c r="T178" s="402">
        <v>876</v>
      </c>
      <c r="U178" s="401">
        <v>144.66999999999999</v>
      </c>
      <c r="V178" s="402">
        <v>1389</v>
      </c>
      <c r="W178" s="401">
        <v>136.77000000000001</v>
      </c>
      <c r="X178" s="402">
        <v>110</v>
      </c>
      <c r="Y178" s="403">
        <v>222</v>
      </c>
      <c r="Z178" s="403">
        <v>1</v>
      </c>
      <c r="AA178" s="403">
        <v>1</v>
      </c>
      <c r="AB178" s="403">
        <v>123</v>
      </c>
      <c r="AC178" s="403">
        <v>45</v>
      </c>
      <c r="AD178" s="403">
        <v>8342</v>
      </c>
      <c r="AE178" s="403">
        <v>48</v>
      </c>
      <c r="AF178" s="403">
        <v>30</v>
      </c>
      <c r="AG178" s="403">
        <v>78</v>
      </c>
    </row>
    <row r="179" spans="1:33" x14ac:dyDescent="0.3">
      <c r="A179" s="396" t="s">
        <v>418</v>
      </c>
      <c r="B179" s="396" t="s">
        <v>419</v>
      </c>
      <c r="C179" s="403">
        <v>3539</v>
      </c>
      <c r="D179" s="403">
        <v>11</v>
      </c>
      <c r="E179" s="403">
        <v>238</v>
      </c>
      <c r="F179" s="403">
        <v>629</v>
      </c>
      <c r="G179" s="403">
        <v>315</v>
      </c>
      <c r="H179" s="400">
        <v>4732</v>
      </c>
      <c r="I179" s="400">
        <v>4417</v>
      </c>
      <c r="J179" s="403">
        <v>2</v>
      </c>
      <c r="K179" s="401">
        <v>113.73</v>
      </c>
      <c r="L179" s="401">
        <v>115.57</v>
      </c>
      <c r="M179" s="401">
        <v>5.29</v>
      </c>
      <c r="N179" s="401">
        <v>117.54</v>
      </c>
      <c r="O179" s="402">
        <v>3019</v>
      </c>
      <c r="P179" s="401">
        <v>101.74</v>
      </c>
      <c r="Q179" s="401">
        <v>96.39</v>
      </c>
      <c r="R179" s="401">
        <v>43.9</v>
      </c>
      <c r="S179" s="401">
        <v>145.38999999999999</v>
      </c>
      <c r="T179" s="402">
        <v>693</v>
      </c>
      <c r="U179" s="401">
        <v>164.82</v>
      </c>
      <c r="V179" s="402">
        <v>491</v>
      </c>
      <c r="W179" s="401">
        <v>0</v>
      </c>
      <c r="X179" s="402">
        <v>0</v>
      </c>
      <c r="Y179" s="403">
        <v>0</v>
      </c>
      <c r="Z179" s="403">
        <v>10</v>
      </c>
      <c r="AA179" s="403">
        <v>0</v>
      </c>
      <c r="AB179" s="403">
        <v>17</v>
      </c>
      <c r="AC179" s="403">
        <v>7</v>
      </c>
      <c r="AD179" s="403">
        <v>3535</v>
      </c>
      <c r="AE179" s="403">
        <v>41</v>
      </c>
      <c r="AF179" s="403">
        <v>46</v>
      </c>
      <c r="AG179" s="403">
        <v>87</v>
      </c>
    </row>
    <row r="180" spans="1:33" x14ac:dyDescent="0.3">
      <c r="A180" s="396" t="s">
        <v>420</v>
      </c>
      <c r="B180" s="396" t="s">
        <v>421</v>
      </c>
      <c r="C180" s="403">
        <v>2873</v>
      </c>
      <c r="D180" s="403">
        <v>8</v>
      </c>
      <c r="E180" s="403">
        <v>289</v>
      </c>
      <c r="F180" s="403">
        <v>309</v>
      </c>
      <c r="G180" s="403">
        <v>420</v>
      </c>
      <c r="H180" s="400">
        <v>3899</v>
      </c>
      <c r="I180" s="400">
        <v>3479</v>
      </c>
      <c r="J180" s="403">
        <v>0</v>
      </c>
      <c r="K180" s="401">
        <v>113.74</v>
      </c>
      <c r="L180" s="401">
        <v>111.18</v>
      </c>
      <c r="M180" s="401">
        <v>4.5</v>
      </c>
      <c r="N180" s="401">
        <v>117</v>
      </c>
      <c r="O180" s="402">
        <v>2392</v>
      </c>
      <c r="P180" s="401">
        <v>104.06</v>
      </c>
      <c r="Q180" s="401">
        <v>92.61</v>
      </c>
      <c r="R180" s="401">
        <v>35.479999999999997</v>
      </c>
      <c r="S180" s="401">
        <v>136.9</v>
      </c>
      <c r="T180" s="402">
        <v>470</v>
      </c>
      <c r="U180" s="401">
        <v>147.83000000000001</v>
      </c>
      <c r="V180" s="402">
        <v>316</v>
      </c>
      <c r="W180" s="401">
        <v>142.52000000000001</v>
      </c>
      <c r="X180" s="402">
        <v>4</v>
      </c>
      <c r="Y180" s="403">
        <v>0</v>
      </c>
      <c r="Z180" s="403">
        <v>0</v>
      </c>
      <c r="AA180" s="403">
        <v>1</v>
      </c>
      <c r="AB180" s="403">
        <v>24</v>
      </c>
      <c r="AC180" s="403">
        <v>7</v>
      </c>
      <c r="AD180" s="403">
        <v>2781</v>
      </c>
      <c r="AE180" s="403">
        <v>11</v>
      </c>
      <c r="AF180" s="403">
        <v>7</v>
      </c>
      <c r="AG180" s="403">
        <v>18</v>
      </c>
    </row>
    <row r="181" spans="1:33" x14ac:dyDescent="0.3">
      <c r="A181" s="396" t="s">
        <v>422</v>
      </c>
      <c r="B181" s="396" t="s">
        <v>423</v>
      </c>
      <c r="C181" s="403">
        <v>2026</v>
      </c>
      <c r="D181" s="403">
        <v>0</v>
      </c>
      <c r="E181" s="403">
        <v>322</v>
      </c>
      <c r="F181" s="403">
        <v>263</v>
      </c>
      <c r="G181" s="403">
        <v>401</v>
      </c>
      <c r="H181" s="400">
        <v>3012</v>
      </c>
      <c r="I181" s="400">
        <v>2611</v>
      </c>
      <c r="J181" s="403">
        <v>0</v>
      </c>
      <c r="K181" s="401">
        <v>87.97</v>
      </c>
      <c r="L181" s="401">
        <v>84.83</v>
      </c>
      <c r="M181" s="401">
        <v>4.67</v>
      </c>
      <c r="N181" s="401">
        <v>90.61</v>
      </c>
      <c r="O181" s="402">
        <v>1566</v>
      </c>
      <c r="P181" s="401">
        <v>108.24</v>
      </c>
      <c r="Q181" s="401">
        <v>78.010000000000005</v>
      </c>
      <c r="R181" s="401">
        <v>71.39</v>
      </c>
      <c r="S181" s="401">
        <v>179.63</v>
      </c>
      <c r="T181" s="402">
        <v>435</v>
      </c>
      <c r="U181" s="401">
        <v>98.81</v>
      </c>
      <c r="V181" s="402">
        <v>373</v>
      </c>
      <c r="W181" s="401">
        <v>161.53</v>
      </c>
      <c r="X181" s="402">
        <v>5</v>
      </c>
      <c r="Y181" s="403">
        <v>9</v>
      </c>
      <c r="Z181" s="403">
        <v>1</v>
      </c>
      <c r="AA181" s="403">
        <v>7</v>
      </c>
      <c r="AB181" s="403">
        <v>53</v>
      </c>
      <c r="AC181" s="403">
        <v>5</v>
      </c>
      <c r="AD181" s="403">
        <v>2026</v>
      </c>
      <c r="AE181" s="403">
        <v>5</v>
      </c>
      <c r="AF181" s="403">
        <v>53</v>
      </c>
      <c r="AG181" s="403">
        <v>58</v>
      </c>
    </row>
    <row r="182" spans="1:33" x14ac:dyDescent="0.3">
      <c r="A182" s="396" t="s">
        <v>424</v>
      </c>
      <c r="B182" s="396" t="s">
        <v>425</v>
      </c>
      <c r="C182" s="403">
        <v>7237</v>
      </c>
      <c r="D182" s="403">
        <v>137</v>
      </c>
      <c r="E182" s="403">
        <v>1462</v>
      </c>
      <c r="F182" s="403">
        <v>1615</v>
      </c>
      <c r="G182" s="403">
        <v>354</v>
      </c>
      <c r="H182" s="400">
        <v>10805</v>
      </c>
      <c r="I182" s="400">
        <v>10451</v>
      </c>
      <c r="J182" s="403">
        <v>9</v>
      </c>
      <c r="K182" s="401">
        <v>78.75</v>
      </c>
      <c r="L182" s="401">
        <v>77.069999999999993</v>
      </c>
      <c r="M182" s="401">
        <v>9.8699999999999992</v>
      </c>
      <c r="N182" s="401">
        <v>87.02</v>
      </c>
      <c r="O182" s="402">
        <v>5634</v>
      </c>
      <c r="P182" s="401">
        <v>86.48</v>
      </c>
      <c r="Q182" s="401">
        <v>73.099999999999994</v>
      </c>
      <c r="R182" s="401">
        <v>67.180000000000007</v>
      </c>
      <c r="S182" s="401">
        <v>152.35</v>
      </c>
      <c r="T182" s="402">
        <v>2310</v>
      </c>
      <c r="U182" s="401">
        <v>102.39</v>
      </c>
      <c r="V182" s="402">
        <v>1202</v>
      </c>
      <c r="W182" s="401">
        <v>192.86</v>
      </c>
      <c r="X182" s="402">
        <v>365</v>
      </c>
      <c r="Y182" s="403">
        <v>0</v>
      </c>
      <c r="Z182" s="403">
        <v>5</v>
      </c>
      <c r="AA182" s="403">
        <v>2</v>
      </c>
      <c r="AB182" s="403">
        <v>35</v>
      </c>
      <c r="AC182" s="403">
        <v>10</v>
      </c>
      <c r="AD182" s="403">
        <v>6665</v>
      </c>
      <c r="AE182" s="403">
        <v>86</v>
      </c>
      <c r="AF182" s="403">
        <v>31</v>
      </c>
      <c r="AG182" s="403">
        <v>117</v>
      </c>
    </row>
    <row r="183" spans="1:33" x14ac:dyDescent="0.3">
      <c r="A183" s="396" t="s">
        <v>426</v>
      </c>
      <c r="B183" s="396" t="s">
        <v>427</v>
      </c>
      <c r="C183" s="403">
        <v>8716</v>
      </c>
      <c r="D183" s="403">
        <v>4</v>
      </c>
      <c r="E183" s="403">
        <v>122</v>
      </c>
      <c r="F183" s="403">
        <v>822</v>
      </c>
      <c r="G183" s="403">
        <v>267</v>
      </c>
      <c r="H183" s="400">
        <v>9931</v>
      </c>
      <c r="I183" s="400">
        <v>9664</v>
      </c>
      <c r="J183" s="403">
        <v>4</v>
      </c>
      <c r="K183" s="401">
        <v>78.41</v>
      </c>
      <c r="L183" s="401">
        <v>79.63</v>
      </c>
      <c r="M183" s="401">
        <v>4.34</v>
      </c>
      <c r="N183" s="401">
        <v>82.54</v>
      </c>
      <c r="O183" s="402">
        <v>8117</v>
      </c>
      <c r="P183" s="401">
        <v>78.78</v>
      </c>
      <c r="Q183" s="401">
        <v>74.23</v>
      </c>
      <c r="R183" s="401">
        <v>26.38</v>
      </c>
      <c r="S183" s="401">
        <v>105.15</v>
      </c>
      <c r="T183" s="402">
        <v>752</v>
      </c>
      <c r="U183" s="401">
        <v>97.58</v>
      </c>
      <c r="V183" s="402">
        <v>547</v>
      </c>
      <c r="W183" s="401">
        <v>231.02</v>
      </c>
      <c r="X183" s="402">
        <v>99</v>
      </c>
      <c r="Y183" s="403">
        <v>0</v>
      </c>
      <c r="Z183" s="403">
        <v>24</v>
      </c>
      <c r="AA183" s="403">
        <v>43</v>
      </c>
      <c r="AB183" s="403">
        <v>16</v>
      </c>
      <c r="AC183" s="403">
        <v>6</v>
      </c>
      <c r="AD183" s="403">
        <v>8716</v>
      </c>
      <c r="AE183" s="403">
        <v>64</v>
      </c>
      <c r="AF183" s="403">
        <v>100</v>
      </c>
      <c r="AG183" s="403">
        <v>164</v>
      </c>
    </row>
    <row r="184" spans="1:33" x14ac:dyDescent="0.3">
      <c r="A184" s="396" t="s">
        <v>428</v>
      </c>
      <c r="B184" s="396" t="s">
        <v>429</v>
      </c>
      <c r="C184" s="403">
        <v>12595</v>
      </c>
      <c r="D184" s="403">
        <v>25</v>
      </c>
      <c r="E184" s="403">
        <v>824</v>
      </c>
      <c r="F184" s="403">
        <v>917</v>
      </c>
      <c r="G184" s="403">
        <v>2530</v>
      </c>
      <c r="H184" s="400">
        <v>16891</v>
      </c>
      <c r="I184" s="400">
        <v>14361</v>
      </c>
      <c r="J184" s="403">
        <v>157</v>
      </c>
      <c r="K184" s="401">
        <v>121.12</v>
      </c>
      <c r="L184" s="401">
        <v>118.86</v>
      </c>
      <c r="M184" s="401">
        <v>11.28</v>
      </c>
      <c r="N184" s="401">
        <v>128.16</v>
      </c>
      <c r="O184" s="402">
        <v>9307</v>
      </c>
      <c r="P184" s="401">
        <v>104.13</v>
      </c>
      <c r="Q184" s="401">
        <v>97.16</v>
      </c>
      <c r="R184" s="401">
        <v>68.599999999999994</v>
      </c>
      <c r="S184" s="401">
        <v>170.6</v>
      </c>
      <c r="T184" s="402">
        <v>1548</v>
      </c>
      <c r="U184" s="401">
        <v>207.6</v>
      </c>
      <c r="V184" s="402">
        <v>1366</v>
      </c>
      <c r="W184" s="401">
        <v>191.52</v>
      </c>
      <c r="X184" s="402">
        <v>17</v>
      </c>
      <c r="Y184" s="403">
        <v>11</v>
      </c>
      <c r="Z184" s="403">
        <v>0</v>
      </c>
      <c r="AA184" s="403">
        <v>15</v>
      </c>
      <c r="AB184" s="403">
        <v>120</v>
      </c>
      <c r="AC184" s="403">
        <v>82</v>
      </c>
      <c r="AD184" s="403">
        <v>11824</v>
      </c>
      <c r="AE184" s="403">
        <v>186</v>
      </c>
      <c r="AF184" s="403">
        <v>91</v>
      </c>
      <c r="AG184" s="403">
        <v>277</v>
      </c>
    </row>
    <row r="185" spans="1:33" x14ac:dyDescent="0.3">
      <c r="A185" s="396" t="s">
        <v>430</v>
      </c>
      <c r="B185" s="396" t="s">
        <v>431</v>
      </c>
      <c r="C185" s="403">
        <v>4011</v>
      </c>
      <c r="D185" s="403">
        <v>0</v>
      </c>
      <c r="E185" s="403">
        <v>81</v>
      </c>
      <c r="F185" s="403">
        <v>795</v>
      </c>
      <c r="G185" s="403">
        <v>406</v>
      </c>
      <c r="H185" s="400">
        <v>5293</v>
      </c>
      <c r="I185" s="400">
        <v>4887</v>
      </c>
      <c r="J185" s="403">
        <v>18</v>
      </c>
      <c r="K185" s="401">
        <v>85.92</v>
      </c>
      <c r="L185" s="401">
        <v>85.27</v>
      </c>
      <c r="M185" s="401">
        <v>4</v>
      </c>
      <c r="N185" s="401">
        <v>88.53</v>
      </c>
      <c r="O185" s="402">
        <v>3465</v>
      </c>
      <c r="P185" s="401">
        <v>77.040000000000006</v>
      </c>
      <c r="Q185" s="401">
        <v>75.36</v>
      </c>
      <c r="R185" s="401">
        <v>20.32</v>
      </c>
      <c r="S185" s="401">
        <v>97.28</v>
      </c>
      <c r="T185" s="402">
        <v>759</v>
      </c>
      <c r="U185" s="401">
        <v>116.47</v>
      </c>
      <c r="V185" s="402">
        <v>488</v>
      </c>
      <c r="W185" s="401">
        <v>133.37</v>
      </c>
      <c r="X185" s="402">
        <v>31</v>
      </c>
      <c r="Y185" s="403">
        <v>0</v>
      </c>
      <c r="Z185" s="403">
        <v>4</v>
      </c>
      <c r="AA185" s="403">
        <v>3</v>
      </c>
      <c r="AB185" s="403">
        <v>20</v>
      </c>
      <c r="AC185" s="403">
        <v>3</v>
      </c>
      <c r="AD185" s="403">
        <v>3985</v>
      </c>
      <c r="AE185" s="403">
        <v>10</v>
      </c>
      <c r="AF185" s="403">
        <v>24</v>
      </c>
      <c r="AG185" s="403">
        <v>34</v>
      </c>
    </row>
    <row r="186" spans="1:33" x14ac:dyDescent="0.3">
      <c r="A186" s="396" t="s">
        <v>432</v>
      </c>
      <c r="B186" s="396" t="s">
        <v>433</v>
      </c>
      <c r="C186" s="403">
        <v>895</v>
      </c>
      <c r="D186" s="403">
        <v>1</v>
      </c>
      <c r="E186" s="403">
        <v>92</v>
      </c>
      <c r="F186" s="403">
        <v>114</v>
      </c>
      <c r="G186" s="403">
        <v>201</v>
      </c>
      <c r="H186" s="400">
        <v>1303</v>
      </c>
      <c r="I186" s="400">
        <v>1102</v>
      </c>
      <c r="J186" s="403">
        <v>14</v>
      </c>
      <c r="K186" s="401">
        <v>91.03</v>
      </c>
      <c r="L186" s="401">
        <v>89.73</v>
      </c>
      <c r="M186" s="401">
        <v>3.7</v>
      </c>
      <c r="N186" s="401">
        <v>92.72</v>
      </c>
      <c r="O186" s="402">
        <v>531</v>
      </c>
      <c r="P186" s="401">
        <v>105.14</v>
      </c>
      <c r="Q186" s="401">
        <v>90.53</v>
      </c>
      <c r="R186" s="401">
        <v>43.83</v>
      </c>
      <c r="S186" s="401">
        <v>145.11000000000001</v>
      </c>
      <c r="T186" s="402">
        <v>204</v>
      </c>
      <c r="U186" s="401">
        <v>101.51</v>
      </c>
      <c r="V186" s="402">
        <v>340</v>
      </c>
      <c r="W186" s="401">
        <v>0</v>
      </c>
      <c r="X186" s="402">
        <v>0</v>
      </c>
      <c r="Y186" s="403">
        <v>6</v>
      </c>
      <c r="Z186" s="403">
        <v>0</v>
      </c>
      <c r="AA186" s="403">
        <v>0</v>
      </c>
      <c r="AB186" s="403">
        <v>43</v>
      </c>
      <c r="AC186" s="403">
        <v>5</v>
      </c>
      <c r="AD186" s="403">
        <v>709</v>
      </c>
      <c r="AE186" s="403">
        <v>1</v>
      </c>
      <c r="AF186" s="403">
        <v>2</v>
      </c>
      <c r="AG186" s="403">
        <v>3</v>
      </c>
    </row>
    <row r="187" spans="1:33" x14ac:dyDescent="0.3">
      <c r="A187" s="396" t="s">
        <v>434</v>
      </c>
      <c r="B187" s="396" t="s">
        <v>435</v>
      </c>
      <c r="C187" s="403">
        <v>7922</v>
      </c>
      <c r="D187" s="403">
        <v>0</v>
      </c>
      <c r="E187" s="403">
        <v>464</v>
      </c>
      <c r="F187" s="403">
        <v>1096</v>
      </c>
      <c r="G187" s="403">
        <v>256</v>
      </c>
      <c r="H187" s="400">
        <v>9738</v>
      </c>
      <c r="I187" s="400">
        <v>9482</v>
      </c>
      <c r="J187" s="403">
        <v>1</v>
      </c>
      <c r="K187" s="401">
        <v>79.290000000000006</v>
      </c>
      <c r="L187" s="401">
        <v>78.459999999999994</v>
      </c>
      <c r="M187" s="401">
        <v>2.67</v>
      </c>
      <c r="N187" s="401">
        <v>81.290000000000006</v>
      </c>
      <c r="O187" s="402">
        <v>7838</v>
      </c>
      <c r="P187" s="401">
        <v>97.18</v>
      </c>
      <c r="Q187" s="401">
        <v>70.209999999999994</v>
      </c>
      <c r="R187" s="401">
        <v>34.4</v>
      </c>
      <c r="S187" s="401">
        <v>127.85</v>
      </c>
      <c r="T187" s="402">
        <v>1372</v>
      </c>
      <c r="U187" s="401">
        <v>93.44</v>
      </c>
      <c r="V187" s="402">
        <v>54</v>
      </c>
      <c r="W187" s="401">
        <v>278.83999999999997</v>
      </c>
      <c r="X187" s="402">
        <v>59</v>
      </c>
      <c r="Y187" s="403">
        <v>0</v>
      </c>
      <c r="Z187" s="403">
        <v>18</v>
      </c>
      <c r="AA187" s="403">
        <v>32</v>
      </c>
      <c r="AB187" s="403">
        <v>21</v>
      </c>
      <c r="AC187" s="403">
        <v>4</v>
      </c>
      <c r="AD187" s="403">
        <v>7920</v>
      </c>
      <c r="AE187" s="403">
        <v>37</v>
      </c>
      <c r="AF187" s="403">
        <v>44</v>
      </c>
      <c r="AG187" s="403">
        <v>81</v>
      </c>
    </row>
    <row r="188" spans="1:33" x14ac:dyDescent="0.3">
      <c r="A188" s="396" t="s">
        <v>436</v>
      </c>
      <c r="B188" s="396" t="s">
        <v>437</v>
      </c>
      <c r="C188" s="403">
        <v>9445</v>
      </c>
      <c r="D188" s="403">
        <v>3</v>
      </c>
      <c r="E188" s="403">
        <v>258</v>
      </c>
      <c r="F188" s="403">
        <v>1010</v>
      </c>
      <c r="G188" s="403">
        <v>605</v>
      </c>
      <c r="H188" s="400">
        <v>11321</v>
      </c>
      <c r="I188" s="400">
        <v>10716</v>
      </c>
      <c r="J188" s="403">
        <v>222</v>
      </c>
      <c r="K188" s="401">
        <v>110.29</v>
      </c>
      <c r="L188" s="401">
        <v>116.62</v>
      </c>
      <c r="M188" s="401">
        <v>5.19</v>
      </c>
      <c r="N188" s="401">
        <v>111.94</v>
      </c>
      <c r="O188" s="402">
        <v>9081</v>
      </c>
      <c r="P188" s="401">
        <v>99.42</v>
      </c>
      <c r="Q188" s="401">
        <v>98.02</v>
      </c>
      <c r="R188" s="401">
        <v>28.96</v>
      </c>
      <c r="S188" s="401">
        <v>127.04</v>
      </c>
      <c r="T188" s="402">
        <v>1230</v>
      </c>
      <c r="U188" s="401">
        <v>144.53</v>
      </c>
      <c r="V188" s="402">
        <v>302</v>
      </c>
      <c r="W188" s="401">
        <v>0</v>
      </c>
      <c r="X188" s="402">
        <v>0</v>
      </c>
      <c r="Y188" s="403">
        <v>0</v>
      </c>
      <c r="Z188" s="403">
        <v>13</v>
      </c>
      <c r="AA188" s="403">
        <v>5</v>
      </c>
      <c r="AB188" s="403">
        <v>58</v>
      </c>
      <c r="AC188" s="403">
        <v>11</v>
      </c>
      <c r="AD188" s="403">
        <v>9404</v>
      </c>
      <c r="AE188" s="403">
        <v>61</v>
      </c>
      <c r="AF188" s="403">
        <v>10</v>
      </c>
      <c r="AG188" s="403">
        <v>71</v>
      </c>
    </row>
    <row r="189" spans="1:33" x14ac:dyDescent="0.3">
      <c r="A189" s="396" t="s">
        <v>438</v>
      </c>
      <c r="B189" s="396" t="s">
        <v>439</v>
      </c>
      <c r="C189" s="403">
        <v>1177</v>
      </c>
      <c r="D189" s="403">
        <v>0</v>
      </c>
      <c r="E189" s="403">
        <v>147</v>
      </c>
      <c r="F189" s="403">
        <v>98</v>
      </c>
      <c r="G189" s="403">
        <v>459</v>
      </c>
      <c r="H189" s="400">
        <v>1881</v>
      </c>
      <c r="I189" s="400">
        <v>1422</v>
      </c>
      <c r="J189" s="403">
        <v>3</v>
      </c>
      <c r="K189" s="401">
        <v>88.75</v>
      </c>
      <c r="L189" s="401">
        <v>87.03</v>
      </c>
      <c r="M189" s="401">
        <v>4.8899999999999997</v>
      </c>
      <c r="N189" s="401">
        <v>92.73</v>
      </c>
      <c r="O189" s="402">
        <v>751</v>
      </c>
      <c r="P189" s="401">
        <v>109.05</v>
      </c>
      <c r="Q189" s="401">
        <v>83.81</v>
      </c>
      <c r="R189" s="401">
        <v>70.14</v>
      </c>
      <c r="S189" s="401">
        <v>179.19</v>
      </c>
      <c r="T189" s="402">
        <v>226</v>
      </c>
      <c r="U189" s="401">
        <v>103.83</v>
      </c>
      <c r="V189" s="402">
        <v>309</v>
      </c>
      <c r="W189" s="401">
        <v>117.33</v>
      </c>
      <c r="X189" s="402">
        <v>1</v>
      </c>
      <c r="Y189" s="403">
        <v>0</v>
      </c>
      <c r="Z189" s="403">
        <v>0</v>
      </c>
      <c r="AA189" s="403">
        <v>0</v>
      </c>
      <c r="AB189" s="403">
        <v>39</v>
      </c>
      <c r="AC189" s="403">
        <v>13</v>
      </c>
      <c r="AD189" s="403">
        <v>1094</v>
      </c>
      <c r="AE189" s="403">
        <v>23</v>
      </c>
      <c r="AF189" s="403">
        <v>2</v>
      </c>
      <c r="AG189" s="403">
        <v>25</v>
      </c>
    </row>
    <row r="190" spans="1:33" x14ac:dyDescent="0.3">
      <c r="A190" s="396" t="s">
        <v>440</v>
      </c>
      <c r="B190" s="396" t="s">
        <v>441</v>
      </c>
      <c r="C190" s="403">
        <v>10999</v>
      </c>
      <c r="D190" s="403">
        <v>2</v>
      </c>
      <c r="E190" s="403">
        <v>259</v>
      </c>
      <c r="F190" s="403">
        <v>317</v>
      </c>
      <c r="G190" s="403">
        <v>80</v>
      </c>
      <c r="H190" s="400">
        <v>11657</v>
      </c>
      <c r="I190" s="400">
        <v>11577</v>
      </c>
      <c r="J190" s="403">
        <v>2</v>
      </c>
      <c r="K190" s="401">
        <v>80.400000000000006</v>
      </c>
      <c r="L190" s="401">
        <v>80.19</v>
      </c>
      <c r="M190" s="401">
        <v>3.25</v>
      </c>
      <c r="N190" s="401">
        <v>82.1</v>
      </c>
      <c r="O190" s="402">
        <v>10317</v>
      </c>
      <c r="P190" s="401">
        <v>103.62</v>
      </c>
      <c r="Q190" s="401">
        <v>79.760000000000005</v>
      </c>
      <c r="R190" s="401">
        <v>64.069999999999993</v>
      </c>
      <c r="S190" s="401">
        <v>162.22</v>
      </c>
      <c r="T190" s="402">
        <v>504</v>
      </c>
      <c r="U190" s="401">
        <v>99.83</v>
      </c>
      <c r="V190" s="402">
        <v>605</v>
      </c>
      <c r="W190" s="401">
        <v>212.76</v>
      </c>
      <c r="X190" s="402">
        <v>48</v>
      </c>
      <c r="Y190" s="403">
        <v>1</v>
      </c>
      <c r="Z190" s="403">
        <v>28</v>
      </c>
      <c r="AA190" s="403">
        <v>1</v>
      </c>
      <c r="AB190" s="403">
        <v>4</v>
      </c>
      <c r="AC190" s="403">
        <v>2</v>
      </c>
      <c r="AD190" s="403">
        <v>10960</v>
      </c>
      <c r="AE190" s="403">
        <v>93</v>
      </c>
      <c r="AF190" s="403">
        <v>10</v>
      </c>
      <c r="AG190" s="403">
        <v>103</v>
      </c>
    </row>
    <row r="191" spans="1:33" x14ac:dyDescent="0.3">
      <c r="A191" s="396" t="s">
        <v>442</v>
      </c>
      <c r="B191" s="396" t="s">
        <v>443</v>
      </c>
      <c r="C191" s="403">
        <v>5475</v>
      </c>
      <c r="D191" s="403">
        <v>0</v>
      </c>
      <c r="E191" s="403">
        <v>128</v>
      </c>
      <c r="F191" s="403">
        <v>684</v>
      </c>
      <c r="G191" s="403">
        <v>270</v>
      </c>
      <c r="H191" s="400">
        <v>6557</v>
      </c>
      <c r="I191" s="400">
        <v>6287</v>
      </c>
      <c r="J191" s="403">
        <v>2</v>
      </c>
      <c r="K191" s="401">
        <v>89.33</v>
      </c>
      <c r="L191" s="401">
        <v>88.49</v>
      </c>
      <c r="M191" s="401">
        <v>2.44</v>
      </c>
      <c r="N191" s="401">
        <v>91.06</v>
      </c>
      <c r="O191" s="402">
        <v>4740</v>
      </c>
      <c r="P191" s="401">
        <v>91.26</v>
      </c>
      <c r="Q191" s="401">
        <v>79.23</v>
      </c>
      <c r="R191" s="401">
        <v>25.28</v>
      </c>
      <c r="S191" s="401">
        <v>116.54</v>
      </c>
      <c r="T191" s="402">
        <v>800</v>
      </c>
      <c r="U191" s="401">
        <v>107.41</v>
      </c>
      <c r="V191" s="402">
        <v>706</v>
      </c>
      <c r="W191" s="401">
        <v>95.46</v>
      </c>
      <c r="X191" s="402">
        <v>9</v>
      </c>
      <c r="Y191" s="403">
        <v>0</v>
      </c>
      <c r="Z191" s="403">
        <v>6</v>
      </c>
      <c r="AA191" s="403">
        <v>22</v>
      </c>
      <c r="AB191" s="403">
        <v>35</v>
      </c>
      <c r="AC191" s="403">
        <v>1</v>
      </c>
      <c r="AD191" s="403">
        <v>5452</v>
      </c>
      <c r="AE191" s="403">
        <v>51</v>
      </c>
      <c r="AF191" s="403">
        <v>21</v>
      </c>
      <c r="AG191" s="403">
        <v>72</v>
      </c>
    </row>
    <row r="192" spans="1:33" x14ac:dyDescent="0.3">
      <c r="A192" s="399" t="s">
        <v>814</v>
      </c>
      <c r="B192" s="399" t="s">
        <v>812</v>
      </c>
      <c r="C192" s="382">
        <v>13859</v>
      </c>
      <c r="D192" s="382">
        <v>198</v>
      </c>
      <c r="E192" s="382">
        <v>741</v>
      </c>
      <c r="F192" s="382">
        <v>1004</v>
      </c>
      <c r="G192" s="382">
        <v>1617</v>
      </c>
      <c r="H192" s="382">
        <v>17419</v>
      </c>
      <c r="I192" s="382">
        <v>15802</v>
      </c>
      <c r="J192" s="382">
        <v>29</v>
      </c>
      <c r="K192" s="382">
        <v>91.22</v>
      </c>
      <c r="L192" s="382">
        <v>90.55</v>
      </c>
      <c r="M192" s="382">
        <v>6.47</v>
      </c>
      <c r="N192" s="382">
        <v>94.18</v>
      </c>
      <c r="O192" s="385">
        <v>11765</v>
      </c>
      <c r="P192" s="382">
        <v>91.18</v>
      </c>
      <c r="Q192" s="382">
        <v>79.92</v>
      </c>
      <c r="R192" s="382">
        <v>51.51</v>
      </c>
      <c r="S192" s="382">
        <v>141.05000000000001</v>
      </c>
      <c r="T192" s="385">
        <v>1630</v>
      </c>
      <c r="U192" s="382">
        <v>109.84</v>
      </c>
      <c r="V192" s="385">
        <v>1697</v>
      </c>
      <c r="W192" s="382">
        <v>163.1</v>
      </c>
      <c r="X192" s="385">
        <v>7</v>
      </c>
      <c r="Y192" s="382">
        <v>0</v>
      </c>
      <c r="Z192" s="382">
        <v>26</v>
      </c>
      <c r="AA192" s="382">
        <v>2</v>
      </c>
      <c r="AB192" s="382">
        <v>68</v>
      </c>
      <c r="AC192" s="382">
        <v>29</v>
      </c>
      <c r="AD192" s="382">
        <v>13775</v>
      </c>
      <c r="AE192" s="382">
        <v>69</v>
      </c>
      <c r="AF192" s="382">
        <v>35</v>
      </c>
      <c r="AG192" s="382">
        <v>104</v>
      </c>
    </row>
    <row r="193" spans="1:33" x14ac:dyDescent="0.3">
      <c r="A193" s="396" t="s">
        <v>444</v>
      </c>
      <c r="B193" s="396" t="s">
        <v>445</v>
      </c>
      <c r="C193" s="403">
        <v>8418</v>
      </c>
      <c r="D193" s="403">
        <v>66</v>
      </c>
      <c r="E193" s="403">
        <v>366</v>
      </c>
      <c r="F193" s="403">
        <v>650</v>
      </c>
      <c r="G193" s="403">
        <v>569</v>
      </c>
      <c r="H193" s="400">
        <v>10069</v>
      </c>
      <c r="I193" s="400">
        <v>9500</v>
      </c>
      <c r="J193" s="403">
        <v>27</v>
      </c>
      <c r="K193" s="401">
        <v>94.96</v>
      </c>
      <c r="L193" s="401">
        <v>94.97</v>
      </c>
      <c r="M193" s="401">
        <v>4.8</v>
      </c>
      <c r="N193" s="401">
        <v>99.62</v>
      </c>
      <c r="O193" s="402">
        <v>7384</v>
      </c>
      <c r="P193" s="401">
        <v>105.54</v>
      </c>
      <c r="Q193" s="401">
        <v>88.36</v>
      </c>
      <c r="R193" s="401">
        <v>71.09</v>
      </c>
      <c r="S193" s="401">
        <v>174.87</v>
      </c>
      <c r="T193" s="402">
        <v>807</v>
      </c>
      <c r="U193" s="401">
        <v>128.31</v>
      </c>
      <c r="V193" s="402">
        <v>910</v>
      </c>
      <c r="W193" s="401">
        <v>175.04</v>
      </c>
      <c r="X193" s="402">
        <v>80</v>
      </c>
      <c r="Y193" s="403">
        <v>0</v>
      </c>
      <c r="Z193" s="403">
        <v>4</v>
      </c>
      <c r="AA193" s="403">
        <v>9</v>
      </c>
      <c r="AB193" s="403">
        <v>11</v>
      </c>
      <c r="AC193" s="403">
        <v>9</v>
      </c>
      <c r="AD193" s="403">
        <v>8301</v>
      </c>
      <c r="AE193" s="403">
        <v>38</v>
      </c>
      <c r="AF193" s="403">
        <v>41</v>
      </c>
      <c r="AG193" s="403">
        <v>79</v>
      </c>
    </row>
    <row r="194" spans="1:33" x14ac:dyDescent="0.3">
      <c r="A194" s="396" t="s">
        <v>446</v>
      </c>
      <c r="B194" s="396" t="s">
        <v>447</v>
      </c>
      <c r="C194" s="403">
        <v>4292</v>
      </c>
      <c r="D194" s="403">
        <v>0</v>
      </c>
      <c r="E194" s="403">
        <v>586</v>
      </c>
      <c r="F194" s="403">
        <v>1313</v>
      </c>
      <c r="G194" s="403">
        <v>376</v>
      </c>
      <c r="H194" s="400">
        <v>6567</v>
      </c>
      <c r="I194" s="400">
        <v>6191</v>
      </c>
      <c r="J194" s="403">
        <v>0</v>
      </c>
      <c r="K194" s="401">
        <v>82.65</v>
      </c>
      <c r="L194" s="401">
        <v>79.260000000000005</v>
      </c>
      <c r="M194" s="401">
        <v>7.81</v>
      </c>
      <c r="N194" s="401">
        <v>88.68</v>
      </c>
      <c r="O194" s="402">
        <v>3166</v>
      </c>
      <c r="P194" s="401">
        <v>92</v>
      </c>
      <c r="Q194" s="401">
        <v>73.790000000000006</v>
      </c>
      <c r="R194" s="401">
        <v>54.73</v>
      </c>
      <c r="S194" s="401">
        <v>146.15</v>
      </c>
      <c r="T194" s="402">
        <v>1610</v>
      </c>
      <c r="U194" s="401">
        <v>102.59</v>
      </c>
      <c r="V194" s="402">
        <v>925</v>
      </c>
      <c r="W194" s="401">
        <v>166.26</v>
      </c>
      <c r="X194" s="402">
        <v>133</v>
      </c>
      <c r="Y194" s="403">
        <v>26</v>
      </c>
      <c r="Z194" s="403">
        <v>0</v>
      </c>
      <c r="AA194" s="403">
        <v>4</v>
      </c>
      <c r="AB194" s="403">
        <v>11</v>
      </c>
      <c r="AC194" s="403">
        <v>2</v>
      </c>
      <c r="AD194" s="403">
        <v>4112</v>
      </c>
      <c r="AE194" s="403">
        <v>21</v>
      </c>
      <c r="AF194" s="403">
        <v>26</v>
      </c>
      <c r="AG194" s="403">
        <v>47</v>
      </c>
    </row>
    <row r="195" spans="1:33" x14ac:dyDescent="0.3">
      <c r="A195" s="396" t="s">
        <v>448</v>
      </c>
      <c r="B195" s="396" t="s">
        <v>449</v>
      </c>
      <c r="C195" s="403">
        <v>1118</v>
      </c>
      <c r="D195" s="403">
        <v>0</v>
      </c>
      <c r="E195" s="403">
        <v>11</v>
      </c>
      <c r="F195" s="403">
        <v>46</v>
      </c>
      <c r="G195" s="403">
        <v>239</v>
      </c>
      <c r="H195" s="400">
        <v>1414</v>
      </c>
      <c r="I195" s="400">
        <v>1175</v>
      </c>
      <c r="J195" s="403">
        <v>1</v>
      </c>
      <c r="K195" s="401">
        <v>98.65</v>
      </c>
      <c r="L195" s="401">
        <v>96.59</v>
      </c>
      <c r="M195" s="401">
        <v>5.6</v>
      </c>
      <c r="N195" s="401">
        <v>101.83</v>
      </c>
      <c r="O195" s="402">
        <v>844</v>
      </c>
      <c r="P195" s="401">
        <v>87.83</v>
      </c>
      <c r="Q195" s="401">
        <v>83</v>
      </c>
      <c r="R195" s="401">
        <v>26.14</v>
      </c>
      <c r="S195" s="401">
        <v>110.95</v>
      </c>
      <c r="T195" s="402">
        <v>52</v>
      </c>
      <c r="U195" s="401">
        <v>116.95</v>
      </c>
      <c r="V195" s="402">
        <v>270</v>
      </c>
      <c r="W195" s="401">
        <v>0</v>
      </c>
      <c r="X195" s="402">
        <v>0</v>
      </c>
      <c r="Y195" s="403">
        <v>0</v>
      </c>
      <c r="Z195" s="403">
        <v>1</v>
      </c>
      <c r="AA195" s="403">
        <v>0</v>
      </c>
      <c r="AB195" s="403">
        <v>15</v>
      </c>
      <c r="AC195" s="403">
        <v>4</v>
      </c>
      <c r="AD195" s="403">
        <v>1108</v>
      </c>
      <c r="AE195" s="403">
        <v>9</v>
      </c>
      <c r="AF195" s="403">
        <v>0</v>
      </c>
      <c r="AG195" s="403">
        <v>9</v>
      </c>
    </row>
    <row r="196" spans="1:33" x14ac:dyDescent="0.3">
      <c r="A196" s="396" t="s">
        <v>450</v>
      </c>
      <c r="B196" s="396" t="s">
        <v>451</v>
      </c>
      <c r="C196" s="403">
        <v>2056</v>
      </c>
      <c r="D196" s="403">
        <v>2</v>
      </c>
      <c r="E196" s="403">
        <v>66</v>
      </c>
      <c r="F196" s="403">
        <v>113</v>
      </c>
      <c r="G196" s="403">
        <v>507</v>
      </c>
      <c r="H196" s="400">
        <v>2744</v>
      </c>
      <c r="I196" s="400">
        <v>2237</v>
      </c>
      <c r="J196" s="403">
        <v>1</v>
      </c>
      <c r="K196" s="401">
        <v>88.11</v>
      </c>
      <c r="L196" s="401">
        <v>89.25</v>
      </c>
      <c r="M196" s="401">
        <v>6.85</v>
      </c>
      <c r="N196" s="401">
        <v>93.87</v>
      </c>
      <c r="O196" s="402">
        <v>1405</v>
      </c>
      <c r="P196" s="401">
        <v>90.2</v>
      </c>
      <c r="Q196" s="401">
        <v>97.63</v>
      </c>
      <c r="R196" s="401">
        <v>56.49</v>
      </c>
      <c r="S196" s="401">
        <v>146.69</v>
      </c>
      <c r="T196" s="402">
        <v>156</v>
      </c>
      <c r="U196" s="401">
        <v>106.16</v>
      </c>
      <c r="V196" s="402">
        <v>632</v>
      </c>
      <c r="W196" s="401">
        <v>0</v>
      </c>
      <c r="X196" s="402">
        <v>0</v>
      </c>
      <c r="Y196" s="403">
        <v>0</v>
      </c>
      <c r="Z196" s="403">
        <v>1</v>
      </c>
      <c r="AA196" s="403">
        <v>0</v>
      </c>
      <c r="AB196" s="403">
        <v>41</v>
      </c>
      <c r="AC196" s="403">
        <v>7</v>
      </c>
      <c r="AD196" s="403">
        <v>2056</v>
      </c>
      <c r="AE196" s="403">
        <v>17</v>
      </c>
      <c r="AF196" s="403">
        <v>16</v>
      </c>
      <c r="AG196" s="403">
        <v>33</v>
      </c>
    </row>
    <row r="197" spans="1:33" x14ac:dyDescent="0.3">
      <c r="A197" s="396" t="s">
        <v>452</v>
      </c>
      <c r="B197" s="396" t="s">
        <v>453</v>
      </c>
      <c r="C197" s="403">
        <v>14543</v>
      </c>
      <c r="D197" s="403">
        <v>0</v>
      </c>
      <c r="E197" s="403">
        <v>463</v>
      </c>
      <c r="F197" s="403">
        <v>2980</v>
      </c>
      <c r="G197" s="403">
        <v>555</v>
      </c>
      <c r="H197" s="400">
        <v>18541</v>
      </c>
      <c r="I197" s="400">
        <v>17986</v>
      </c>
      <c r="J197" s="403">
        <v>0</v>
      </c>
      <c r="K197" s="401">
        <v>76.03</v>
      </c>
      <c r="L197" s="401">
        <v>73.39</v>
      </c>
      <c r="M197" s="401">
        <v>2.25</v>
      </c>
      <c r="N197" s="401">
        <v>77.150000000000006</v>
      </c>
      <c r="O197" s="402">
        <v>12930</v>
      </c>
      <c r="P197" s="401">
        <v>77.56</v>
      </c>
      <c r="Q197" s="401">
        <v>67.17</v>
      </c>
      <c r="R197" s="401">
        <v>30.2</v>
      </c>
      <c r="S197" s="401">
        <v>104.16</v>
      </c>
      <c r="T197" s="402">
        <v>3204</v>
      </c>
      <c r="U197" s="401">
        <v>100.06</v>
      </c>
      <c r="V197" s="402">
        <v>1369</v>
      </c>
      <c r="W197" s="401">
        <v>136.07</v>
      </c>
      <c r="X197" s="402">
        <v>129</v>
      </c>
      <c r="Y197" s="403">
        <v>0</v>
      </c>
      <c r="Z197" s="403">
        <v>50</v>
      </c>
      <c r="AA197" s="403">
        <v>4</v>
      </c>
      <c r="AB197" s="403">
        <v>66</v>
      </c>
      <c r="AC197" s="403">
        <v>5</v>
      </c>
      <c r="AD197" s="403">
        <v>14306</v>
      </c>
      <c r="AE197" s="403">
        <v>142</v>
      </c>
      <c r="AF197" s="403">
        <v>50</v>
      </c>
      <c r="AG197" s="403">
        <v>192</v>
      </c>
    </row>
    <row r="198" spans="1:33" x14ac:dyDescent="0.3">
      <c r="A198" s="396" t="s">
        <v>454</v>
      </c>
      <c r="B198" s="396" t="s">
        <v>455</v>
      </c>
      <c r="C198" s="403">
        <v>4054</v>
      </c>
      <c r="D198" s="403">
        <v>0</v>
      </c>
      <c r="E198" s="403">
        <v>522</v>
      </c>
      <c r="F198" s="403">
        <v>1173</v>
      </c>
      <c r="G198" s="403">
        <v>271</v>
      </c>
      <c r="H198" s="400">
        <v>6020</v>
      </c>
      <c r="I198" s="400">
        <v>5749</v>
      </c>
      <c r="J198" s="403">
        <v>7</v>
      </c>
      <c r="K198" s="401">
        <v>89.37</v>
      </c>
      <c r="L198" s="401">
        <v>88.75</v>
      </c>
      <c r="M198" s="401">
        <v>6.44</v>
      </c>
      <c r="N198" s="401">
        <v>94.6</v>
      </c>
      <c r="O198" s="402">
        <v>3486</v>
      </c>
      <c r="P198" s="401">
        <v>100.23</v>
      </c>
      <c r="Q198" s="401">
        <v>81.790000000000006</v>
      </c>
      <c r="R198" s="401">
        <v>45.25</v>
      </c>
      <c r="S198" s="401">
        <v>142.66</v>
      </c>
      <c r="T198" s="402">
        <v>997</v>
      </c>
      <c r="U198" s="401">
        <v>110.31</v>
      </c>
      <c r="V198" s="402">
        <v>475</v>
      </c>
      <c r="W198" s="401">
        <v>140.41</v>
      </c>
      <c r="X198" s="402">
        <v>8</v>
      </c>
      <c r="Y198" s="403">
        <v>0</v>
      </c>
      <c r="Z198" s="403">
        <v>0</v>
      </c>
      <c r="AA198" s="403">
        <v>0</v>
      </c>
      <c r="AB198" s="403">
        <v>0</v>
      </c>
      <c r="AC198" s="403">
        <v>4</v>
      </c>
      <c r="AD198" s="403">
        <v>4038</v>
      </c>
      <c r="AE198" s="403">
        <v>22</v>
      </c>
      <c r="AF198" s="403">
        <v>24</v>
      </c>
      <c r="AG198" s="403">
        <v>46</v>
      </c>
    </row>
    <row r="199" spans="1:33" x14ac:dyDescent="0.3">
      <c r="A199" s="396" t="s">
        <v>456</v>
      </c>
      <c r="B199" s="396" t="s">
        <v>457</v>
      </c>
      <c r="C199" s="403">
        <v>6677</v>
      </c>
      <c r="D199" s="403">
        <v>217</v>
      </c>
      <c r="E199" s="403">
        <v>1362</v>
      </c>
      <c r="F199" s="403">
        <v>2199</v>
      </c>
      <c r="G199" s="403">
        <v>294</v>
      </c>
      <c r="H199" s="400">
        <v>10749</v>
      </c>
      <c r="I199" s="400">
        <v>10455</v>
      </c>
      <c r="J199" s="403">
        <v>38</v>
      </c>
      <c r="K199" s="401">
        <v>85.82</v>
      </c>
      <c r="L199" s="401">
        <v>82.76</v>
      </c>
      <c r="M199" s="401">
        <v>6.77</v>
      </c>
      <c r="N199" s="401">
        <v>90.18</v>
      </c>
      <c r="O199" s="402">
        <v>5738</v>
      </c>
      <c r="P199" s="401">
        <v>85.97</v>
      </c>
      <c r="Q199" s="401">
        <v>75.8</v>
      </c>
      <c r="R199" s="401">
        <v>79.39</v>
      </c>
      <c r="S199" s="401">
        <v>162.44999999999999</v>
      </c>
      <c r="T199" s="402">
        <v>2918</v>
      </c>
      <c r="U199" s="401">
        <v>104.62</v>
      </c>
      <c r="V199" s="402">
        <v>497</v>
      </c>
      <c r="W199" s="401">
        <v>198.27</v>
      </c>
      <c r="X199" s="402">
        <v>199</v>
      </c>
      <c r="Y199" s="403">
        <v>13</v>
      </c>
      <c r="Z199" s="403">
        <v>13</v>
      </c>
      <c r="AA199" s="403">
        <v>4</v>
      </c>
      <c r="AB199" s="403">
        <v>8</v>
      </c>
      <c r="AC199" s="403">
        <v>11</v>
      </c>
      <c r="AD199" s="403">
        <v>6603</v>
      </c>
      <c r="AE199" s="403">
        <v>66</v>
      </c>
      <c r="AF199" s="403">
        <v>36</v>
      </c>
      <c r="AG199" s="403">
        <v>102</v>
      </c>
    </row>
    <row r="200" spans="1:33" x14ac:dyDescent="0.3">
      <c r="A200" s="396" t="s">
        <v>458</v>
      </c>
      <c r="B200" s="396" t="s">
        <v>459</v>
      </c>
      <c r="C200" s="403">
        <v>2283</v>
      </c>
      <c r="D200" s="403">
        <v>0</v>
      </c>
      <c r="E200" s="403">
        <v>253</v>
      </c>
      <c r="F200" s="403">
        <v>360</v>
      </c>
      <c r="G200" s="403">
        <v>455</v>
      </c>
      <c r="H200" s="400">
        <v>3351</v>
      </c>
      <c r="I200" s="400">
        <v>2896</v>
      </c>
      <c r="J200" s="403">
        <v>0</v>
      </c>
      <c r="K200" s="401">
        <v>96.78</v>
      </c>
      <c r="L200" s="401">
        <v>92.94</v>
      </c>
      <c r="M200" s="401">
        <v>7.68</v>
      </c>
      <c r="N200" s="401">
        <v>103.18</v>
      </c>
      <c r="O200" s="402">
        <v>1670</v>
      </c>
      <c r="P200" s="401">
        <v>120.02</v>
      </c>
      <c r="Q200" s="401">
        <v>83.53</v>
      </c>
      <c r="R200" s="401">
        <v>61.81</v>
      </c>
      <c r="S200" s="401">
        <v>180.2</v>
      </c>
      <c r="T200" s="402">
        <v>455</v>
      </c>
      <c r="U200" s="401">
        <v>117.34</v>
      </c>
      <c r="V200" s="402">
        <v>596</v>
      </c>
      <c r="W200" s="401">
        <v>186.1</v>
      </c>
      <c r="X200" s="402">
        <v>60</v>
      </c>
      <c r="Y200" s="403">
        <v>0</v>
      </c>
      <c r="Z200" s="403">
        <v>1</v>
      </c>
      <c r="AA200" s="403">
        <v>0</v>
      </c>
      <c r="AB200" s="403">
        <v>36</v>
      </c>
      <c r="AC200" s="403">
        <v>8</v>
      </c>
      <c r="AD200" s="403">
        <v>2283</v>
      </c>
      <c r="AE200" s="403">
        <v>14</v>
      </c>
      <c r="AF200" s="403">
        <v>3</v>
      </c>
      <c r="AG200" s="403">
        <v>17</v>
      </c>
    </row>
    <row r="201" spans="1:33" x14ac:dyDescent="0.3">
      <c r="A201" s="396" t="s">
        <v>460</v>
      </c>
      <c r="B201" s="396" t="s">
        <v>461</v>
      </c>
      <c r="C201" s="403">
        <v>526</v>
      </c>
      <c r="D201" s="403">
        <v>0</v>
      </c>
      <c r="E201" s="403">
        <v>65</v>
      </c>
      <c r="F201" s="403">
        <v>95</v>
      </c>
      <c r="G201" s="403">
        <v>120</v>
      </c>
      <c r="H201" s="400">
        <v>806</v>
      </c>
      <c r="I201" s="400">
        <v>686</v>
      </c>
      <c r="J201" s="403">
        <v>2</v>
      </c>
      <c r="K201" s="401">
        <v>92.61</v>
      </c>
      <c r="L201" s="401">
        <v>89.91</v>
      </c>
      <c r="M201" s="401">
        <v>6.03</v>
      </c>
      <c r="N201" s="401">
        <v>95.96</v>
      </c>
      <c r="O201" s="402">
        <v>279</v>
      </c>
      <c r="P201" s="401">
        <v>112.89</v>
      </c>
      <c r="Q201" s="401">
        <v>74.58</v>
      </c>
      <c r="R201" s="401">
        <v>48.78</v>
      </c>
      <c r="S201" s="401">
        <v>161.66999999999999</v>
      </c>
      <c r="T201" s="402">
        <v>142</v>
      </c>
      <c r="U201" s="401">
        <v>112.14</v>
      </c>
      <c r="V201" s="402">
        <v>154</v>
      </c>
      <c r="W201" s="401">
        <v>0</v>
      </c>
      <c r="X201" s="402">
        <v>0</v>
      </c>
      <c r="Y201" s="403">
        <v>0</v>
      </c>
      <c r="Z201" s="403">
        <v>0</v>
      </c>
      <c r="AA201" s="403">
        <v>0</v>
      </c>
      <c r="AB201" s="403">
        <v>0</v>
      </c>
      <c r="AC201" s="403">
        <v>0</v>
      </c>
      <c r="AD201" s="403">
        <v>485</v>
      </c>
      <c r="AE201" s="403">
        <v>1</v>
      </c>
      <c r="AF201" s="403">
        <v>2</v>
      </c>
      <c r="AG201" s="403">
        <v>3</v>
      </c>
    </row>
    <row r="202" spans="1:33" x14ac:dyDescent="0.3">
      <c r="A202" s="396" t="s">
        <v>462</v>
      </c>
      <c r="B202" s="396" t="s">
        <v>463</v>
      </c>
      <c r="C202" s="403">
        <v>17142</v>
      </c>
      <c r="D202" s="403">
        <v>5</v>
      </c>
      <c r="E202" s="403">
        <v>583</v>
      </c>
      <c r="F202" s="403">
        <v>791</v>
      </c>
      <c r="G202" s="403">
        <v>280</v>
      </c>
      <c r="H202" s="400">
        <v>18801</v>
      </c>
      <c r="I202" s="400">
        <v>18521</v>
      </c>
      <c r="J202" s="403">
        <v>9</v>
      </c>
      <c r="K202" s="401">
        <v>78.17</v>
      </c>
      <c r="L202" s="401">
        <v>77.819999999999993</v>
      </c>
      <c r="M202" s="401">
        <v>4.54</v>
      </c>
      <c r="N202" s="401">
        <v>80.53</v>
      </c>
      <c r="O202" s="402">
        <v>15080</v>
      </c>
      <c r="P202" s="401">
        <v>78.11</v>
      </c>
      <c r="Q202" s="401">
        <v>74.75</v>
      </c>
      <c r="R202" s="401">
        <v>29.49</v>
      </c>
      <c r="S202" s="401">
        <v>104.29</v>
      </c>
      <c r="T202" s="402">
        <v>1307</v>
      </c>
      <c r="U202" s="401">
        <v>101.05</v>
      </c>
      <c r="V202" s="402">
        <v>1491</v>
      </c>
      <c r="W202" s="401">
        <v>0</v>
      </c>
      <c r="X202" s="402">
        <v>0</v>
      </c>
      <c r="Y202" s="403">
        <v>1</v>
      </c>
      <c r="Z202" s="403">
        <v>59</v>
      </c>
      <c r="AA202" s="403">
        <v>0</v>
      </c>
      <c r="AB202" s="403">
        <v>18</v>
      </c>
      <c r="AC202" s="403">
        <v>5</v>
      </c>
      <c r="AD202" s="403">
        <v>16523</v>
      </c>
      <c r="AE202" s="403">
        <v>34</v>
      </c>
      <c r="AF202" s="403">
        <v>72</v>
      </c>
      <c r="AG202" s="403">
        <v>106</v>
      </c>
    </row>
    <row r="203" spans="1:33" x14ac:dyDescent="0.3">
      <c r="A203" s="396" t="s">
        <v>464</v>
      </c>
      <c r="B203" s="396" t="s">
        <v>465</v>
      </c>
      <c r="C203" s="403">
        <v>3071</v>
      </c>
      <c r="D203" s="403">
        <v>2</v>
      </c>
      <c r="E203" s="403">
        <v>472</v>
      </c>
      <c r="F203" s="403">
        <v>859</v>
      </c>
      <c r="G203" s="403">
        <v>648</v>
      </c>
      <c r="H203" s="400">
        <v>5052</v>
      </c>
      <c r="I203" s="400">
        <v>4404</v>
      </c>
      <c r="J203" s="403">
        <v>2</v>
      </c>
      <c r="K203" s="401">
        <v>114.81</v>
      </c>
      <c r="L203" s="401">
        <v>111.19</v>
      </c>
      <c r="M203" s="401">
        <v>7.28</v>
      </c>
      <c r="N203" s="401">
        <v>120.57</v>
      </c>
      <c r="O203" s="402">
        <v>2878</v>
      </c>
      <c r="P203" s="401">
        <v>109.45</v>
      </c>
      <c r="Q203" s="401">
        <v>97.25</v>
      </c>
      <c r="R203" s="401">
        <v>49.95</v>
      </c>
      <c r="S203" s="401">
        <v>157.02000000000001</v>
      </c>
      <c r="T203" s="402">
        <v>1282</v>
      </c>
      <c r="U203" s="401">
        <v>176.1</v>
      </c>
      <c r="V203" s="402">
        <v>89</v>
      </c>
      <c r="W203" s="401">
        <v>0</v>
      </c>
      <c r="X203" s="402">
        <v>0</v>
      </c>
      <c r="Y203" s="403">
        <v>158</v>
      </c>
      <c r="Z203" s="403">
        <v>1</v>
      </c>
      <c r="AA203" s="403">
        <v>4</v>
      </c>
      <c r="AB203" s="403">
        <v>30</v>
      </c>
      <c r="AC203" s="403">
        <v>17</v>
      </c>
      <c r="AD203" s="403">
        <v>3071</v>
      </c>
      <c r="AE203" s="403">
        <v>27</v>
      </c>
      <c r="AF203" s="403">
        <v>72</v>
      </c>
      <c r="AG203" s="403">
        <v>99</v>
      </c>
    </row>
    <row r="204" spans="1:33" x14ac:dyDescent="0.3">
      <c r="A204" s="396" t="s">
        <v>466</v>
      </c>
      <c r="B204" s="396" t="s">
        <v>467</v>
      </c>
      <c r="C204" s="403">
        <v>4197</v>
      </c>
      <c r="D204" s="403">
        <v>0</v>
      </c>
      <c r="E204" s="403">
        <v>252</v>
      </c>
      <c r="F204" s="403">
        <v>198</v>
      </c>
      <c r="G204" s="403">
        <v>15</v>
      </c>
      <c r="H204" s="400">
        <v>4662</v>
      </c>
      <c r="I204" s="400">
        <v>4647</v>
      </c>
      <c r="J204" s="403">
        <v>2</v>
      </c>
      <c r="K204" s="401">
        <v>74.099999999999994</v>
      </c>
      <c r="L204" s="401">
        <v>70.959999999999994</v>
      </c>
      <c r="M204" s="401">
        <v>1.79</v>
      </c>
      <c r="N204" s="401">
        <v>75.73</v>
      </c>
      <c r="O204" s="402">
        <v>3719</v>
      </c>
      <c r="P204" s="401">
        <v>102.87</v>
      </c>
      <c r="Q204" s="401">
        <v>71.7</v>
      </c>
      <c r="R204" s="401">
        <v>63.63</v>
      </c>
      <c r="S204" s="401">
        <v>162.57</v>
      </c>
      <c r="T204" s="402">
        <v>323</v>
      </c>
      <c r="U204" s="401">
        <v>95.1</v>
      </c>
      <c r="V204" s="402">
        <v>463</v>
      </c>
      <c r="W204" s="401">
        <v>194.99</v>
      </c>
      <c r="X204" s="402">
        <v>27</v>
      </c>
      <c r="Y204" s="403">
        <v>17</v>
      </c>
      <c r="Z204" s="403">
        <v>8</v>
      </c>
      <c r="AA204" s="403">
        <v>11</v>
      </c>
      <c r="AB204" s="403">
        <v>0</v>
      </c>
      <c r="AC204" s="403">
        <v>1</v>
      </c>
      <c r="AD204" s="403">
        <v>4193</v>
      </c>
      <c r="AE204" s="403">
        <v>24</v>
      </c>
      <c r="AF204" s="403">
        <v>10</v>
      </c>
      <c r="AG204" s="403">
        <v>34</v>
      </c>
    </row>
    <row r="205" spans="1:33" x14ac:dyDescent="0.3">
      <c r="A205" s="396" t="s">
        <v>468</v>
      </c>
      <c r="B205" s="396" t="s">
        <v>469</v>
      </c>
      <c r="C205" s="403">
        <v>13122</v>
      </c>
      <c r="D205" s="403">
        <v>29</v>
      </c>
      <c r="E205" s="403">
        <v>615</v>
      </c>
      <c r="F205" s="403">
        <v>2312</v>
      </c>
      <c r="G205" s="403">
        <v>1103</v>
      </c>
      <c r="H205" s="400">
        <v>17181</v>
      </c>
      <c r="I205" s="400">
        <v>16078</v>
      </c>
      <c r="J205" s="403">
        <v>8</v>
      </c>
      <c r="K205" s="401">
        <v>87.21</v>
      </c>
      <c r="L205" s="401">
        <v>86.59</v>
      </c>
      <c r="M205" s="401">
        <v>5.89</v>
      </c>
      <c r="N205" s="401">
        <v>90.25</v>
      </c>
      <c r="O205" s="402">
        <v>11079</v>
      </c>
      <c r="P205" s="401">
        <v>92.56</v>
      </c>
      <c r="Q205" s="401">
        <v>84.49</v>
      </c>
      <c r="R205" s="401">
        <v>38.299999999999997</v>
      </c>
      <c r="S205" s="401">
        <v>129.22999999999999</v>
      </c>
      <c r="T205" s="402">
        <v>2585</v>
      </c>
      <c r="U205" s="401">
        <v>110.58</v>
      </c>
      <c r="V205" s="402">
        <v>1749</v>
      </c>
      <c r="W205" s="401">
        <v>207.35</v>
      </c>
      <c r="X205" s="402">
        <v>87</v>
      </c>
      <c r="Y205" s="403">
        <v>0</v>
      </c>
      <c r="Z205" s="403">
        <v>21</v>
      </c>
      <c r="AA205" s="403">
        <v>7</v>
      </c>
      <c r="AB205" s="403">
        <v>74</v>
      </c>
      <c r="AC205" s="403">
        <v>25</v>
      </c>
      <c r="AD205" s="403">
        <v>13122</v>
      </c>
      <c r="AE205" s="403">
        <v>71</v>
      </c>
      <c r="AF205" s="403">
        <v>5</v>
      </c>
      <c r="AG205" s="403">
        <v>76</v>
      </c>
    </row>
    <row r="206" spans="1:33" x14ac:dyDescent="0.3">
      <c r="A206" s="396" t="s">
        <v>470</v>
      </c>
      <c r="B206" s="396" t="s">
        <v>471</v>
      </c>
      <c r="C206" s="403">
        <v>18926</v>
      </c>
      <c r="D206" s="403">
        <v>0</v>
      </c>
      <c r="E206" s="403">
        <v>2467</v>
      </c>
      <c r="F206" s="403">
        <v>1063</v>
      </c>
      <c r="G206" s="403">
        <v>1200</v>
      </c>
      <c r="H206" s="400">
        <v>23656</v>
      </c>
      <c r="I206" s="400">
        <v>22456</v>
      </c>
      <c r="J206" s="403">
        <v>139</v>
      </c>
      <c r="K206" s="401">
        <v>76.55</v>
      </c>
      <c r="L206" s="401">
        <v>75.930000000000007</v>
      </c>
      <c r="M206" s="401">
        <v>6.99</v>
      </c>
      <c r="N206" s="401">
        <v>80.930000000000007</v>
      </c>
      <c r="O206" s="402">
        <v>13938</v>
      </c>
      <c r="P206" s="401">
        <v>72.900000000000006</v>
      </c>
      <c r="Q206" s="401">
        <v>70.650000000000006</v>
      </c>
      <c r="R206" s="401">
        <v>30.95</v>
      </c>
      <c r="S206" s="401">
        <v>101.4</v>
      </c>
      <c r="T206" s="402">
        <v>2918</v>
      </c>
      <c r="U206" s="401">
        <v>104.62</v>
      </c>
      <c r="V206" s="402">
        <v>4422</v>
      </c>
      <c r="W206" s="401">
        <v>97.55</v>
      </c>
      <c r="X206" s="402">
        <v>508</v>
      </c>
      <c r="Y206" s="403">
        <v>31</v>
      </c>
      <c r="Z206" s="403">
        <v>42</v>
      </c>
      <c r="AA206" s="403">
        <v>20</v>
      </c>
      <c r="AB206" s="403">
        <v>39</v>
      </c>
      <c r="AC206" s="403">
        <v>31</v>
      </c>
      <c r="AD206" s="403">
        <v>18434</v>
      </c>
      <c r="AE206" s="403">
        <v>111</v>
      </c>
      <c r="AF206" s="403">
        <v>176</v>
      </c>
      <c r="AG206" s="403">
        <v>287</v>
      </c>
    </row>
    <row r="207" spans="1:33" x14ac:dyDescent="0.3">
      <c r="A207" s="396" t="s">
        <v>472</v>
      </c>
      <c r="B207" s="396" t="s">
        <v>473</v>
      </c>
      <c r="C207" s="403">
        <v>4818</v>
      </c>
      <c r="D207" s="403">
        <v>36</v>
      </c>
      <c r="E207" s="403">
        <v>472</v>
      </c>
      <c r="F207" s="403">
        <v>1061</v>
      </c>
      <c r="G207" s="403">
        <v>639</v>
      </c>
      <c r="H207" s="400">
        <v>7026</v>
      </c>
      <c r="I207" s="400">
        <v>6387</v>
      </c>
      <c r="J207" s="403">
        <v>34</v>
      </c>
      <c r="K207" s="401">
        <v>100.16</v>
      </c>
      <c r="L207" s="401">
        <v>96.66</v>
      </c>
      <c r="M207" s="401">
        <v>9.23</v>
      </c>
      <c r="N207" s="401">
        <v>107.35</v>
      </c>
      <c r="O207" s="402">
        <v>3726</v>
      </c>
      <c r="P207" s="401">
        <v>88.74</v>
      </c>
      <c r="Q207" s="401">
        <v>77.98</v>
      </c>
      <c r="R207" s="401">
        <v>29.84</v>
      </c>
      <c r="S207" s="401">
        <v>117.07</v>
      </c>
      <c r="T207" s="402">
        <v>555</v>
      </c>
      <c r="U207" s="401">
        <v>131.94</v>
      </c>
      <c r="V207" s="402">
        <v>820</v>
      </c>
      <c r="W207" s="401">
        <v>183.89</v>
      </c>
      <c r="X207" s="402">
        <v>278</v>
      </c>
      <c r="Y207" s="403">
        <v>72</v>
      </c>
      <c r="Z207" s="403">
        <v>3</v>
      </c>
      <c r="AA207" s="403">
        <v>1</v>
      </c>
      <c r="AB207" s="403">
        <v>2</v>
      </c>
      <c r="AC207" s="403">
        <v>15</v>
      </c>
      <c r="AD207" s="403">
        <v>4724</v>
      </c>
      <c r="AE207" s="403">
        <v>23</v>
      </c>
      <c r="AF207" s="403">
        <v>9</v>
      </c>
      <c r="AG207" s="403">
        <v>32</v>
      </c>
    </row>
    <row r="208" spans="1:33" x14ac:dyDescent="0.3">
      <c r="A208" s="396" t="s">
        <v>474</v>
      </c>
      <c r="B208" s="396" t="s">
        <v>475</v>
      </c>
      <c r="C208" s="403">
        <v>10127</v>
      </c>
      <c r="D208" s="403">
        <v>12</v>
      </c>
      <c r="E208" s="403">
        <v>666</v>
      </c>
      <c r="F208" s="403">
        <v>1104</v>
      </c>
      <c r="G208" s="403">
        <v>535</v>
      </c>
      <c r="H208" s="400">
        <v>12444</v>
      </c>
      <c r="I208" s="400">
        <v>11909</v>
      </c>
      <c r="J208" s="403">
        <v>0</v>
      </c>
      <c r="K208" s="401">
        <v>79.599999999999994</v>
      </c>
      <c r="L208" s="401">
        <v>78.959999999999994</v>
      </c>
      <c r="M208" s="401">
        <v>5.85</v>
      </c>
      <c r="N208" s="401">
        <v>82.71</v>
      </c>
      <c r="O208" s="402">
        <v>8839</v>
      </c>
      <c r="P208" s="401">
        <v>80.819999999999993</v>
      </c>
      <c r="Q208" s="401">
        <v>70.739999999999995</v>
      </c>
      <c r="R208" s="401">
        <v>51.8</v>
      </c>
      <c r="S208" s="401">
        <v>128.76</v>
      </c>
      <c r="T208" s="402">
        <v>1599</v>
      </c>
      <c r="U208" s="401">
        <v>105.53</v>
      </c>
      <c r="V208" s="402">
        <v>1258</v>
      </c>
      <c r="W208" s="401">
        <v>200.65</v>
      </c>
      <c r="X208" s="402">
        <v>81</v>
      </c>
      <c r="Y208" s="403">
        <v>49</v>
      </c>
      <c r="Z208" s="403">
        <v>22</v>
      </c>
      <c r="AA208" s="403">
        <v>5</v>
      </c>
      <c r="AB208" s="403">
        <v>45</v>
      </c>
      <c r="AC208" s="403">
        <v>9</v>
      </c>
      <c r="AD208" s="403">
        <v>10106</v>
      </c>
      <c r="AE208" s="403">
        <v>70</v>
      </c>
      <c r="AF208" s="403">
        <v>145</v>
      </c>
      <c r="AG208" s="403">
        <v>215</v>
      </c>
    </row>
    <row r="209" spans="1:33" x14ac:dyDescent="0.3">
      <c r="A209" s="396" t="s">
        <v>476</v>
      </c>
      <c r="B209" s="396" t="s">
        <v>477</v>
      </c>
      <c r="C209" s="403">
        <v>3745</v>
      </c>
      <c r="D209" s="403">
        <v>0</v>
      </c>
      <c r="E209" s="403">
        <v>314</v>
      </c>
      <c r="F209" s="403">
        <v>491</v>
      </c>
      <c r="G209" s="403">
        <v>930</v>
      </c>
      <c r="H209" s="400">
        <v>5480</v>
      </c>
      <c r="I209" s="400">
        <v>4550</v>
      </c>
      <c r="J209" s="403">
        <v>18</v>
      </c>
      <c r="K209" s="401">
        <v>119.26</v>
      </c>
      <c r="L209" s="401">
        <v>117.06</v>
      </c>
      <c r="M209" s="401">
        <v>9.2899999999999991</v>
      </c>
      <c r="N209" s="401">
        <v>127.99</v>
      </c>
      <c r="O209" s="402">
        <v>2845</v>
      </c>
      <c r="P209" s="401">
        <v>106.9</v>
      </c>
      <c r="Q209" s="401">
        <v>99.64</v>
      </c>
      <c r="R209" s="401">
        <v>82.32</v>
      </c>
      <c r="S209" s="401">
        <v>181.7</v>
      </c>
      <c r="T209" s="402">
        <v>646</v>
      </c>
      <c r="U209" s="401">
        <v>188.24</v>
      </c>
      <c r="V209" s="402">
        <v>510</v>
      </c>
      <c r="W209" s="401">
        <v>140.78</v>
      </c>
      <c r="X209" s="402">
        <v>33</v>
      </c>
      <c r="Y209" s="403">
        <v>0</v>
      </c>
      <c r="Z209" s="403">
        <v>0</v>
      </c>
      <c r="AA209" s="403">
        <v>8</v>
      </c>
      <c r="AB209" s="403">
        <v>0</v>
      </c>
      <c r="AC209" s="403">
        <v>20</v>
      </c>
      <c r="AD209" s="403">
        <v>3574</v>
      </c>
      <c r="AE209" s="403">
        <v>35</v>
      </c>
      <c r="AF209" s="403">
        <v>14</v>
      </c>
      <c r="AG209" s="403">
        <v>49</v>
      </c>
    </row>
    <row r="210" spans="1:33" x14ac:dyDescent="0.3">
      <c r="A210" s="396" t="s">
        <v>478</v>
      </c>
      <c r="B210" s="396" t="s">
        <v>479</v>
      </c>
      <c r="C210" s="403">
        <v>3507</v>
      </c>
      <c r="D210" s="403">
        <v>3</v>
      </c>
      <c r="E210" s="403">
        <v>324</v>
      </c>
      <c r="F210" s="403">
        <v>1097</v>
      </c>
      <c r="G210" s="403">
        <v>864</v>
      </c>
      <c r="H210" s="400">
        <v>5795</v>
      </c>
      <c r="I210" s="400">
        <v>4931</v>
      </c>
      <c r="J210" s="403">
        <v>17</v>
      </c>
      <c r="K210" s="401">
        <v>125.25</v>
      </c>
      <c r="L210" s="401">
        <v>123.56</v>
      </c>
      <c r="M210" s="401">
        <v>12.24</v>
      </c>
      <c r="N210" s="401">
        <v>132.44999999999999</v>
      </c>
      <c r="O210" s="402">
        <v>2849</v>
      </c>
      <c r="P210" s="401">
        <v>105.96</v>
      </c>
      <c r="Q210" s="401">
        <v>98.54</v>
      </c>
      <c r="R210" s="401">
        <v>55.41</v>
      </c>
      <c r="S210" s="401">
        <v>160.52000000000001</v>
      </c>
      <c r="T210" s="402">
        <v>1247</v>
      </c>
      <c r="U210" s="401">
        <v>191.02</v>
      </c>
      <c r="V210" s="402">
        <v>385</v>
      </c>
      <c r="W210" s="401">
        <v>137.52000000000001</v>
      </c>
      <c r="X210" s="402">
        <v>53</v>
      </c>
      <c r="Y210" s="403">
        <v>5</v>
      </c>
      <c r="Z210" s="403">
        <v>1</v>
      </c>
      <c r="AA210" s="403">
        <v>1</v>
      </c>
      <c r="AB210" s="403">
        <v>24</v>
      </c>
      <c r="AC210" s="403">
        <v>18</v>
      </c>
      <c r="AD210" s="403">
        <v>3382</v>
      </c>
      <c r="AE210" s="403">
        <v>27</v>
      </c>
      <c r="AF210" s="403">
        <v>7</v>
      </c>
      <c r="AG210" s="403">
        <v>34</v>
      </c>
    </row>
    <row r="211" spans="1:33" x14ac:dyDescent="0.3">
      <c r="A211" s="396" t="s">
        <v>480</v>
      </c>
      <c r="B211" s="396" t="s">
        <v>481</v>
      </c>
      <c r="C211" s="403">
        <v>11402</v>
      </c>
      <c r="D211" s="403">
        <v>0</v>
      </c>
      <c r="E211" s="403">
        <v>263</v>
      </c>
      <c r="F211" s="403">
        <v>635</v>
      </c>
      <c r="G211" s="403">
        <v>303</v>
      </c>
      <c r="H211" s="400">
        <v>12603</v>
      </c>
      <c r="I211" s="400">
        <v>12300</v>
      </c>
      <c r="J211" s="403">
        <v>4</v>
      </c>
      <c r="K211" s="401">
        <v>88.12</v>
      </c>
      <c r="L211" s="401">
        <v>88.08</v>
      </c>
      <c r="M211" s="401">
        <v>5.13</v>
      </c>
      <c r="N211" s="401">
        <v>90.73</v>
      </c>
      <c r="O211" s="402">
        <v>10795</v>
      </c>
      <c r="P211" s="401">
        <v>86.13</v>
      </c>
      <c r="Q211" s="401">
        <v>76.650000000000006</v>
      </c>
      <c r="R211" s="401">
        <v>53.72</v>
      </c>
      <c r="S211" s="401">
        <v>139.76</v>
      </c>
      <c r="T211" s="402">
        <v>642</v>
      </c>
      <c r="U211" s="401">
        <v>104.81</v>
      </c>
      <c r="V211" s="402">
        <v>404</v>
      </c>
      <c r="W211" s="401">
        <v>139.77000000000001</v>
      </c>
      <c r="X211" s="402">
        <v>163</v>
      </c>
      <c r="Y211" s="403">
        <v>0</v>
      </c>
      <c r="Z211" s="403">
        <v>42</v>
      </c>
      <c r="AA211" s="403">
        <v>3</v>
      </c>
      <c r="AB211" s="403">
        <v>17</v>
      </c>
      <c r="AC211" s="403">
        <v>6</v>
      </c>
      <c r="AD211" s="403">
        <v>11402</v>
      </c>
      <c r="AE211" s="403">
        <v>92</v>
      </c>
      <c r="AF211" s="403">
        <v>104</v>
      </c>
      <c r="AG211" s="403">
        <v>196</v>
      </c>
    </row>
    <row r="212" spans="1:33" x14ac:dyDescent="0.3">
      <c r="A212" s="396" t="s">
        <v>482</v>
      </c>
      <c r="B212" s="396" t="s">
        <v>483</v>
      </c>
      <c r="C212" s="403">
        <v>1917</v>
      </c>
      <c r="D212" s="403">
        <v>0</v>
      </c>
      <c r="E212" s="403">
        <v>174</v>
      </c>
      <c r="F212" s="403">
        <v>181</v>
      </c>
      <c r="G212" s="403">
        <v>262</v>
      </c>
      <c r="H212" s="400">
        <v>2534</v>
      </c>
      <c r="I212" s="400">
        <v>2272</v>
      </c>
      <c r="J212" s="403">
        <v>0</v>
      </c>
      <c r="K212" s="401">
        <v>92.1</v>
      </c>
      <c r="L212" s="401">
        <v>90.66</v>
      </c>
      <c r="M212" s="401">
        <v>4.72</v>
      </c>
      <c r="N212" s="401">
        <v>96.1</v>
      </c>
      <c r="O212" s="402">
        <v>1513</v>
      </c>
      <c r="P212" s="401">
        <v>110.15</v>
      </c>
      <c r="Q212" s="401">
        <v>91.57</v>
      </c>
      <c r="R212" s="401">
        <v>64.95</v>
      </c>
      <c r="S212" s="401">
        <v>170.42</v>
      </c>
      <c r="T212" s="402">
        <v>250</v>
      </c>
      <c r="U212" s="401">
        <v>120.98</v>
      </c>
      <c r="V212" s="402">
        <v>196</v>
      </c>
      <c r="W212" s="401">
        <v>217.42</v>
      </c>
      <c r="X212" s="402">
        <v>44</v>
      </c>
      <c r="Y212" s="403">
        <v>0</v>
      </c>
      <c r="Z212" s="403">
        <v>1</v>
      </c>
      <c r="AA212" s="403">
        <v>1</v>
      </c>
      <c r="AB212" s="403">
        <v>25</v>
      </c>
      <c r="AC212" s="403">
        <v>6</v>
      </c>
      <c r="AD212" s="403">
        <v>1753</v>
      </c>
      <c r="AE212" s="403">
        <v>10</v>
      </c>
      <c r="AF212" s="403">
        <v>2</v>
      </c>
      <c r="AG212" s="403">
        <v>12</v>
      </c>
    </row>
    <row r="213" spans="1:33" x14ac:dyDescent="0.3">
      <c r="A213" s="396" t="s">
        <v>484</v>
      </c>
      <c r="B213" s="396" t="s">
        <v>485</v>
      </c>
      <c r="C213" s="403">
        <v>6247</v>
      </c>
      <c r="D213" s="403">
        <v>0</v>
      </c>
      <c r="E213" s="403">
        <v>431</v>
      </c>
      <c r="F213" s="403">
        <v>530</v>
      </c>
      <c r="G213" s="403">
        <v>926</v>
      </c>
      <c r="H213" s="400">
        <v>8134</v>
      </c>
      <c r="I213" s="400">
        <v>7208</v>
      </c>
      <c r="J213" s="403">
        <v>12</v>
      </c>
      <c r="K213" s="401">
        <v>119.59</v>
      </c>
      <c r="L213" s="401">
        <v>119.15</v>
      </c>
      <c r="M213" s="401">
        <v>4.9800000000000004</v>
      </c>
      <c r="N213" s="401">
        <v>124.36</v>
      </c>
      <c r="O213" s="402">
        <v>5188</v>
      </c>
      <c r="P213" s="401">
        <v>114.16</v>
      </c>
      <c r="Q213" s="401">
        <v>107.66</v>
      </c>
      <c r="R213" s="401">
        <v>30.92</v>
      </c>
      <c r="S213" s="401">
        <v>144.52000000000001</v>
      </c>
      <c r="T213" s="402">
        <v>611</v>
      </c>
      <c r="U213" s="401">
        <v>154.59</v>
      </c>
      <c r="V213" s="402">
        <v>940</v>
      </c>
      <c r="W213" s="401">
        <v>216.09</v>
      </c>
      <c r="X213" s="402">
        <v>63</v>
      </c>
      <c r="Y213" s="403">
        <v>0</v>
      </c>
      <c r="Z213" s="403">
        <v>6</v>
      </c>
      <c r="AA213" s="403">
        <v>0</v>
      </c>
      <c r="AB213" s="403">
        <v>46</v>
      </c>
      <c r="AC213" s="403">
        <v>18</v>
      </c>
      <c r="AD213" s="403">
        <v>6247</v>
      </c>
      <c r="AE213" s="403">
        <v>39</v>
      </c>
      <c r="AF213" s="403">
        <v>26</v>
      </c>
      <c r="AG213" s="403">
        <v>65</v>
      </c>
    </row>
    <row r="214" spans="1:33" x14ac:dyDescent="0.3">
      <c r="A214" s="396" t="s">
        <v>486</v>
      </c>
      <c r="B214" s="396" t="s">
        <v>487</v>
      </c>
      <c r="C214" s="403">
        <v>1329</v>
      </c>
      <c r="D214" s="403">
        <v>0</v>
      </c>
      <c r="E214" s="403">
        <v>86</v>
      </c>
      <c r="F214" s="403">
        <v>739</v>
      </c>
      <c r="G214" s="403">
        <v>453</v>
      </c>
      <c r="H214" s="400">
        <v>2607</v>
      </c>
      <c r="I214" s="400">
        <v>2154</v>
      </c>
      <c r="J214" s="403">
        <v>37</v>
      </c>
      <c r="K214" s="401">
        <v>85.99</v>
      </c>
      <c r="L214" s="401">
        <v>83.03</v>
      </c>
      <c r="M214" s="401">
        <v>3.82</v>
      </c>
      <c r="N214" s="401">
        <v>88.65</v>
      </c>
      <c r="O214" s="402">
        <v>949</v>
      </c>
      <c r="P214" s="401">
        <v>74.58</v>
      </c>
      <c r="Q214" s="401">
        <v>65.92</v>
      </c>
      <c r="R214" s="401">
        <v>19.100000000000001</v>
      </c>
      <c r="S214" s="401">
        <v>93.06</v>
      </c>
      <c r="T214" s="402">
        <v>776</v>
      </c>
      <c r="U214" s="401">
        <v>104.14</v>
      </c>
      <c r="V214" s="402">
        <v>377</v>
      </c>
      <c r="W214" s="401">
        <v>135.75</v>
      </c>
      <c r="X214" s="402">
        <v>12</v>
      </c>
      <c r="Y214" s="403">
        <v>15</v>
      </c>
      <c r="Z214" s="403">
        <v>3</v>
      </c>
      <c r="AA214" s="403">
        <v>3</v>
      </c>
      <c r="AB214" s="403">
        <v>33</v>
      </c>
      <c r="AC214" s="403">
        <v>10</v>
      </c>
      <c r="AD214" s="403">
        <v>1329</v>
      </c>
      <c r="AE214" s="403">
        <v>6</v>
      </c>
      <c r="AF214" s="403">
        <v>9</v>
      </c>
      <c r="AG214" s="403">
        <v>15</v>
      </c>
    </row>
    <row r="215" spans="1:33" x14ac:dyDescent="0.3">
      <c r="A215" s="396" t="s">
        <v>488</v>
      </c>
      <c r="B215" s="396" t="s">
        <v>489</v>
      </c>
      <c r="C215" s="403">
        <v>8826</v>
      </c>
      <c r="D215" s="403">
        <v>6</v>
      </c>
      <c r="E215" s="403">
        <v>278</v>
      </c>
      <c r="F215" s="403">
        <v>819</v>
      </c>
      <c r="G215" s="403">
        <v>469</v>
      </c>
      <c r="H215" s="400">
        <v>10398</v>
      </c>
      <c r="I215" s="400">
        <v>9929</v>
      </c>
      <c r="J215" s="403">
        <v>36</v>
      </c>
      <c r="K215" s="401">
        <v>123.56</v>
      </c>
      <c r="L215" s="401">
        <v>137.61000000000001</v>
      </c>
      <c r="M215" s="401">
        <v>10.46</v>
      </c>
      <c r="N215" s="401">
        <v>130.9</v>
      </c>
      <c r="O215" s="402">
        <v>7840</v>
      </c>
      <c r="P215" s="401">
        <v>121.53</v>
      </c>
      <c r="Q215" s="401">
        <v>118.28</v>
      </c>
      <c r="R215" s="401">
        <v>46.65</v>
      </c>
      <c r="S215" s="401">
        <v>164.63</v>
      </c>
      <c r="T215" s="402">
        <v>1010</v>
      </c>
      <c r="U215" s="401">
        <v>201.28</v>
      </c>
      <c r="V215" s="402">
        <v>834</v>
      </c>
      <c r="W215" s="401">
        <v>257.47000000000003</v>
      </c>
      <c r="X215" s="402">
        <v>4</v>
      </c>
      <c r="Y215" s="403">
        <v>2</v>
      </c>
      <c r="Z215" s="403">
        <v>1</v>
      </c>
      <c r="AA215" s="403">
        <v>1</v>
      </c>
      <c r="AB215" s="403">
        <v>0</v>
      </c>
      <c r="AC215" s="403">
        <v>12</v>
      </c>
      <c r="AD215" s="403">
        <v>8774</v>
      </c>
      <c r="AE215" s="403">
        <v>19</v>
      </c>
      <c r="AF215" s="403">
        <v>45</v>
      </c>
      <c r="AG215" s="403">
        <v>64</v>
      </c>
    </row>
    <row r="216" spans="1:33" x14ac:dyDescent="0.3">
      <c r="A216" s="396" t="s">
        <v>490</v>
      </c>
      <c r="B216" s="396" t="s">
        <v>491</v>
      </c>
      <c r="C216" s="403">
        <v>726</v>
      </c>
      <c r="D216" s="403">
        <v>0</v>
      </c>
      <c r="E216" s="403">
        <v>119</v>
      </c>
      <c r="F216" s="403">
        <v>96</v>
      </c>
      <c r="G216" s="403">
        <v>59</v>
      </c>
      <c r="H216" s="400">
        <v>1000</v>
      </c>
      <c r="I216" s="400">
        <v>941</v>
      </c>
      <c r="J216" s="403">
        <v>2</v>
      </c>
      <c r="K216" s="401">
        <v>92.28</v>
      </c>
      <c r="L216" s="401">
        <v>88.52</v>
      </c>
      <c r="M216" s="401">
        <v>3.99</v>
      </c>
      <c r="N216" s="401">
        <v>95.28</v>
      </c>
      <c r="O216" s="402">
        <v>530</v>
      </c>
      <c r="P216" s="401">
        <v>101.61</v>
      </c>
      <c r="Q216" s="401">
        <v>94.53</v>
      </c>
      <c r="R216" s="401">
        <v>116.98</v>
      </c>
      <c r="S216" s="401">
        <v>218.59</v>
      </c>
      <c r="T216" s="402">
        <v>84</v>
      </c>
      <c r="U216" s="401">
        <v>105.44</v>
      </c>
      <c r="V216" s="402">
        <v>174</v>
      </c>
      <c r="W216" s="401">
        <v>210.67</v>
      </c>
      <c r="X216" s="402">
        <v>121</v>
      </c>
      <c r="Y216" s="403">
        <v>0</v>
      </c>
      <c r="Z216" s="403">
        <v>0</v>
      </c>
      <c r="AA216" s="403">
        <v>1</v>
      </c>
      <c r="AB216" s="403">
        <v>4</v>
      </c>
      <c r="AC216" s="403">
        <v>0</v>
      </c>
      <c r="AD216" s="403">
        <v>726</v>
      </c>
      <c r="AE216" s="403">
        <v>3</v>
      </c>
      <c r="AF216" s="403">
        <v>6</v>
      </c>
      <c r="AG216" s="403">
        <v>9</v>
      </c>
    </row>
    <row r="217" spans="1:33" x14ac:dyDescent="0.3">
      <c r="A217" s="396" t="s">
        <v>492</v>
      </c>
      <c r="B217" s="396" t="s">
        <v>493</v>
      </c>
      <c r="C217" s="403">
        <v>18025</v>
      </c>
      <c r="D217" s="403">
        <v>0</v>
      </c>
      <c r="E217" s="403">
        <v>686</v>
      </c>
      <c r="F217" s="403">
        <v>2018</v>
      </c>
      <c r="G217" s="403">
        <v>228</v>
      </c>
      <c r="H217" s="400">
        <v>20957</v>
      </c>
      <c r="I217" s="400">
        <v>20729</v>
      </c>
      <c r="J217" s="403">
        <v>8</v>
      </c>
      <c r="K217" s="401">
        <v>76.33</v>
      </c>
      <c r="L217" s="401">
        <v>76.44</v>
      </c>
      <c r="M217" s="401">
        <v>5.07</v>
      </c>
      <c r="N217" s="401">
        <v>80.849999999999994</v>
      </c>
      <c r="O217" s="402">
        <v>15941</v>
      </c>
      <c r="P217" s="401">
        <v>76.97</v>
      </c>
      <c r="Q217" s="401">
        <v>70.58</v>
      </c>
      <c r="R217" s="401">
        <v>43.75</v>
      </c>
      <c r="S217" s="401">
        <v>118.82</v>
      </c>
      <c r="T217" s="402">
        <v>2466</v>
      </c>
      <c r="U217" s="401">
        <v>99.55</v>
      </c>
      <c r="V217" s="402">
        <v>1981</v>
      </c>
      <c r="W217" s="401">
        <v>243.35</v>
      </c>
      <c r="X217" s="402">
        <v>37</v>
      </c>
      <c r="Y217" s="403">
        <v>0</v>
      </c>
      <c r="Z217" s="403">
        <v>114</v>
      </c>
      <c r="AA217" s="403">
        <v>10</v>
      </c>
      <c r="AB217" s="403">
        <v>24</v>
      </c>
      <c r="AC217" s="403">
        <v>6</v>
      </c>
      <c r="AD217" s="403">
        <v>17873</v>
      </c>
      <c r="AE217" s="403">
        <v>67</v>
      </c>
      <c r="AF217" s="403">
        <v>210</v>
      </c>
      <c r="AG217" s="403">
        <v>277</v>
      </c>
    </row>
    <row r="218" spans="1:33" x14ac:dyDescent="0.3">
      <c r="A218" s="396" t="s">
        <v>494</v>
      </c>
      <c r="B218" s="396" t="s">
        <v>495</v>
      </c>
      <c r="C218" s="403">
        <v>2300</v>
      </c>
      <c r="D218" s="403">
        <v>0</v>
      </c>
      <c r="E218" s="403">
        <v>63</v>
      </c>
      <c r="F218" s="403">
        <v>698</v>
      </c>
      <c r="G218" s="403">
        <v>290</v>
      </c>
      <c r="H218" s="400">
        <v>3351</v>
      </c>
      <c r="I218" s="400">
        <v>3061</v>
      </c>
      <c r="J218" s="403">
        <v>6</v>
      </c>
      <c r="K218" s="401">
        <v>100.77</v>
      </c>
      <c r="L218" s="401">
        <v>100.9</v>
      </c>
      <c r="M218" s="401">
        <v>8.15</v>
      </c>
      <c r="N218" s="401">
        <v>105.17</v>
      </c>
      <c r="O218" s="402">
        <v>1757</v>
      </c>
      <c r="P218" s="401">
        <v>89.92</v>
      </c>
      <c r="Q218" s="401">
        <v>86.36</v>
      </c>
      <c r="R218" s="401">
        <v>45.74</v>
      </c>
      <c r="S218" s="401">
        <v>135.54</v>
      </c>
      <c r="T218" s="402">
        <v>755</v>
      </c>
      <c r="U218" s="401">
        <v>149.29</v>
      </c>
      <c r="V218" s="402">
        <v>538</v>
      </c>
      <c r="W218" s="401">
        <v>0</v>
      </c>
      <c r="X218" s="402">
        <v>0</v>
      </c>
      <c r="Y218" s="403">
        <v>0</v>
      </c>
      <c r="Z218" s="403">
        <v>1</v>
      </c>
      <c r="AA218" s="403">
        <v>5</v>
      </c>
      <c r="AB218" s="403">
        <v>31</v>
      </c>
      <c r="AC218" s="403">
        <v>1</v>
      </c>
      <c r="AD218" s="403">
        <v>2300</v>
      </c>
      <c r="AE218" s="403">
        <v>10</v>
      </c>
      <c r="AF218" s="403">
        <v>12</v>
      </c>
      <c r="AG218" s="403">
        <v>22</v>
      </c>
    </row>
    <row r="219" spans="1:33" x14ac:dyDescent="0.3">
      <c r="A219" s="396" t="s">
        <v>496</v>
      </c>
      <c r="B219" s="396" t="s">
        <v>497</v>
      </c>
      <c r="C219" s="403">
        <v>4189</v>
      </c>
      <c r="D219" s="403">
        <v>0</v>
      </c>
      <c r="E219" s="403">
        <v>106</v>
      </c>
      <c r="F219" s="403">
        <v>378</v>
      </c>
      <c r="G219" s="403">
        <v>40</v>
      </c>
      <c r="H219" s="400">
        <v>4713</v>
      </c>
      <c r="I219" s="400">
        <v>4673</v>
      </c>
      <c r="J219" s="403">
        <v>5</v>
      </c>
      <c r="K219" s="401">
        <v>74.53</v>
      </c>
      <c r="L219" s="401">
        <v>72.14</v>
      </c>
      <c r="M219" s="401">
        <v>4.8899999999999997</v>
      </c>
      <c r="N219" s="401">
        <v>75.05</v>
      </c>
      <c r="O219" s="402">
        <v>3627</v>
      </c>
      <c r="P219" s="401">
        <v>90.21</v>
      </c>
      <c r="Q219" s="401">
        <v>80.34</v>
      </c>
      <c r="R219" s="401">
        <v>46.49</v>
      </c>
      <c r="S219" s="401">
        <v>132.03</v>
      </c>
      <c r="T219" s="402">
        <v>438</v>
      </c>
      <c r="U219" s="401">
        <v>93.18</v>
      </c>
      <c r="V219" s="402">
        <v>552</v>
      </c>
      <c r="W219" s="401">
        <v>0</v>
      </c>
      <c r="X219" s="402">
        <v>0</v>
      </c>
      <c r="Y219" s="403">
        <v>0</v>
      </c>
      <c r="Z219" s="403">
        <v>13</v>
      </c>
      <c r="AA219" s="403">
        <v>1</v>
      </c>
      <c r="AB219" s="403">
        <v>0</v>
      </c>
      <c r="AC219" s="403">
        <v>3</v>
      </c>
      <c r="AD219" s="403">
        <v>4184</v>
      </c>
      <c r="AE219" s="403">
        <v>15</v>
      </c>
      <c r="AF219" s="403">
        <v>22</v>
      </c>
      <c r="AG219" s="403">
        <v>37</v>
      </c>
    </row>
    <row r="220" spans="1:33" x14ac:dyDescent="0.3">
      <c r="A220" s="396" t="s">
        <v>498</v>
      </c>
      <c r="B220" s="396" t="s">
        <v>499</v>
      </c>
      <c r="C220" s="403">
        <v>3733</v>
      </c>
      <c r="D220" s="403">
        <v>0</v>
      </c>
      <c r="E220" s="403">
        <v>80</v>
      </c>
      <c r="F220" s="403">
        <v>685</v>
      </c>
      <c r="G220" s="403">
        <v>344</v>
      </c>
      <c r="H220" s="400">
        <v>4842</v>
      </c>
      <c r="I220" s="400">
        <v>4498</v>
      </c>
      <c r="J220" s="403">
        <v>10</v>
      </c>
      <c r="K220" s="401">
        <v>97.11</v>
      </c>
      <c r="L220" s="401">
        <v>95.51</v>
      </c>
      <c r="M220" s="401">
        <v>3.31</v>
      </c>
      <c r="N220" s="401">
        <v>99.83</v>
      </c>
      <c r="O220" s="402">
        <v>3147</v>
      </c>
      <c r="P220" s="401">
        <v>87.77</v>
      </c>
      <c r="Q220" s="401">
        <v>80.08</v>
      </c>
      <c r="R220" s="401">
        <v>41.44</v>
      </c>
      <c r="S220" s="401">
        <v>129.13999999999999</v>
      </c>
      <c r="T220" s="402">
        <v>621</v>
      </c>
      <c r="U220" s="401">
        <v>123.54</v>
      </c>
      <c r="V220" s="402">
        <v>583</v>
      </c>
      <c r="W220" s="401">
        <v>132.29</v>
      </c>
      <c r="X220" s="402">
        <v>14</v>
      </c>
      <c r="Y220" s="403">
        <v>0</v>
      </c>
      <c r="Z220" s="403">
        <v>2</v>
      </c>
      <c r="AA220" s="403">
        <v>22</v>
      </c>
      <c r="AB220" s="403">
        <v>49</v>
      </c>
      <c r="AC220" s="403">
        <v>2</v>
      </c>
      <c r="AD220" s="403">
        <v>3733</v>
      </c>
      <c r="AE220" s="403">
        <v>17</v>
      </c>
      <c r="AF220" s="403">
        <v>10</v>
      </c>
      <c r="AG220" s="403">
        <v>27</v>
      </c>
    </row>
    <row r="221" spans="1:33" x14ac:dyDescent="0.3">
      <c r="A221" s="396" t="s">
        <v>500</v>
      </c>
      <c r="B221" s="396" t="s">
        <v>501</v>
      </c>
      <c r="C221" s="403">
        <v>3446</v>
      </c>
      <c r="D221" s="403">
        <v>0</v>
      </c>
      <c r="E221" s="403">
        <v>442</v>
      </c>
      <c r="F221" s="403">
        <v>859</v>
      </c>
      <c r="G221" s="403">
        <v>338</v>
      </c>
      <c r="H221" s="400">
        <v>5085</v>
      </c>
      <c r="I221" s="400">
        <v>4747</v>
      </c>
      <c r="J221" s="403">
        <v>2</v>
      </c>
      <c r="K221" s="401">
        <v>82.61</v>
      </c>
      <c r="L221" s="401">
        <v>81.040000000000006</v>
      </c>
      <c r="M221" s="401">
        <v>7.92</v>
      </c>
      <c r="N221" s="401">
        <v>86.86</v>
      </c>
      <c r="O221" s="402">
        <v>2769</v>
      </c>
      <c r="P221" s="401">
        <v>91.39</v>
      </c>
      <c r="Q221" s="401">
        <v>75.709999999999994</v>
      </c>
      <c r="R221" s="401">
        <v>43.87</v>
      </c>
      <c r="S221" s="401">
        <v>132.47999999999999</v>
      </c>
      <c r="T221" s="402">
        <v>1262</v>
      </c>
      <c r="U221" s="401">
        <v>100.6</v>
      </c>
      <c r="V221" s="402">
        <v>561</v>
      </c>
      <c r="W221" s="401">
        <v>142.28</v>
      </c>
      <c r="X221" s="402">
        <v>25</v>
      </c>
      <c r="Y221" s="403">
        <v>1</v>
      </c>
      <c r="Z221" s="403">
        <v>0</v>
      </c>
      <c r="AA221" s="403">
        <v>13</v>
      </c>
      <c r="AB221" s="403">
        <v>18</v>
      </c>
      <c r="AC221" s="403">
        <v>6</v>
      </c>
      <c r="AD221" s="403">
        <v>3389</v>
      </c>
      <c r="AE221" s="403">
        <v>30</v>
      </c>
      <c r="AF221" s="403">
        <v>10</v>
      </c>
      <c r="AG221" s="403">
        <v>40</v>
      </c>
    </row>
    <row r="222" spans="1:33" x14ac:dyDescent="0.3">
      <c r="A222" s="396" t="s">
        <v>502</v>
      </c>
      <c r="B222" s="396" t="s">
        <v>503</v>
      </c>
      <c r="C222" s="403">
        <v>2585</v>
      </c>
      <c r="D222" s="403">
        <v>0</v>
      </c>
      <c r="E222" s="403">
        <v>41</v>
      </c>
      <c r="F222" s="403">
        <v>234</v>
      </c>
      <c r="G222" s="403">
        <v>703</v>
      </c>
      <c r="H222" s="400">
        <v>3563</v>
      </c>
      <c r="I222" s="400">
        <v>2860</v>
      </c>
      <c r="J222" s="403">
        <v>7</v>
      </c>
      <c r="K222" s="401">
        <v>100.62</v>
      </c>
      <c r="L222" s="401">
        <v>98.28</v>
      </c>
      <c r="M222" s="401">
        <v>6.06</v>
      </c>
      <c r="N222" s="401">
        <v>105.11</v>
      </c>
      <c r="O222" s="402">
        <v>2189</v>
      </c>
      <c r="P222" s="401">
        <v>87.9</v>
      </c>
      <c r="Q222" s="401">
        <v>79.61</v>
      </c>
      <c r="R222" s="401">
        <v>35.78</v>
      </c>
      <c r="S222" s="401">
        <v>122.75</v>
      </c>
      <c r="T222" s="402">
        <v>154</v>
      </c>
      <c r="U222" s="401">
        <v>129.41</v>
      </c>
      <c r="V222" s="402">
        <v>357</v>
      </c>
      <c r="W222" s="401">
        <v>204.25</v>
      </c>
      <c r="X222" s="402">
        <v>77</v>
      </c>
      <c r="Y222" s="403">
        <v>15</v>
      </c>
      <c r="Z222" s="403">
        <v>2</v>
      </c>
      <c r="AA222" s="403">
        <v>1</v>
      </c>
      <c r="AB222" s="403">
        <v>99</v>
      </c>
      <c r="AC222" s="403">
        <v>12</v>
      </c>
      <c r="AD222" s="403">
        <v>2548</v>
      </c>
      <c r="AE222" s="403">
        <v>21</v>
      </c>
      <c r="AF222" s="403">
        <v>32</v>
      </c>
      <c r="AG222" s="403">
        <v>53</v>
      </c>
    </row>
    <row r="223" spans="1:33" x14ac:dyDescent="0.3">
      <c r="A223" s="396" t="s">
        <v>504</v>
      </c>
      <c r="B223" s="396" t="s">
        <v>505</v>
      </c>
      <c r="C223" s="403">
        <v>1352</v>
      </c>
      <c r="D223" s="403">
        <v>282</v>
      </c>
      <c r="E223" s="403">
        <v>60</v>
      </c>
      <c r="F223" s="403">
        <v>286</v>
      </c>
      <c r="G223" s="403">
        <v>401</v>
      </c>
      <c r="H223" s="400">
        <v>2381</v>
      </c>
      <c r="I223" s="400">
        <v>1980</v>
      </c>
      <c r="J223" s="403">
        <v>19</v>
      </c>
      <c r="K223" s="401">
        <v>121.62</v>
      </c>
      <c r="L223" s="401">
        <v>118.51</v>
      </c>
      <c r="M223" s="401">
        <v>9.84</v>
      </c>
      <c r="N223" s="401">
        <v>130.29</v>
      </c>
      <c r="O223" s="402">
        <v>853</v>
      </c>
      <c r="P223" s="401">
        <v>116.6</v>
      </c>
      <c r="Q223" s="401">
        <v>107.35</v>
      </c>
      <c r="R223" s="401">
        <v>24.17</v>
      </c>
      <c r="S223" s="401">
        <v>140.15</v>
      </c>
      <c r="T223" s="402">
        <v>312</v>
      </c>
      <c r="U223" s="401">
        <v>203.74</v>
      </c>
      <c r="V223" s="402">
        <v>273</v>
      </c>
      <c r="W223" s="401">
        <v>157.24</v>
      </c>
      <c r="X223" s="402">
        <v>32</v>
      </c>
      <c r="Y223" s="403">
        <v>0</v>
      </c>
      <c r="Z223" s="403">
        <v>0</v>
      </c>
      <c r="AA223" s="403">
        <v>0</v>
      </c>
      <c r="AB223" s="403">
        <v>10</v>
      </c>
      <c r="AC223" s="403">
        <v>9</v>
      </c>
      <c r="AD223" s="403">
        <v>1303</v>
      </c>
      <c r="AE223" s="403">
        <v>20</v>
      </c>
      <c r="AF223" s="403">
        <v>4</v>
      </c>
      <c r="AG223" s="403">
        <v>24</v>
      </c>
    </row>
    <row r="224" spans="1:33" x14ac:dyDescent="0.3">
      <c r="A224" s="396" t="s">
        <v>506</v>
      </c>
      <c r="B224" s="396" t="s">
        <v>507</v>
      </c>
      <c r="C224" s="403">
        <v>2976</v>
      </c>
      <c r="D224" s="403">
        <v>0</v>
      </c>
      <c r="E224" s="403">
        <v>94</v>
      </c>
      <c r="F224" s="403">
        <v>1384</v>
      </c>
      <c r="G224" s="403">
        <v>486</v>
      </c>
      <c r="H224" s="400">
        <v>4940</v>
      </c>
      <c r="I224" s="400">
        <v>4454</v>
      </c>
      <c r="J224" s="403">
        <v>28</v>
      </c>
      <c r="K224" s="401">
        <v>96.85</v>
      </c>
      <c r="L224" s="401">
        <v>97.2</v>
      </c>
      <c r="M224" s="401">
        <v>4.76</v>
      </c>
      <c r="N224" s="401">
        <v>98.71</v>
      </c>
      <c r="O224" s="402">
        <v>2673</v>
      </c>
      <c r="P224" s="401">
        <v>95.58</v>
      </c>
      <c r="Q224" s="401">
        <v>85.43</v>
      </c>
      <c r="R224" s="401">
        <v>20.100000000000001</v>
      </c>
      <c r="S224" s="401">
        <v>115.42</v>
      </c>
      <c r="T224" s="402">
        <v>1466</v>
      </c>
      <c r="U224" s="401">
        <v>111.59</v>
      </c>
      <c r="V224" s="402">
        <v>299</v>
      </c>
      <c r="W224" s="401">
        <v>122.3</v>
      </c>
      <c r="X224" s="402">
        <v>11</v>
      </c>
      <c r="Y224" s="403">
        <v>99</v>
      </c>
      <c r="Z224" s="403">
        <v>4</v>
      </c>
      <c r="AA224" s="403">
        <v>0</v>
      </c>
      <c r="AB224" s="403">
        <v>59</v>
      </c>
      <c r="AC224" s="403">
        <v>15</v>
      </c>
      <c r="AD224" s="403">
        <v>2976</v>
      </c>
      <c r="AE224" s="403">
        <v>19</v>
      </c>
      <c r="AF224" s="403">
        <v>8</v>
      </c>
      <c r="AG224" s="403">
        <v>27</v>
      </c>
    </row>
    <row r="225" spans="1:33" x14ac:dyDescent="0.3">
      <c r="A225" s="396" t="s">
        <v>508</v>
      </c>
      <c r="B225" s="396" t="s">
        <v>509</v>
      </c>
      <c r="C225" s="403">
        <v>5708</v>
      </c>
      <c r="D225" s="403">
        <v>16</v>
      </c>
      <c r="E225" s="403">
        <v>231</v>
      </c>
      <c r="F225" s="403">
        <v>648</v>
      </c>
      <c r="G225" s="403">
        <v>569</v>
      </c>
      <c r="H225" s="400">
        <v>7172</v>
      </c>
      <c r="I225" s="400">
        <v>6603</v>
      </c>
      <c r="J225" s="403">
        <v>9</v>
      </c>
      <c r="K225" s="401">
        <v>112.2</v>
      </c>
      <c r="L225" s="401">
        <v>107.77</v>
      </c>
      <c r="M225" s="401">
        <v>9.0500000000000007</v>
      </c>
      <c r="N225" s="401">
        <v>117.2</v>
      </c>
      <c r="O225" s="402">
        <v>4415</v>
      </c>
      <c r="P225" s="401">
        <v>99.57</v>
      </c>
      <c r="Q225" s="401">
        <v>89.75</v>
      </c>
      <c r="R225" s="401">
        <v>44.74</v>
      </c>
      <c r="S225" s="401">
        <v>143.38999999999999</v>
      </c>
      <c r="T225" s="402">
        <v>831</v>
      </c>
      <c r="U225" s="401">
        <v>159.68</v>
      </c>
      <c r="V225" s="402">
        <v>1126</v>
      </c>
      <c r="W225" s="401">
        <v>160.82</v>
      </c>
      <c r="X225" s="402">
        <v>39</v>
      </c>
      <c r="Y225" s="403">
        <v>0</v>
      </c>
      <c r="Z225" s="403">
        <v>1</v>
      </c>
      <c r="AA225" s="403">
        <v>1</v>
      </c>
      <c r="AB225" s="403">
        <v>0</v>
      </c>
      <c r="AC225" s="403">
        <v>20</v>
      </c>
      <c r="AD225" s="403">
        <v>5392</v>
      </c>
      <c r="AE225" s="403">
        <v>31</v>
      </c>
      <c r="AF225" s="403">
        <v>41</v>
      </c>
      <c r="AG225" s="403">
        <v>72</v>
      </c>
    </row>
    <row r="226" spans="1:33" x14ac:dyDescent="0.3">
      <c r="A226" s="396" t="s">
        <v>510</v>
      </c>
      <c r="B226" s="396" t="s">
        <v>511</v>
      </c>
      <c r="C226" s="403">
        <v>1505</v>
      </c>
      <c r="D226" s="403">
        <v>0</v>
      </c>
      <c r="E226" s="403">
        <v>42</v>
      </c>
      <c r="F226" s="403">
        <v>287</v>
      </c>
      <c r="G226" s="403">
        <v>215</v>
      </c>
      <c r="H226" s="400">
        <v>2049</v>
      </c>
      <c r="I226" s="400">
        <v>1834</v>
      </c>
      <c r="J226" s="403">
        <v>6</v>
      </c>
      <c r="K226" s="401">
        <v>91.1</v>
      </c>
      <c r="L226" s="401">
        <v>94.81</v>
      </c>
      <c r="M226" s="401">
        <v>6.33</v>
      </c>
      <c r="N226" s="401">
        <v>93.72</v>
      </c>
      <c r="O226" s="402">
        <v>1251</v>
      </c>
      <c r="P226" s="401">
        <v>88.61</v>
      </c>
      <c r="Q226" s="401">
        <v>81.16</v>
      </c>
      <c r="R226" s="401">
        <v>38.909999999999997</v>
      </c>
      <c r="S226" s="401">
        <v>121.01</v>
      </c>
      <c r="T226" s="402">
        <v>227</v>
      </c>
      <c r="U226" s="401">
        <v>113.63</v>
      </c>
      <c r="V226" s="402">
        <v>223</v>
      </c>
      <c r="W226" s="401">
        <v>0</v>
      </c>
      <c r="X226" s="402">
        <v>0</v>
      </c>
      <c r="Y226" s="403">
        <v>0</v>
      </c>
      <c r="Z226" s="403">
        <v>4</v>
      </c>
      <c r="AA226" s="403">
        <v>0</v>
      </c>
      <c r="AB226" s="403">
        <v>8</v>
      </c>
      <c r="AC226" s="403">
        <v>1</v>
      </c>
      <c r="AD226" s="403">
        <v>1492</v>
      </c>
      <c r="AE226" s="403">
        <v>5</v>
      </c>
      <c r="AF226" s="403">
        <v>1</v>
      </c>
      <c r="AG226" s="403">
        <v>6</v>
      </c>
    </row>
    <row r="227" spans="1:33" x14ac:dyDescent="0.3">
      <c r="A227" s="396" t="s">
        <v>512</v>
      </c>
      <c r="B227" s="396" t="s">
        <v>513</v>
      </c>
      <c r="C227" s="403">
        <v>3155</v>
      </c>
      <c r="D227" s="403">
        <v>0</v>
      </c>
      <c r="E227" s="403">
        <v>38</v>
      </c>
      <c r="F227" s="403">
        <v>145</v>
      </c>
      <c r="G227" s="403">
        <v>99</v>
      </c>
      <c r="H227" s="400">
        <v>3437</v>
      </c>
      <c r="I227" s="400">
        <v>3338</v>
      </c>
      <c r="J227" s="403">
        <v>4</v>
      </c>
      <c r="K227" s="401">
        <v>91.05</v>
      </c>
      <c r="L227" s="401">
        <v>86.84</v>
      </c>
      <c r="M227" s="401">
        <v>3.58</v>
      </c>
      <c r="N227" s="401">
        <v>92.49</v>
      </c>
      <c r="O227" s="402">
        <v>2015</v>
      </c>
      <c r="P227" s="401">
        <v>79.73</v>
      </c>
      <c r="Q227" s="401">
        <v>76.86</v>
      </c>
      <c r="R227" s="401">
        <v>52.62</v>
      </c>
      <c r="S227" s="401">
        <v>131.63</v>
      </c>
      <c r="T227" s="402">
        <v>146</v>
      </c>
      <c r="U227" s="401">
        <v>99.81</v>
      </c>
      <c r="V227" s="402">
        <v>1056</v>
      </c>
      <c r="W227" s="401">
        <v>175.94</v>
      </c>
      <c r="X227" s="402">
        <v>21</v>
      </c>
      <c r="Y227" s="403">
        <v>0</v>
      </c>
      <c r="Z227" s="403">
        <v>0</v>
      </c>
      <c r="AA227" s="403">
        <v>6</v>
      </c>
      <c r="AB227" s="403">
        <v>36</v>
      </c>
      <c r="AC227" s="403">
        <v>0</v>
      </c>
      <c r="AD227" s="403">
        <v>3130</v>
      </c>
      <c r="AE227" s="403">
        <v>102</v>
      </c>
      <c r="AF227" s="403">
        <v>10</v>
      </c>
      <c r="AG227" s="403">
        <v>112</v>
      </c>
    </row>
    <row r="228" spans="1:33" x14ac:dyDescent="0.3">
      <c r="A228" s="396" t="s">
        <v>514</v>
      </c>
      <c r="B228" s="396" t="s">
        <v>515</v>
      </c>
      <c r="C228" s="403">
        <v>26928</v>
      </c>
      <c r="D228" s="403">
        <v>14</v>
      </c>
      <c r="E228" s="403">
        <v>1604</v>
      </c>
      <c r="F228" s="403">
        <v>1364</v>
      </c>
      <c r="G228" s="403">
        <v>406</v>
      </c>
      <c r="H228" s="400">
        <v>30316</v>
      </c>
      <c r="I228" s="400">
        <v>29910</v>
      </c>
      <c r="J228" s="403">
        <v>11</v>
      </c>
      <c r="K228" s="401">
        <v>78.97</v>
      </c>
      <c r="L228" s="401">
        <v>78.89</v>
      </c>
      <c r="M228" s="401">
        <v>8.1300000000000008</v>
      </c>
      <c r="N228" s="401">
        <v>82.74</v>
      </c>
      <c r="O228" s="402">
        <v>24357</v>
      </c>
      <c r="P228" s="401">
        <v>81.150000000000006</v>
      </c>
      <c r="Q228" s="401">
        <v>74.34</v>
      </c>
      <c r="R228" s="401">
        <v>37.520000000000003</v>
      </c>
      <c r="S228" s="401">
        <v>117.77</v>
      </c>
      <c r="T228" s="402">
        <v>2659</v>
      </c>
      <c r="U228" s="401">
        <v>111.53</v>
      </c>
      <c r="V228" s="402">
        <v>2355</v>
      </c>
      <c r="W228" s="401">
        <v>164.55</v>
      </c>
      <c r="X228" s="402">
        <v>65</v>
      </c>
      <c r="Y228" s="403">
        <v>0</v>
      </c>
      <c r="Z228" s="403">
        <v>92</v>
      </c>
      <c r="AA228" s="403">
        <v>20</v>
      </c>
      <c r="AB228" s="403">
        <v>40</v>
      </c>
      <c r="AC228" s="403">
        <v>15</v>
      </c>
      <c r="AD228" s="403">
        <v>26823</v>
      </c>
      <c r="AE228" s="403">
        <v>101</v>
      </c>
      <c r="AF228" s="403">
        <v>188</v>
      </c>
      <c r="AG228" s="403">
        <v>289</v>
      </c>
    </row>
    <row r="229" spans="1:33" x14ac:dyDescent="0.3">
      <c r="A229" s="396" t="s">
        <v>516</v>
      </c>
      <c r="B229" s="396" t="s">
        <v>517</v>
      </c>
      <c r="C229" s="403">
        <v>5845</v>
      </c>
      <c r="D229" s="403">
        <v>13</v>
      </c>
      <c r="E229" s="403">
        <v>459</v>
      </c>
      <c r="F229" s="403">
        <v>1039</v>
      </c>
      <c r="G229" s="403">
        <v>516</v>
      </c>
      <c r="H229" s="400">
        <v>7872</v>
      </c>
      <c r="I229" s="400">
        <v>7356</v>
      </c>
      <c r="J229" s="403">
        <v>18</v>
      </c>
      <c r="K229" s="401">
        <v>90.17</v>
      </c>
      <c r="L229" s="401">
        <v>88.06</v>
      </c>
      <c r="M229" s="401">
        <v>7.55</v>
      </c>
      <c r="N229" s="401">
        <v>96.08</v>
      </c>
      <c r="O229" s="402">
        <v>4497</v>
      </c>
      <c r="P229" s="401">
        <v>92.34</v>
      </c>
      <c r="Q229" s="401">
        <v>81.540000000000006</v>
      </c>
      <c r="R229" s="401">
        <v>51.85</v>
      </c>
      <c r="S229" s="401">
        <v>141.91</v>
      </c>
      <c r="T229" s="402">
        <v>1024</v>
      </c>
      <c r="U229" s="401">
        <v>113.17</v>
      </c>
      <c r="V229" s="402">
        <v>845</v>
      </c>
      <c r="W229" s="401">
        <v>193.04</v>
      </c>
      <c r="X229" s="402">
        <v>292</v>
      </c>
      <c r="Y229" s="403">
        <v>0</v>
      </c>
      <c r="Z229" s="403">
        <v>8</v>
      </c>
      <c r="AA229" s="403">
        <v>3</v>
      </c>
      <c r="AB229" s="403">
        <v>23</v>
      </c>
      <c r="AC229" s="403">
        <v>12</v>
      </c>
      <c r="AD229" s="403">
        <v>5616</v>
      </c>
      <c r="AE229" s="403">
        <v>50</v>
      </c>
      <c r="AF229" s="403">
        <v>26</v>
      </c>
      <c r="AG229" s="403">
        <v>76</v>
      </c>
    </row>
    <row r="230" spans="1:33" x14ac:dyDescent="0.3">
      <c r="A230" s="396" t="s">
        <v>518</v>
      </c>
      <c r="B230" s="396" t="s">
        <v>519</v>
      </c>
      <c r="C230" s="403">
        <v>6223</v>
      </c>
      <c r="D230" s="403">
        <v>0</v>
      </c>
      <c r="E230" s="403">
        <v>206</v>
      </c>
      <c r="F230" s="403">
        <v>631</v>
      </c>
      <c r="G230" s="403">
        <v>357</v>
      </c>
      <c r="H230" s="400">
        <v>7417</v>
      </c>
      <c r="I230" s="400">
        <v>7060</v>
      </c>
      <c r="J230" s="403">
        <v>7</v>
      </c>
      <c r="K230" s="401">
        <v>84.84</v>
      </c>
      <c r="L230" s="401">
        <v>84.19</v>
      </c>
      <c r="M230" s="401">
        <v>3.7</v>
      </c>
      <c r="N230" s="401">
        <v>86.39</v>
      </c>
      <c r="O230" s="402">
        <v>5409</v>
      </c>
      <c r="P230" s="401">
        <v>94.36</v>
      </c>
      <c r="Q230" s="401">
        <v>83.32</v>
      </c>
      <c r="R230" s="401">
        <v>46</v>
      </c>
      <c r="S230" s="401">
        <v>139.75</v>
      </c>
      <c r="T230" s="402">
        <v>672</v>
      </c>
      <c r="U230" s="401">
        <v>105.06</v>
      </c>
      <c r="V230" s="402">
        <v>802</v>
      </c>
      <c r="W230" s="401">
        <v>207.52</v>
      </c>
      <c r="X230" s="402">
        <v>70</v>
      </c>
      <c r="Y230" s="403">
        <v>1</v>
      </c>
      <c r="Z230" s="403">
        <v>14</v>
      </c>
      <c r="AA230" s="403">
        <v>9</v>
      </c>
      <c r="AB230" s="403">
        <v>18</v>
      </c>
      <c r="AC230" s="403">
        <v>7</v>
      </c>
      <c r="AD230" s="403">
        <v>6180</v>
      </c>
      <c r="AE230" s="403">
        <v>34</v>
      </c>
      <c r="AF230" s="403">
        <v>60</v>
      </c>
      <c r="AG230" s="403">
        <v>94</v>
      </c>
    </row>
    <row r="231" spans="1:33" x14ac:dyDescent="0.3">
      <c r="A231" s="396" t="s">
        <v>520</v>
      </c>
      <c r="B231" s="396" t="s">
        <v>521</v>
      </c>
      <c r="C231" s="403">
        <v>2961</v>
      </c>
      <c r="D231" s="403">
        <v>0</v>
      </c>
      <c r="E231" s="403">
        <v>273</v>
      </c>
      <c r="F231" s="403">
        <v>89</v>
      </c>
      <c r="G231" s="403">
        <v>329</v>
      </c>
      <c r="H231" s="400">
        <v>3652</v>
      </c>
      <c r="I231" s="400">
        <v>3323</v>
      </c>
      <c r="J231" s="403">
        <v>1</v>
      </c>
      <c r="K231" s="401">
        <v>92.68</v>
      </c>
      <c r="L231" s="401">
        <v>90.21</v>
      </c>
      <c r="M231" s="401">
        <v>4.32</v>
      </c>
      <c r="N231" s="401">
        <v>96.44</v>
      </c>
      <c r="O231" s="402">
        <v>1526</v>
      </c>
      <c r="P231" s="401">
        <v>83.88</v>
      </c>
      <c r="Q231" s="401">
        <v>78.38</v>
      </c>
      <c r="R231" s="401">
        <v>49.22</v>
      </c>
      <c r="S231" s="401">
        <v>133.1</v>
      </c>
      <c r="T231" s="402">
        <v>201</v>
      </c>
      <c r="U231" s="401">
        <v>116.92</v>
      </c>
      <c r="V231" s="402">
        <v>656</v>
      </c>
      <c r="W231" s="401">
        <v>99.06</v>
      </c>
      <c r="X231" s="402">
        <v>20</v>
      </c>
      <c r="Y231" s="403">
        <v>0</v>
      </c>
      <c r="Z231" s="403">
        <v>0</v>
      </c>
      <c r="AA231" s="403">
        <v>0</v>
      </c>
      <c r="AB231" s="403">
        <v>34</v>
      </c>
      <c r="AC231" s="403">
        <v>7</v>
      </c>
      <c r="AD231" s="403">
        <v>2082</v>
      </c>
      <c r="AE231" s="403">
        <v>8</v>
      </c>
      <c r="AF231" s="403">
        <v>4</v>
      </c>
      <c r="AG231" s="403">
        <v>12</v>
      </c>
    </row>
    <row r="232" spans="1:33" x14ac:dyDescent="0.3">
      <c r="A232" s="396" t="s">
        <v>522</v>
      </c>
      <c r="B232" s="396" t="s">
        <v>523</v>
      </c>
      <c r="C232" s="403">
        <v>15464</v>
      </c>
      <c r="D232" s="403">
        <v>0</v>
      </c>
      <c r="E232" s="403">
        <v>1704</v>
      </c>
      <c r="F232" s="403">
        <v>1618</v>
      </c>
      <c r="G232" s="403">
        <v>640</v>
      </c>
      <c r="H232" s="400">
        <v>19426</v>
      </c>
      <c r="I232" s="400">
        <v>18786</v>
      </c>
      <c r="J232" s="403">
        <v>36</v>
      </c>
      <c r="K232" s="401">
        <v>87.23</v>
      </c>
      <c r="L232" s="401">
        <v>84.95</v>
      </c>
      <c r="M232" s="401">
        <v>11.83</v>
      </c>
      <c r="N232" s="401">
        <v>91.56</v>
      </c>
      <c r="O232" s="402">
        <v>13611</v>
      </c>
      <c r="P232" s="401">
        <v>81.739999999999995</v>
      </c>
      <c r="Q232" s="401">
        <v>75.930000000000007</v>
      </c>
      <c r="R232" s="401">
        <v>39.409999999999997</v>
      </c>
      <c r="S232" s="401">
        <v>120.14</v>
      </c>
      <c r="T232" s="402">
        <v>2771</v>
      </c>
      <c r="U232" s="401">
        <v>103.7</v>
      </c>
      <c r="V232" s="402">
        <v>1193</v>
      </c>
      <c r="W232" s="401">
        <v>127.31</v>
      </c>
      <c r="X232" s="402">
        <v>21</v>
      </c>
      <c r="Y232" s="403">
        <v>0</v>
      </c>
      <c r="Z232" s="403">
        <v>53</v>
      </c>
      <c r="AA232" s="403">
        <v>147</v>
      </c>
      <c r="AB232" s="403">
        <v>79</v>
      </c>
      <c r="AC232" s="403">
        <v>1</v>
      </c>
      <c r="AD232" s="403">
        <v>14917</v>
      </c>
      <c r="AE232" s="403">
        <v>42</v>
      </c>
      <c r="AF232" s="403">
        <v>37</v>
      </c>
      <c r="AG232" s="403">
        <v>79</v>
      </c>
    </row>
    <row r="233" spans="1:33" x14ac:dyDescent="0.3">
      <c r="A233" s="396" t="s">
        <v>524</v>
      </c>
      <c r="B233" s="396" t="s">
        <v>525</v>
      </c>
      <c r="C233" s="403">
        <v>1826</v>
      </c>
      <c r="D233" s="403">
        <v>0</v>
      </c>
      <c r="E233" s="403">
        <v>38</v>
      </c>
      <c r="F233" s="403">
        <v>195</v>
      </c>
      <c r="G233" s="403">
        <v>390</v>
      </c>
      <c r="H233" s="400">
        <v>2449</v>
      </c>
      <c r="I233" s="400">
        <v>2059</v>
      </c>
      <c r="J233" s="403">
        <v>0</v>
      </c>
      <c r="K233" s="401">
        <v>93.91</v>
      </c>
      <c r="L233" s="401">
        <v>87.47</v>
      </c>
      <c r="M233" s="401">
        <v>5.5</v>
      </c>
      <c r="N233" s="401">
        <v>97.77</v>
      </c>
      <c r="O233" s="402">
        <v>1138</v>
      </c>
      <c r="P233" s="401">
        <v>105.85</v>
      </c>
      <c r="Q233" s="401">
        <v>93.75</v>
      </c>
      <c r="R233" s="401">
        <v>66.680000000000007</v>
      </c>
      <c r="S233" s="401">
        <v>171.96</v>
      </c>
      <c r="T233" s="402">
        <v>233</v>
      </c>
      <c r="U233" s="401">
        <v>113.9</v>
      </c>
      <c r="V233" s="402">
        <v>502</v>
      </c>
      <c r="W233" s="401">
        <v>0</v>
      </c>
      <c r="X233" s="402">
        <v>0</v>
      </c>
      <c r="Y233" s="403">
        <v>8</v>
      </c>
      <c r="Z233" s="403">
        <v>0</v>
      </c>
      <c r="AA233" s="403">
        <v>3</v>
      </c>
      <c r="AB233" s="403">
        <v>71</v>
      </c>
      <c r="AC233" s="403">
        <v>6</v>
      </c>
      <c r="AD233" s="403">
        <v>1786</v>
      </c>
      <c r="AE233" s="403">
        <v>49</v>
      </c>
      <c r="AF233" s="403">
        <v>8</v>
      </c>
      <c r="AG233" s="403">
        <v>57</v>
      </c>
    </row>
    <row r="234" spans="1:33" x14ac:dyDescent="0.3">
      <c r="A234" s="396" t="s">
        <v>526</v>
      </c>
      <c r="B234" s="396" t="s">
        <v>527</v>
      </c>
      <c r="C234" s="403">
        <v>5532</v>
      </c>
      <c r="D234" s="403">
        <v>0</v>
      </c>
      <c r="E234" s="403">
        <v>84</v>
      </c>
      <c r="F234" s="403">
        <v>1071</v>
      </c>
      <c r="G234" s="403">
        <v>883</v>
      </c>
      <c r="H234" s="400">
        <v>7570</v>
      </c>
      <c r="I234" s="400">
        <v>6687</v>
      </c>
      <c r="J234" s="403">
        <v>1</v>
      </c>
      <c r="K234" s="401">
        <v>108.05</v>
      </c>
      <c r="L234" s="401">
        <v>104.56</v>
      </c>
      <c r="M234" s="401">
        <v>4.32</v>
      </c>
      <c r="N234" s="401">
        <v>110.82</v>
      </c>
      <c r="O234" s="402">
        <v>5182</v>
      </c>
      <c r="P234" s="401">
        <v>93.26</v>
      </c>
      <c r="Q234" s="401">
        <v>88.57</v>
      </c>
      <c r="R234" s="401">
        <v>22.91</v>
      </c>
      <c r="S234" s="401">
        <v>115.99</v>
      </c>
      <c r="T234" s="402">
        <v>903</v>
      </c>
      <c r="U234" s="401">
        <v>163.41999999999999</v>
      </c>
      <c r="V234" s="402">
        <v>316</v>
      </c>
      <c r="W234" s="401">
        <v>141.97</v>
      </c>
      <c r="X234" s="402">
        <v>102</v>
      </c>
      <c r="Y234" s="403">
        <v>0</v>
      </c>
      <c r="Z234" s="403">
        <v>0</v>
      </c>
      <c r="AA234" s="403">
        <v>1</v>
      </c>
      <c r="AB234" s="403">
        <v>53</v>
      </c>
      <c r="AC234" s="403">
        <v>15</v>
      </c>
      <c r="AD234" s="403">
        <v>5520</v>
      </c>
      <c r="AE234" s="403">
        <v>25</v>
      </c>
      <c r="AF234" s="403">
        <v>8</v>
      </c>
      <c r="AG234" s="403">
        <v>33</v>
      </c>
    </row>
    <row r="235" spans="1:33" x14ac:dyDescent="0.3">
      <c r="A235" s="396" t="s">
        <v>528</v>
      </c>
      <c r="B235" s="396" t="s">
        <v>529</v>
      </c>
      <c r="C235" s="403">
        <v>15408</v>
      </c>
      <c r="D235" s="403">
        <v>2</v>
      </c>
      <c r="E235" s="403">
        <v>1366</v>
      </c>
      <c r="F235" s="403">
        <v>1135</v>
      </c>
      <c r="G235" s="403">
        <v>435</v>
      </c>
      <c r="H235" s="400">
        <v>18346</v>
      </c>
      <c r="I235" s="400">
        <v>17911</v>
      </c>
      <c r="J235" s="403">
        <v>187</v>
      </c>
      <c r="K235" s="401">
        <v>80.84</v>
      </c>
      <c r="L235" s="401">
        <v>79.66</v>
      </c>
      <c r="M235" s="401">
        <v>7.99</v>
      </c>
      <c r="N235" s="401">
        <v>83.46</v>
      </c>
      <c r="O235" s="402">
        <v>12890</v>
      </c>
      <c r="P235" s="401">
        <v>86.58</v>
      </c>
      <c r="Q235" s="401">
        <v>78.760000000000005</v>
      </c>
      <c r="R235" s="401">
        <v>54.45</v>
      </c>
      <c r="S235" s="401">
        <v>140.47999999999999</v>
      </c>
      <c r="T235" s="402">
        <v>2226</v>
      </c>
      <c r="U235" s="401">
        <v>99.34</v>
      </c>
      <c r="V235" s="402">
        <v>2243</v>
      </c>
      <c r="W235" s="401">
        <v>101.41</v>
      </c>
      <c r="X235" s="402">
        <v>9</v>
      </c>
      <c r="Y235" s="403">
        <v>2</v>
      </c>
      <c r="Z235" s="403">
        <v>24</v>
      </c>
      <c r="AA235" s="403">
        <v>22</v>
      </c>
      <c r="AB235" s="403">
        <v>2</v>
      </c>
      <c r="AC235" s="403">
        <v>11</v>
      </c>
      <c r="AD235" s="403">
        <v>15301</v>
      </c>
      <c r="AE235" s="403">
        <v>109</v>
      </c>
      <c r="AF235" s="403">
        <v>96</v>
      </c>
      <c r="AG235" s="403">
        <v>205</v>
      </c>
    </row>
    <row r="236" spans="1:33" x14ac:dyDescent="0.3">
      <c r="A236" s="396" t="s">
        <v>530</v>
      </c>
      <c r="B236" s="396" t="s">
        <v>531</v>
      </c>
      <c r="C236" s="403">
        <v>12762</v>
      </c>
      <c r="D236" s="403">
        <v>25</v>
      </c>
      <c r="E236" s="403">
        <v>386</v>
      </c>
      <c r="F236" s="403">
        <v>1724</v>
      </c>
      <c r="G236" s="403">
        <v>975</v>
      </c>
      <c r="H236" s="400">
        <v>15872</v>
      </c>
      <c r="I236" s="400">
        <v>14897</v>
      </c>
      <c r="J236" s="403">
        <v>0</v>
      </c>
      <c r="K236" s="401">
        <v>89.01</v>
      </c>
      <c r="L236" s="401">
        <v>86.9</v>
      </c>
      <c r="M236" s="401">
        <v>3.9</v>
      </c>
      <c r="N236" s="401">
        <v>91.09</v>
      </c>
      <c r="O236" s="402">
        <v>10066</v>
      </c>
      <c r="P236" s="401">
        <v>84.66</v>
      </c>
      <c r="Q236" s="401">
        <v>80.12</v>
      </c>
      <c r="R236" s="401">
        <v>28.68</v>
      </c>
      <c r="S236" s="401">
        <v>113.21</v>
      </c>
      <c r="T236" s="402">
        <v>1634</v>
      </c>
      <c r="U236" s="401">
        <v>107.91</v>
      </c>
      <c r="V236" s="402">
        <v>1901</v>
      </c>
      <c r="W236" s="401">
        <v>198.93</v>
      </c>
      <c r="X236" s="402">
        <v>372</v>
      </c>
      <c r="Y236" s="403">
        <v>0</v>
      </c>
      <c r="Z236" s="403">
        <v>24</v>
      </c>
      <c r="AA236" s="403">
        <v>27</v>
      </c>
      <c r="AB236" s="403">
        <v>74</v>
      </c>
      <c r="AC236" s="403">
        <v>9</v>
      </c>
      <c r="AD236" s="403">
        <v>12474</v>
      </c>
      <c r="AE236" s="403">
        <v>130</v>
      </c>
      <c r="AF236" s="403">
        <v>102</v>
      </c>
      <c r="AG236" s="403">
        <v>232</v>
      </c>
    </row>
    <row r="237" spans="1:33" x14ac:dyDescent="0.3">
      <c r="A237" s="396" t="s">
        <v>532</v>
      </c>
      <c r="B237" s="396" t="s">
        <v>533</v>
      </c>
      <c r="C237" s="403">
        <v>3569</v>
      </c>
      <c r="D237" s="403">
        <v>24</v>
      </c>
      <c r="E237" s="403">
        <v>370</v>
      </c>
      <c r="F237" s="403">
        <v>230</v>
      </c>
      <c r="G237" s="403">
        <v>412</v>
      </c>
      <c r="H237" s="400">
        <v>4605</v>
      </c>
      <c r="I237" s="400">
        <v>4193</v>
      </c>
      <c r="J237" s="403">
        <v>31</v>
      </c>
      <c r="K237" s="401">
        <v>121.79</v>
      </c>
      <c r="L237" s="401">
        <v>119.85</v>
      </c>
      <c r="M237" s="401">
        <v>8.31</v>
      </c>
      <c r="N237" s="401">
        <v>128.94999999999999</v>
      </c>
      <c r="O237" s="402">
        <v>3199</v>
      </c>
      <c r="P237" s="401">
        <v>108.43</v>
      </c>
      <c r="Q237" s="401">
        <v>98.93</v>
      </c>
      <c r="R237" s="401">
        <v>61.93</v>
      </c>
      <c r="S237" s="401">
        <v>157.31</v>
      </c>
      <c r="T237" s="402">
        <v>489</v>
      </c>
      <c r="U237" s="401">
        <v>150.56</v>
      </c>
      <c r="V237" s="402">
        <v>176</v>
      </c>
      <c r="W237" s="401">
        <v>0</v>
      </c>
      <c r="X237" s="402">
        <v>0</v>
      </c>
      <c r="Y237" s="403">
        <v>2</v>
      </c>
      <c r="Z237" s="403">
        <v>1</v>
      </c>
      <c r="AA237" s="403">
        <v>23</v>
      </c>
      <c r="AB237" s="403">
        <v>0</v>
      </c>
      <c r="AC237" s="403">
        <v>16</v>
      </c>
      <c r="AD237" s="403">
        <v>3421</v>
      </c>
      <c r="AE237" s="403">
        <v>18</v>
      </c>
      <c r="AF237" s="403">
        <v>10</v>
      </c>
      <c r="AG237" s="403">
        <v>28</v>
      </c>
    </row>
    <row r="238" spans="1:33" x14ac:dyDescent="0.3">
      <c r="A238" s="396" t="s">
        <v>534</v>
      </c>
      <c r="B238" s="396" t="s">
        <v>535</v>
      </c>
      <c r="C238" s="403">
        <v>2629</v>
      </c>
      <c r="D238" s="403">
        <v>0</v>
      </c>
      <c r="E238" s="403">
        <v>227</v>
      </c>
      <c r="F238" s="403">
        <v>613</v>
      </c>
      <c r="G238" s="403">
        <v>605</v>
      </c>
      <c r="H238" s="400">
        <v>4074</v>
      </c>
      <c r="I238" s="400">
        <v>3469</v>
      </c>
      <c r="J238" s="403">
        <v>0</v>
      </c>
      <c r="K238" s="401">
        <v>104.22</v>
      </c>
      <c r="L238" s="401">
        <v>102.68</v>
      </c>
      <c r="M238" s="401">
        <v>5.61</v>
      </c>
      <c r="N238" s="401">
        <v>108.63</v>
      </c>
      <c r="O238" s="402">
        <v>2007</v>
      </c>
      <c r="P238" s="401">
        <v>92.3</v>
      </c>
      <c r="Q238" s="401">
        <v>85.78</v>
      </c>
      <c r="R238" s="401">
        <v>60.41</v>
      </c>
      <c r="S238" s="401">
        <v>149.36000000000001</v>
      </c>
      <c r="T238" s="402">
        <v>468</v>
      </c>
      <c r="U238" s="401">
        <v>113.61</v>
      </c>
      <c r="V238" s="402">
        <v>586</v>
      </c>
      <c r="W238" s="401">
        <v>224.08</v>
      </c>
      <c r="X238" s="402">
        <v>38</v>
      </c>
      <c r="Y238" s="403">
        <v>0</v>
      </c>
      <c r="Z238" s="403">
        <v>2</v>
      </c>
      <c r="AA238" s="403">
        <v>6</v>
      </c>
      <c r="AB238" s="403">
        <v>30</v>
      </c>
      <c r="AC238" s="403">
        <v>10</v>
      </c>
      <c r="AD238" s="403">
        <v>2592</v>
      </c>
      <c r="AE238" s="403">
        <v>13</v>
      </c>
      <c r="AF238" s="403">
        <v>1</v>
      </c>
      <c r="AG238" s="403">
        <v>14</v>
      </c>
    </row>
    <row r="239" spans="1:33" x14ac:dyDescent="0.3">
      <c r="A239" s="396" t="s">
        <v>536</v>
      </c>
      <c r="B239" s="396" t="s">
        <v>537</v>
      </c>
      <c r="C239" s="403">
        <v>4121</v>
      </c>
      <c r="D239" s="403">
        <v>0</v>
      </c>
      <c r="E239" s="403">
        <v>418</v>
      </c>
      <c r="F239" s="403">
        <v>877</v>
      </c>
      <c r="G239" s="403">
        <v>574</v>
      </c>
      <c r="H239" s="400">
        <v>5990</v>
      </c>
      <c r="I239" s="400">
        <v>5416</v>
      </c>
      <c r="J239" s="403">
        <v>76</v>
      </c>
      <c r="K239" s="401">
        <v>96.86</v>
      </c>
      <c r="L239" s="401">
        <v>95.72</v>
      </c>
      <c r="M239" s="401">
        <v>4.38</v>
      </c>
      <c r="N239" s="401">
        <v>100.45</v>
      </c>
      <c r="O239" s="402">
        <v>3336</v>
      </c>
      <c r="P239" s="401">
        <v>91.07</v>
      </c>
      <c r="Q239" s="401">
        <v>90.06</v>
      </c>
      <c r="R239" s="401">
        <v>35.68</v>
      </c>
      <c r="S239" s="401">
        <v>126.01</v>
      </c>
      <c r="T239" s="402">
        <v>1019</v>
      </c>
      <c r="U239" s="401">
        <v>114.67</v>
      </c>
      <c r="V239" s="402">
        <v>392</v>
      </c>
      <c r="W239" s="401">
        <v>149.99</v>
      </c>
      <c r="X239" s="402">
        <v>78</v>
      </c>
      <c r="Y239" s="403">
        <v>0</v>
      </c>
      <c r="Z239" s="403">
        <v>5</v>
      </c>
      <c r="AA239" s="403">
        <v>4</v>
      </c>
      <c r="AB239" s="403">
        <v>14</v>
      </c>
      <c r="AC239" s="403">
        <v>7</v>
      </c>
      <c r="AD239" s="403">
        <v>3735</v>
      </c>
      <c r="AE239" s="403">
        <v>21</v>
      </c>
      <c r="AF239" s="403">
        <v>3</v>
      </c>
      <c r="AG239" s="403">
        <v>24</v>
      </c>
    </row>
    <row r="240" spans="1:33" x14ac:dyDescent="0.3">
      <c r="A240" s="396" t="s">
        <v>538</v>
      </c>
      <c r="B240" s="396" t="s">
        <v>539</v>
      </c>
      <c r="C240" s="403">
        <v>3626</v>
      </c>
      <c r="D240" s="403">
        <v>0</v>
      </c>
      <c r="E240" s="403">
        <v>367</v>
      </c>
      <c r="F240" s="403">
        <v>206</v>
      </c>
      <c r="G240" s="403">
        <v>1296</v>
      </c>
      <c r="H240" s="400">
        <v>5495</v>
      </c>
      <c r="I240" s="400">
        <v>4199</v>
      </c>
      <c r="J240" s="403">
        <v>23</v>
      </c>
      <c r="K240" s="401">
        <v>112.74</v>
      </c>
      <c r="L240" s="401">
        <v>112.25</v>
      </c>
      <c r="M240" s="401">
        <v>3.35</v>
      </c>
      <c r="N240" s="401">
        <v>115.57</v>
      </c>
      <c r="O240" s="402">
        <v>2383</v>
      </c>
      <c r="P240" s="401">
        <v>105.06</v>
      </c>
      <c r="Q240" s="401">
        <v>102.19</v>
      </c>
      <c r="R240" s="401">
        <v>48.74</v>
      </c>
      <c r="S240" s="401">
        <v>153.80000000000001</v>
      </c>
      <c r="T240" s="402">
        <v>260</v>
      </c>
      <c r="U240" s="401">
        <v>155.46</v>
      </c>
      <c r="V240" s="402">
        <v>872</v>
      </c>
      <c r="W240" s="401">
        <v>181.34</v>
      </c>
      <c r="X240" s="402">
        <v>79</v>
      </c>
      <c r="Y240" s="403">
        <v>14</v>
      </c>
      <c r="Z240" s="403">
        <v>0</v>
      </c>
      <c r="AA240" s="403">
        <v>0</v>
      </c>
      <c r="AB240" s="403">
        <v>95</v>
      </c>
      <c r="AC240" s="403">
        <v>35</v>
      </c>
      <c r="AD240" s="403">
        <v>3399</v>
      </c>
      <c r="AE240" s="403">
        <v>16</v>
      </c>
      <c r="AF240" s="403">
        <v>2</v>
      </c>
      <c r="AG240" s="403">
        <v>18</v>
      </c>
    </row>
    <row r="241" spans="1:33" x14ac:dyDescent="0.3">
      <c r="A241" s="396" t="s">
        <v>540</v>
      </c>
      <c r="B241" s="396" t="s">
        <v>541</v>
      </c>
      <c r="C241" s="403">
        <v>1747</v>
      </c>
      <c r="D241" s="403">
        <v>0</v>
      </c>
      <c r="E241" s="403">
        <v>148</v>
      </c>
      <c r="F241" s="403">
        <v>44</v>
      </c>
      <c r="G241" s="403">
        <v>374</v>
      </c>
      <c r="H241" s="400">
        <v>2313</v>
      </c>
      <c r="I241" s="400">
        <v>1939</v>
      </c>
      <c r="J241" s="403">
        <v>6</v>
      </c>
      <c r="K241" s="401">
        <v>94.07</v>
      </c>
      <c r="L241" s="401">
        <v>93.51</v>
      </c>
      <c r="M241" s="401">
        <v>4.54</v>
      </c>
      <c r="N241" s="401">
        <v>97.32</v>
      </c>
      <c r="O241" s="402">
        <v>1331</v>
      </c>
      <c r="P241" s="401">
        <v>110.77</v>
      </c>
      <c r="Q241" s="401">
        <v>109.98</v>
      </c>
      <c r="R241" s="401">
        <v>95.41</v>
      </c>
      <c r="S241" s="401">
        <v>205.38</v>
      </c>
      <c r="T241" s="402">
        <v>119</v>
      </c>
      <c r="U241" s="401">
        <v>109.41</v>
      </c>
      <c r="V241" s="402">
        <v>407</v>
      </c>
      <c r="W241" s="401">
        <v>193.93</v>
      </c>
      <c r="X241" s="402">
        <v>48</v>
      </c>
      <c r="Y241" s="403">
        <v>33</v>
      </c>
      <c r="Z241" s="403">
        <v>2</v>
      </c>
      <c r="AA241" s="403">
        <v>0</v>
      </c>
      <c r="AB241" s="403">
        <v>96</v>
      </c>
      <c r="AC241" s="403">
        <v>4</v>
      </c>
      <c r="AD241" s="403">
        <v>1731</v>
      </c>
      <c r="AE241" s="403">
        <v>29</v>
      </c>
      <c r="AF241" s="403">
        <v>11</v>
      </c>
      <c r="AG241" s="403">
        <v>40</v>
      </c>
    </row>
    <row r="242" spans="1:33" x14ac:dyDescent="0.3">
      <c r="A242" s="396" t="s">
        <v>542</v>
      </c>
      <c r="B242" s="396" t="s">
        <v>543</v>
      </c>
      <c r="C242" s="403">
        <v>11292</v>
      </c>
      <c r="D242" s="403">
        <v>0</v>
      </c>
      <c r="E242" s="403">
        <v>345</v>
      </c>
      <c r="F242" s="403">
        <v>1799</v>
      </c>
      <c r="G242" s="403">
        <v>1056</v>
      </c>
      <c r="H242" s="400">
        <v>14492</v>
      </c>
      <c r="I242" s="400">
        <v>13436</v>
      </c>
      <c r="J242" s="403">
        <v>0</v>
      </c>
      <c r="K242" s="401">
        <v>100.58</v>
      </c>
      <c r="L242" s="401">
        <v>101.05</v>
      </c>
      <c r="M242" s="401">
        <v>5.65</v>
      </c>
      <c r="N242" s="401">
        <v>103.99</v>
      </c>
      <c r="O242" s="402">
        <v>10245</v>
      </c>
      <c r="P242" s="401">
        <v>91.26</v>
      </c>
      <c r="Q242" s="401">
        <v>85.21</v>
      </c>
      <c r="R242" s="401">
        <v>35.130000000000003</v>
      </c>
      <c r="S242" s="401">
        <v>125.93</v>
      </c>
      <c r="T242" s="402">
        <v>1883</v>
      </c>
      <c r="U242" s="401">
        <v>142.61000000000001</v>
      </c>
      <c r="V242" s="402">
        <v>683</v>
      </c>
      <c r="W242" s="401">
        <v>203.05</v>
      </c>
      <c r="X242" s="402">
        <v>95</v>
      </c>
      <c r="Y242" s="403">
        <v>0</v>
      </c>
      <c r="Z242" s="403">
        <v>19</v>
      </c>
      <c r="AA242" s="403">
        <v>4</v>
      </c>
      <c r="AB242" s="403">
        <v>86</v>
      </c>
      <c r="AC242" s="403">
        <v>13</v>
      </c>
      <c r="AD242" s="403">
        <v>10973</v>
      </c>
      <c r="AE242" s="403">
        <v>59</v>
      </c>
      <c r="AF242" s="403">
        <v>106</v>
      </c>
      <c r="AG242" s="403">
        <v>165</v>
      </c>
    </row>
    <row r="243" spans="1:33" x14ac:dyDescent="0.3">
      <c r="A243" s="396" t="s">
        <v>544</v>
      </c>
      <c r="B243" s="396" t="s">
        <v>545</v>
      </c>
      <c r="C243" s="403">
        <v>4002</v>
      </c>
      <c r="D243" s="403">
        <v>0</v>
      </c>
      <c r="E243" s="403">
        <v>87</v>
      </c>
      <c r="F243" s="403">
        <v>597</v>
      </c>
      <c r="G243" s="403">
        <v>553</v>
      </c>
      <c r="H243" s="400">
        <v>5239</v>
      </c>
      <c r="I243" s="400">
        <v>4686</v>
      </c>
      <c r="J243" s="403">
        <v>0</v>
      </c>
      <c r="K243" s="401">
        <v>94.73</v>
      </c>
      <c r="L243" s="401">
        <v>91.17</v>
      </c>
      <c r="M243" s="401">
        <v>2.25</v>
      </c>
      <c r="N243" s="401">
        <v>96.88</v>
      </c>
      <c r="O243" s="402">
        <v>3293</v>
      </c>
      <c r="P243" s="401">
        <v>83.57</v>
      </c>
      <c r="Q243" s="401">
        <v>74.849999999999994</v>
      </c>
      <c r="R243" s="401">
        <v>34.97</v>
      </c>
      <c r="S243" s="401">
        <v>117.78</v>
      </c>
      <c r="T243" s="402">
        <v>556</v>
      </c>
      <c r="U243" s="401">
        <v>127.59</v>
      </c>
      <c r="V243" s="402">
        <v>376</v>
      </c>
      <c r="W243" s="401">
        <v>202.96</v>
      </c>
      <c r="X243" s="402">
        <v>41</v>
      </c>
      <c r="Y243" s="403">
        <v>0</v>
      </c>
      <c r="Z243" s="403">
        <v>4</v>
      </c>
      <c r="AA243" s="403">
        <v>0</v>
      </c>
      <c r="AB243" s="403">
        <v>34</v>
      </c>
      <c r="AC243" s="403">
        <v>19</v>
      </c>
      <c r="AD243" s="403">
        <v>3731</v>
      </c>
      <c r="AE243" s="403">
        <v>28</v>
      </c>
      <c r="AF243" s="403">
        <v>9</v>
      </c>
      <c r="AG243" s="403">
        <v>37</v>
      </c>
    </row>
    <row r="244" spans="1:33" x14ac:dyDescent="0.3">
      <c r="A244" s="396" t="s">
        <v>546</v>
      </c>
      <c r="B244" s="396" t="s">
        <v>547</v>
      </c>
      <c r="C244" s="403">
        <v>1054</v>
      </c>
      <c r="D244" s="403">
        <v>0</v>
      </c>
      <c r="E244" s="403">
        <v>109</v>
      </c>
      <c r="F244" s="403">
        <v>0</v>
      </c>
      <c r="G244" s="403">
        <v>348</v>
      </c>
      <c r="H244" s="400">
        <v>1511</v>
      </c>
      <c r="I244" s="400">
        <v>1163</v>
      </c>
      <c r="J244" s="403">
        <v>1</v>
      </c>
      <c r="K244" s="401">
        <v>86.25</v>
      </c>
      <c r="L244" s="401">
        <v>84.47</v>
      </c>
      <c r="M244" s="401">
        <v>5.03</v>
      </c>
      <c r="N244" s="401">
        <v>90.3</v>
      </c>
      <c r="O244" s="402">
        <v>750</v>
      </c>
      <c r="P244" s="401">
        <v>118.07</v>
      </c>
      <c r="Q244" s="401">
        <v>69.56</v>
      </c>
      <c r="R244" s="401">
        <v>109.12</v>
      </c>
      <c r="S244" s="401">
        <v>227.19</v>
      </c>
      <c r="T244" s="402">
        <v>95</v>
      </c>
      <c r="U244" s="401">
        <v>107.92</v>
      </c>
      <c r="V244" s="402">
        <v>185</v>
      </c>
      <c r="W244" s="401">
        <v>0</v>
      </c>
      <c r="X244" s="402">
        <v>0</v>
      </c>
      <c r="Y244" s="403">
        <v>0</v>
      </c>
      <c r="Z244" s="403">
        <v>0</v>
      </c>
      <c r="AA244" s="403">
        <v>0</v>
      </c>
      <c r="AB244" s="403">
        <v>10</v>
      </c>
      <c r="AC244" s="403">
        <v>2</v>
      </c>
      <c r="AD244" s="403">
        <v>989</v>
      </c>
      <c r="AE244" s="403">
        <v>5</v>
      </c>
      <c r="AF244" s="403">
        <v>0</v>
      </c>
      <c r="AG244" s="403">
        <v>5</v>
      </c>
    </row>
    <row r="245" spans="1:33" x14ac:dyDescent="0.3">
      <c r="A245" s="396" t="s">
        <v>548</v>
      </c>
      <c r="B245" s="396" t="s">
        <v>549</v>
      </c>
      <c r="C245" s="403">
        <v>1807</v>
      </c>
      <c r="D245" s="403">
        <v>0</v>
      </c>
      <c r="E245" s="403">
        <v>142</v>
      </c>
      <c r="F245" s="403">
        <v>268</v>
      </c>
      <c r="G245" s="403">
        <v>522</v>
      </c>
      <c r="H245" s="400">
        <v>2739</v>
      </c>
      <c r="I245" s="400">
        <v>2217</v>
      </c>
      <c r="J245" s="403">
        <v>3</v>
      </c>
      <c r="K245" s="401">
        <v>88.98</v>
      </c>
      <c r="L245" s="401">
        <v>87.46</v>
      </c>
      <c r="M245" s="401">
        <v>5.71</v>
      </c>
      <c r="N245" s="401">
        <v>94.09</v>
      </c>
      <c r="O245" s="402">
        <v>1240</v>
      </c>
      <c r="P245" s="401">
        <v>97.05</v>
      </c>
      <c r="Q245" s="401">
        <v>72.02</v>
      </c>
      <c r="R245" s="401">
        <v>47.08</v>
      </c>
      <c r="S245" s="401">
        <v>144.13</v>
      </c>
      <c r="T245" s="402">
        <v>275</v>
      </c>
      <c r="U245" s="401">
        <v>107.88</v>
      </c>
      <c r="V245" s="402">
        <v>278</v>
      </c>
      <c r="W245" s="401">
        <v>0</v>
      </c>
      <c r="X245" s="402">
        <v>0</v>
      </c>
      <c r="Y245" s="403">
        <v>33</v>
      </c>
      <c r="Z245" s="403">
        <v>1</v>
      </c>
      <c r="AA245" s="403">
        <v>0</v>
      </c>
      <c r="AB245" s="403">
        <v>34</v>
      </c>
      <c r="AC245" s="403">
        <v>12</v>
      </c>
      <c r="AD245" s="403">
        <v>1718</v>
      </c>
      <c r="AE245" s="403">
        <v>23</v>
      </c>
      <c r="AF245" s="403">
        <v>4</v>
      </c>
      <c r="AG245" s="403">
        <v>27</v>
      </c>
    </row>
    <row r="246" spans="1:33" x14ac:dyDescent="0.3">
      <c r="A246" s="396" t="s">
        <v>550</v>
      </c>
      <c r="B246" s="396" t="s">
        <v>551</v>
      </c>
      <c r="C246" s="403">
        <v>4097</v>
      </c>
      <c r="D246" s="403">
        <v>2</v>
      </c>
      <c r="E246" s="403">
        <v>201</v>
      </c>
      <c r="F246" s="403">
        <v>541</v>
      </c>
      <c r="G246" s="403">
        <v>220</v>
      </c>
      <c r="H246" s="400">
        <v>5061</v>
      </c>
      <c r="I246" s="400">
        <v>4841</v>
      </c>
      <c r="J246" s="403">
        <v>0</v>
      </c>
      <c r="K246" s="401">
        <v>92.96</v>
      </c>
      <c r="L246" s="401">
        <v>92.94</v>
      </c>
      <c r="M246" s="401">
        <v>4.57</v>
      </c>
      <c r="N246" s="401">
        <v>94.28</v>
      </c>
      <c r="O246" s="402">
        <v>3518</v>
      </c>
      <c r="P246" s="401">
        <v>86.35</v>
      </c>
      <c r="Q246" s="401">
        <v>82.43</v>
      </c>
      <c r="R246" s="401">
        <v>45.59</v>
      </c>
      <c r="S246" s="401">
        <v>131.38999999999999</v>
      </c>
      <c r="T246" s="402">
        <v>667</v>
      </c>
      <c r="U246" s="401">
        <v>116.06</v>
      </c>
      <c r="V246" s="402">
        <v>494</v>
      </c>
      <c r="W246" s="401">
        <v>207.9</v>
      </c>
      <c r="X246" s="402">
        <v>8</v>
      </c>
      <c r="Y246" s="403">
        <v>0</v>
      </c>
      <c r="Z246" s="403">
        <v>10</v>
      </c>
      <c r="AA246" s="403">
        <v>1</v>
      </c>
      <c r="AB246" s="403">
        <v>23</v>
      </c>
      <c r="AC246" s="403">
        <v>2</v>
      </c>
      <c r="AD246" s="403">
        <v>4011</v>
      </c>
      <c r="AE246" s="403">
        <v>27</v>
      </c>
      <c r="AF246" s="403">
        <v>11</v>
      </c>
      <c r="AG246" s="403">
        <v>38</v>
      </c>
    </row>
    <row r="247" spans="1:33" x14ac:dyDescent="0.3">
      <c r="A247" s="396" t="s">
        <v>552</v>
      </c>
      <c r="B247" s="396" t="s">
        <v>553</v>
      </c>
      <c r="C247" s="403">
        <v>6642</v>
      </c>
      <c r="D247" s="403">
        <v>0</v>
      </c>
      <c r="E247" s="403">
        <v>227</v>
      </c>
      <c r="F247" s="403">
        <v>819</v>
      </c>
      <c r="G247" s="403">
        <v>694</v>
      </c>
      <c r="H247" s="400">
        <v>8382</v>
      </c>
      <c r="I247" s="400">
        <v>7688</v>
      </c>
      <c r="J247" s="403">
        <v>6</v>
      </c>
      <c r="K247" s="401">
        <v>89.39</v>
      </c>
      <c r="L247" s="401">
        <v>88.92</v>
      </c>
      <c r="M247" s="401">
        <v>5.39</v>
      </c>
      <c r="N247" s="401">
        <v>91</v>
      </c>
      <c r="O247" s="402">
        <v>4478</v>
      </c>
      <c r="P247" s="401">
        <v>90.56</v>
      </c>
      <c r="Q247" s="401">
        <v>81.63</v>
      </c>
      <c r="R247" s="401">
        <v>40.909999999999997</v>
      </c>
      <c r="S247" s="401">
        <v>130.78</v>
      </c>
      <c r="T247" s="402">
        <v>1003</v>
      </c>
      <c r="U247" s="401">
        <v>115.87</v>
      </c>
      <c r="V247" s="402">
        <v>1948</v>
      </c>
      <c r="W247" s="401">
        <v>0</v>
      </c>
      <c r="X247" s="402">
        <v>0</v>
      </c>
      <c r="Y247" s="403">
        <v>74</v>
      </c>
      <c r="Z247" s="403">
        <v>4</v>
      </c>
      <c r="AA247" s="403">
        <v>10</v>
      </c>
      <c r="AB247" s="403">
        <v>35</v>
      </c>
      <c r="AC247" s="403">
        <v>10</v>
      </c>
      <c r="AD247" s="403">
        <v>6637</v>
      </c>
      <c r="AE247" s="403">
        <v>45</v>
      </c>
      <c r="AF247" s="403">
        <v>35</v>
      </c>
      <c r="AG247" s="403">
        <v>80</v>
      </c>
    </row>
    <row r="248" spans="1:33" x14ac:dyDescent="0.3">
      <c r="A248" s="396" t="s">
        <v>554</v>
      </c>
      <c r="B248" s="396" t="s">
        <v>555</v>
      </c>
      <c r="C248" s="403">
        <v>6587</v>
      </c>
      <c r="D248" s="403">
        <v>0</v>
      </c>
      <c r="E248" s="403">
        <v>239</v>
      </c>
      <c r="F248" s="403">
        <v>768</v>
      </c>
      <c r="G248" s="403">
        <v>1033</v>
      </c>
      <c r="H248" s="400">
        <v>8627</v>
      </c>
      <c r="I248" s="400">
        <v>7594</v>
      </c>
      <c r="J248" s="403">
        <v>0</v>
      </c>
      <c r="K248" s="401">
        <v>112.64</v>
      </c>
      <c r="L248" s="401">
        <v>111.27</v>
      </c>
      <c r="M248" s="401">
        <v>5.54</v>
      </c>
      <c r="N248" s="401">
        <v>114.64</v>
      </c>
      <c r="O248" s="402">
        <v>5259</v>
      </c>
      <c r="P248" s="401">
        <v>96.46</v>
      </c>
      <c r="Q248" s="401">
        <v>92.33</v>
      </c>
      <c r="R248" s="401">
        <v>29.64</v>
      </c>
      <c r="S248" s="401">
        <v>123.72</v>
      </c>
      <c r="T248" s="402">
        <v>810</v>
      </c>
      <c r="U248" s="401">
        <v>181.64</v>
      </c>
      <c r="V248" s="402">
        <v>1115</v>
      </c>
      <c r="W248" s="401">
        <v>165.73</v>
      </c>
      <c r="X248" s="402">
        <v>66</v>
      </c>
      <c r="Y248" s="403">
        <v>79</v>
      </c>
      <c r="Z248" s="403">
        <v>1</v>
      </c>
      <c r="AA248" s="403">
        <v>2</v>
      </c>
      <c r="AB248" s="403">
        <v>93</v>
      </c>
      <c r="AC248" s="403">
        <v>25</v>
      </c>
      <c r="AD248" s="403">
        <v>6384</v>
      </c>
      <c r="AE248" s="403">
        <v>42</v>
      </c>
      <c r="AF248" s="403">
        <v>5</v>
      </c>
      <c r="AG248" s="403">
        <v>47</v>
      </c>
    </row>
    <row r="249" spans="1:33" x14ac:dyDescent="0.3">
      <c r="A249" s="396" t="s">
        <v>556</v>
      </c>
      <c r="B249" s="396" t="s">
        <v>557</v>
      </c>
      <c r="C249" s="403">
        <v>3993</v>
      </c>
      <c r="D249" s="403">
        <v>3</v>
      </c>
      <c r="E249" s="403">
        <v>266</v>
      </c>
      <c r="F249" s="403">
        <v>1059</v>
      </c>
      <c r="G249" s="403">
        <v>254</v>
      </c>
      <c r="H249" s="400">
        <v>5575</v>
      </c>
      <c r="I249" s="400">
        <v>5321</v>
      </c>
      <c r="J249" s="403">
        <v>2</v>
      </c>
      <c r="K249" s="401">
        <v>88.16</v>
      </c>
      <c r="L249" s="401">
        <v>87.22</v>
      </c>
      <c r="M249" s="401">
        <v>2.7</v>
      </c>
      <c r="N249" s="401">
        <v>90.77</v>
      </c>
      <c r="O249" s="402">
        <v>3551</v>
      </c>
      <c r="P249" s="401">
        <v>90.54</v>
      </c>
      <c r="Q249" s="401">
        <v>81.17</v>
      </c>
      <c r="R249" s="401">
        <v>26.36</v>
      </c>
      <c r="S249" s="401">
        <v>116.7</v>
      </c>
      <c r="T249" s="402">
        <v>1237</v>
      </c>
      <c r="U249" s="401">
        <v>105.22</v>
      </c>
      <c r="V249" s="402">
        <v>427</v>
      </c>
      <c r="W249" s="401">
        <v>0</v>
      </c>
      <c r="X249" s="402">
        <v>0</v>
      </c>
      <c r="Y249" s="403">
        <v>5</v>
      </c>
      <c r="Z249" s="403">
        <v>4</v>
      </c>
      <c r="AA249" s="403">
        <v>0</v>
      </c>
      <c r="AB249" s="403">
        <v>32</v>
      </c>
      <c r="AC249" s="403">
        <v>3</v>
      </c>
      <c r="AD249" s="403">
        <v>3991</v>
      </c>
      <c r="AE249" s="403">
        <v>31</v>
      </c>
      <c r="AF249" s="403">
        <v>6</v>
      </c>
      <c r="AG249" s="403">
        <v>37</v>
      </c>
    </row>
    <row r="250" spans="1:33" x14ac:dyDescent="0.3">
      <c r="A250" s="396" t="s">
        <v>558</v>
      </c>
      <c r="B250" s="396" t="s">
        <v>559</v>
      </c>
      <c r="C250" s="403">
        <v>9293</v>
      </c>
      <c r="D250" s="403">
        <v>0</v>
      </c>
      <c r="E250" s="403">
        <v>319</v>
      </c>
      <c r="F250" s="403">
        <v>1698</v>
      </c>
      <c r="G250" s="403">
        <v>731</v>
      </c>
      <c r="H250" s="400">
        <v>12041</v>
      </c>
      <c r="I250" s="400">
        <v>11310</v>
      </c>
      <c r="J250" s="403">
        <v>5</v>
      </c>
      <c r="K250" s="401">
        <v>93.22</v>
      </c>
      <c r="L250" s="401">
        <v>89.3</v>
      </c>
      <c r="M250" s="401">
        <v>4.2300000000000004</v>
      </c>
      <c r="N250" s="401">
        <v>94.58</v>
      </c>
      <c r="O250" s="402">
        <v>8340</v>
      </c>
      <c r="P250" s="401">
        <v>88.22</v>
      </c>
      <c r="Q250" s="401">
        <v>78.760000000000005</v>
      </c>
      <c r="R250" s="401">
        <v>29.75</v>
      </c>
      <c r="S250" s="401">
        <v>117.9</v>
      </c>
      <c r="T250" s="402">
        <v>1963</v>
      </c>
      <c r="U250" s="401">
        <v>118.61</v>
      </c>
      <c r="V250" s="402">
        <v>630</v>
      </c>
      <c r="W250" s="401">
        <v>159.32</v>
      </c>
      <c r="X250" s="402">
        <v>15</v>
      </c>
      <c r="Y250" s="403">
        <v>0</v>
      </c>
      <c r="Z250" s="403">
        <v>26</v>
      </c>
      <c r="AA250" s="403">
        <v>38</v>
      </c>
      <c r="AB250" s="403">
        <v>13</v>
      </c>
      <c r="AC250" s="403">
        <v>19</v>
      </c>
      <c r="AD250" s="403">
        <v>9207</v>
      </c>
      <c r="AE250" s="403">
        <v>32</v>
      </c>
      <c r="AF250" s="403">
        <v>71</v>
      </c>
      <c r="AG250" s="403">
        <v>103</v>
      </c>
    </row>
    <row r="251" spans="1:33" x14ac:dyDescent="0.3">
      <c r="A251" s="396" t="s">
        <v>560</v>
      </c>
      <c r="B251" s="396" t="s">
        <v>561</v>
      </c>
      <c r="C251" s="403">
        <v>5728</v>
      </c>
      <c r="D251" s="403">
        <v>0</v>
      </c>
      <c r="E251" s="403">
        <v>301</v>
      </c>
      <c r="F251" s="403">
        <v>664</v>
      </c>
      <c r="G251" s="403">
        <v>375</v>
      </c>
      <c r="H251" s="400">
        <v>7068</v>
      </c>
      <c r="I251" s="400">
        <v>6693</v>
      </c>
      <c r="J251" s="403">
        <v>5</v>
      </c>
      <c r="K251" s="401">
        <v>89.35</v>
      </c>
      <c r="L251" s="401">
        <v>85.48</v>
      </c>
      <c r="M251" s="401">
        <v>5.2</v>
      </c>
      <c r="N251" s="401">
        <v>90.82</v>
      </c>
      <c r="O251" s="402">
        <v>5586</v>
      </c>
      <c r="P251" s="401">
        <v>82.73</v>
      </c>
      <c r="Q251" s="401">
        <v>77.150000000000006</v>
      </c>
      <c r="R251" s="401">
        <v>42.02</v>
      </c>
      <c r="S251" s="401">
        <v>123.47</v>
      </c>
      <c r="T251" s="402">
        <v>790</v>
      </c>
      <c r="U251" s="401">
        <v>106.87</v>
      </c>
      <c r="V251" s="402">
        <v>100</v>
      </c>
      <c r="W251" s="401">
        <v>171.03</v>
      </c>
      <c r="X251" s="402">
        <v>160</v>
      </c>
      <c r="Y251" s="403">
        <v>0</v>
      </c>
      <c r="Z251" s="403">
        <v>6</v>
      </c>
      <c r="AA251" s="403">
        <v>0</v>
      </c>
      <c r="AB251" s="403">
        <v>39</v>
      </c>
      <c r="AC251" s="403">
        <v>8</v>
      </c>
      <c r="AD251" s="403">
        <v>5728</v>
      </c>
      <c r="AE251" s="403">
        <v>27</v>
      </c>
      <c r="AF251" s="403">
        <v>9</v>
      </c>
      <c r="AG251" s="403">
        <v>36</v>
      </c>
    </row>
    <row r="252" spans="1:33" x14ac:dyDescent="0.3">
      <c r="A252" s="396" t="s">
        <v>562</v>
      </c>
      <c r="B252" s="396" t="s">
        <v>563</v>
      </c>
      <c r="C252" s="403">
        <v>3876</v>
      </c>
      <c r="D252" s="403">
        <v>55</v>
      </c>
      <c r="E252" s="403">
        <v>385</v>
      </c>
      <c r="F252" s="403">
        <v>1000</v>
      </c>
      <c r="G252" s="403">
        <v>192</v>
      </c>
      <c r="H252" s="400">
        <v>5508</v>
      </c>
      <c r="I252" s="400">
        <v>5316</v>
      </c>
      <c r="J252" s="403">
        <v>0</v>
      </c>
      <c r="K252" s="401">
        <v>81.010000000000005</v>
      </c>
      <c r="L252" s="401">
        <v>77.7</v>
      </c>
      <c r="M252" s="401">
        <v>3.11</v>
      </c>
      <c r="N252" s="401">
        <v>83.18</v>
      </c>
      <c r="O252" s="402">
        <v>3130</v>
      </c>
      <c r="P252" s="401">
        <v>84.58</v>
      </c>
      <c r="Q252" s="401">
        <v>75.37</v>
      </c>
      <c r="R252" s="401">
        <v>66.42</v>
      </c>
      <c r="S252" s="401">
        <v>150.36000000000001</v>
      </c>
      <c r="T252" s="402">
        <v>941</v>
      </c>
      <c r="U252" s="401">
        <v>98.24</v>
      </c>
      <c r="V252" s="402">
        <v>656</v>
      </c>
      <c r="W252" s="401">
        <v>126.33</v>
      </c>
      <c r="X252" s="402">
        <v>326</v>
      </c>
      <c r="Y252" s="403">
        <v>0</v>
      </c>
      <c r="Z252" s="403">
        <v>4</v>
      </c>
      <c r="AA252" s="403">
        <v>4</v>
      </c>
      <c r="AB252" s="403">
        <v>2</v>
      </c>
      <c r="AC252" s="403">
        <v>1</v>
      </c>
      <c r="AD252" s="403">
        <v>3673</v>
      </c>
      <c r="AE252" s="403">
        <v>40</v>
      </c>
      <c r="AF252" s="403">
        <v>38</v>
      </c>
      <c r="AG252" s="403">
        <v>78</v>
      </c>
    </row>
    <row r="253" spans="1:33" x14ac:dyDescent="0.3">
      <c r="A253" s="396" t="s">
        <v>564</v>
      </c>
      <c r="B253" s="396" t="s">
        <v>565</v>
      </c>
      <c r="C253" s="403">
        <v>5891</v>
      </c>
      <c r="D253" s="403">
        <v>93</v>
      </c>
      <c r="E253" s="403">
        <v>937</v>
      </c>
      <c r="F253" s="403">
        <v>1085</v>
      </c>
      <c r="G253" s="403">
        <v>995</v>
      </c>
      <c r="H253" s="400">
        <v>9001</v>
      </c>
      <c r="I253" s="400">
        <v>8006</v>
      </c>
      <c r="J253" s="403">
        <v>1</v>
      </c>
      <c r="K253" s="401">
        <v>106.17</v>
      </c>
      <c r="L253" s="401">
        <v>103.22</v>
      </c>
      <c r="M253" s="401">
        <v>7.88</v>
      </c>
      <c r="N253" s="401">
        <v>112.91</v>
      </c>
      <c r="O253" s="402">
        <v>4667</v>
      </c>
      <c r="P253" s="401">
        <v>93.52</v>
      </c>
      <c r="Q253" s="401">
        <v>88.06</v>
      </c>
      <c r="R253" s="401">
        <v>43.65</v>
      </c>
      <c r="S253" s="401">
        <v>135.16</v>
      </c>
      <c r="T253" s="402">
        <v>1616</v>
      </c>
      <c r="U253" s="401">
        <v>143.35</v>
      </c>
      <c r="V253" s="402">
        <v>816</v>
      </c>
      <c r="W253" s="401">
        <v>147.38</v>
      </c>
      <c r="X253" s="402">
        <v>23</v>
      </c>
      <c r="Y253" s="403">
        <v>0</v>
      </c>
      <c r="Z253" s="403">
        <v>1</v>
      </c>
      <c r="AA253" s="403">
        <v>8</v>
      </c>
      <c r="AB253" s="403">
        <v>41</v>
      </c>
      <c r="AC253" s="403">
        <v>20</v>
      </c>
      <c r="AD253" s="403">
        <v>5745</v>
      </c>
      <c r="AE253" s="403">
        <v>41</v>
      </c>
      <c r="AF253" s="403">
        <v>5</v>
      </c>
      <c r="AG253" s="403">
        <v>46</v>
      </c>
    </row>
    <row r="254" spans="1:33" x14ac:dyDescent="0.3">
      <c r="A254" s="396" t="s">
        <v>566</v>
      </c>
      <c r="B254" s="396" t="s">
        <v>567</v>
      </c>
      <c r="C254" s="403">
        <v>2851</v>
      </c>
      <c r="D254" s="403">
        <v>0</v>
      </c>
      <c r="E254" s="403">
        <v>554</v>
      </c>
      <c r="F254" s="403">
        <v>318</v>
      </c>
      <c r="G254" s="403">
        <v>422</v>
      </c>
      <c r="H254" s="400">
        <v>4145</v>
      </c>
      <c r="I254" s="400">
        <v>3723</v>
      </c>
      <c r="J254" s="403">
        <v>2</v>
      </c>
      <c r="K254" s="401">
        <v>98.44</v>
      </c>
      <c r="L254" s="401">
        <v>96.84</v>
      </c>
      <c r="M254" s="401">
        <v>13.95</v>
      </c>
      <c r="N254" s="401">
        <v>109.4</v>
      </c>
      <c r="O254" s="402">
        <v>2443</v>
      </c>
      <c r="P254" s="401">
        <v>91.61</v>
      </c>
      <c r="Q254" s="401">
        <v>83.29</v>
      </c>
      <c r="R254" s="401">
        <v>64.16</v>
      </c>
      <c r="S254" s="401">
        <v>154.02000000000001</v>
      </c>
      <c r="T254" s="402">
        <v>512</v>
      </c>
      <c r="U254" s="401">
        <v>149.6</v>
      </c>
      <c r="V254" s="402">
        <v>367</v>
      </c>
      <c r="W254" s="401">
        <v>0</v>
      </c>
      <c r="X254" s="402">
        <v>0</v>
      </c>
      <c r="Y254" s="403">
        <v>1</v>
      </c>
      <c r="Z254" s="403">
        <v>0</v>
      </c>
      <c r="AA254" s="403">
        <v>0</v>
      </c>
      <c r="AB254" s="403">
        <v>2</v>
      </c>
      <c r="AC254" s="403">
        <v>8</v>
      </c>
      <c r="AD254" s="403">
        <v>2851</v>
      </c>
      <c r="AE254" s="403">
        <v>10</v>
      </c>
      <c r="AF254" s="403">
        <v>3</v>
      </c>
      <c r="AG254" s="403">
        <v>13</v>
      </c>
    </row>
    <row r="255" spans="1:33" x14ac:dyDescent="0.3">
      <c r="A255" s="396" t="s">
        <v>568</v>
      </c>
      <c r="B255" s="396" t="s">
        <v>569</v>
      </c>
      <c r="C255" s="403">
        <v>14891</v>
      </c>
      <c r="D255" s="403">
        <v>428</v>
      </c>
      <c r="E255" s="403">
        <v>1405</v>
      </c>
      <c r="F255" s="403">
        <v>715</v>
      </c>
      <c r="G255" s="403">
        <v>3136</v>
      </c>
      <c r="H255" s="400">
        <v>20575</v>
      </c>
      <c r="I255" s="400">
        <v>17439</v>
      </c>
      <c r="J255" s="403">
        <v>175</v>
      </c>
      <c r="K255" s="401">
        <v>123.69</v>
      </c>
      <c r="L255" s="401">
        <v>126.34</v>
      </c>
      <c r="M255" s="401">
        <v>14.14</v>
      </c>
      <c r="N255" s="401">
        <v>134.93</v>
      </c>
      <c r="O255" s="402">
        <v>12297</v>
      </c>
      <c r="P255" s="401">
        <v>110.06</v>
      </c>
      <c r="Q255" s="401">
        <v>104.26</v>
      </c>
      <c r="R255" s="401">
        <v>61.13</v>
      </c>
      <c r="S255" s="401">
        <v>168.15</v>
      </c>
      <c r="T255" s="402">
        <v>1893</v>
      </c>
      <c r="U255" s="401">
        <v>199.48</v>
      </c>
      <c r="V255" s="402">
        <v>1185</v>
      </c>
      <c r="W255" s="401">
        <v>206.63</v>
      </c>
      <c r="X255" s="402">
        <v>25</v>
      </c>
      <c r="Y255" s="403">
        <v>0</v>
      </c>
      <c r="Z255" s="403">
        <v>0</v>
      </c>
      <c r="AA255" s="403">
        <v>77</v>
      </c>
      <c r="AB255" s="403">
        <v>112</v>
      </c>
      <c r="AC255" s="403">
        <v>182</v>
      </c>
      <c r="AD255" s="403">
        <v>14229</v>
      </c>
      <c r="AE255" s="403">
        <v>128</v>
      </c>
      <c r="AF255" s="403">
        <v>60</v>
      </c>
      <c r="AG255" s="403">
        <v>188</v>
      </c>
    </row>
    <row r="256" spans="1:33" x14ac:dyDescent="0.3">
      <c r="A256" s="396" t="s">
        <v>570</v>
      </c>
      <c r="B256" s="396" t="s">
        <v>571</v>
      </c>
      <c r="C256" s="403">
        <v>4925</v>
      </c>
      <c r="D256" s="403">
        <v>0</v>
      </c>
      <c r="E256" s="403">
        <v>156</v>
      </c>
      <c r="F256" s="403">
        <v>338</v>
      </c>
      <c r="G256" s="403">
        <v>394</v>
      </c>
      <c r="H256" s="400">
        <v>5813</v>
      </c>
      <c r="I256" s="400">
        <v>5419</v>
      </c>
      <c r="J256" s="403">
        <v>9</v>
      </c>
      <c r="K256" s="401">
        <v>117.53</v>
      </c>
      <c r="L256" s="401">
        <v>112.5</v>
      </c>
      <c r="M256" s="401">
        <v>5.77</v>
      </c>
      <c r="N256" s="401">
        <v>122.69</v>
      </c>
      <c r="O256" s="402">
        <v>4719</v>
      </c>
      <c r="P256" s="401">
        <v>110.7</v>
      </c>
      <c r="Q256" s="401">
        <v>104.7</v>
      </c>
      <c r="R256" s="401">
        <v>68.510000000000005</v>
      </c>
      <c r="S256" s="401">
        <v>171.87</v>
      </c>
      <c r="T256" s="402">
        <v>345</v>
      </c>
      <c r="U256" s="401">
        <v>215.98</v>
      </c>
      <c r="V256" s="402">
        <v>184</v>
      </c>
      <c r="W256" s="401">
        <v>156.82</v>
      </c>
      <c r="X256" s="402">
        <v>2</v>
      </c>
      <c r="Y256" s="403">
        <v>0</v>
      </c>
      <c r="Z256" s="403">
        <v>2</v>
      </c>
      <c r="AA256" s="403">
        <v>0</v>
      </c>
      <c r="AB256" s="403">
        <v>0</v>
      </c>
      <c r="AC256" s="403">
        <v>15</v>
      </c>
      <c r="AD256" s="403">
        <v>4922</v>
      </c>
      <c r="AE256" s="403">
        <v>24</v>
      </c>
      <c r="AF256" s="403">
        <v>3</v>
      </c>
      <c r="AG256" s="403">
        <v>27</v>
      </c>
    </row>
    <row r="257" spans="1:33" x14ac:dyDescent="0.3">
      <c r="A257" s="396" t="s">
        <v>572</v>
      </c>
      <c r="B257" s="396" t="s">
        <v>573</v>
      </c>
      <c r="C257" s="403">
        <v>2187</v>
      </c>
      <c r="D257" s="403">
        <v>0</v>
      </c>
      <c r="E257" s="403">
        <v>276</v>
      </c>
      <c r="F257" s="403">
        <v>206</v>
      </c>
      <c r="G257" s="403">
        <v>254</v>
      </c>
      <c r="H257" s="400">
        <v>2923</v>
      </c>
      <c r="I257" s="400">
        <v>2669</v>
      </c>
      <c r="J257" s="403">
        <v>2</v>
      </c>
      <c r="K257" s="401">
        <v>123.11</v>
      </c>
      <c r="L257" s="401">
        <v>120.79</v>
      </c>
      <c r="M257" s="401">
        <v>7.97</v>
      </c>
      <c r="N257" s="401">
        <v>129.62</v>
      </c>
      <c r="O257" s="402">
        <v>1617</v>
      </c>
      <c r="P257" s="401">
        <v>119.72</v>
      </c>
      <c r="Q257" s="401">
        <v>106.71</v>
      </c>
      <c r="R257" s="401">
        <v>38.729999999999997</v>
      </c>
      <c r="S257" s="401">
        <v>157.06</v>
      </c>
      <c r="T257" s="402">
        <v>391</v>
      </c>
      <c r="U257" s="401">
        <v>194.01</v>
      </c>
      <c r="V257" s="402">
        <v>339</v>
      </c>
      <c r="W257" s="401">
        <v>187.3</v>
      </c>
      <c r="X257" s="402">
        <v>38</v>
      </c>
      <c r="Y257" s="403">
        <v>0</v>
      </c>
      <c r="Z257" s="403">
        <v>0</v>
      </c>
      <c r="AA257" s="403">
        <v>0</v>
      </c>
      <c r="AB257" s="403">
        <v>29</v>
      </c>
      <c r="AC257" s="403">
        <v>16</v>
      </c>
      <c r="AD257" s="403">
        <v>2184</v>
      </c>
      <c r="AE257" s="403">
        <v>20</v>
      </c>
      <c r="AF257" s="403">
        <v>4</v>
      </c>
      <c r="AG257" s="403">
        <v>24</v>
      </c>
    </row>
    <row r="258" spans="1:33" x14ac:dyDescent="0.3">
      <c r="A258" s="396" t="s">
        <v>574</v>
      </c>
      <c r="B258" s="396" t="s">
        <v>575</v>
      </c>
      <c r="C258" s="403">
        <v>14585</v>
      </c>
      <c r="D258" s="403">
        <v>0</v>
      </c>
      <c r="E258" s="403">
        <v>646</v>
      </c>
      <c r="F258" s="403">
        <v>2189</v>
      </c>
      <c r="G258" s="403">
        <v>567</v>
      </c>
      <c r="H258" s="400">
        <v>17987</v>
      </c>
      <c r="I258" s="400">
        <v>17420</v>
      </c>
      <c r="J258" s="403">
        <v>94</v>
      </c>
      <c r="K258" s="401">
        <v>89.48</v>
      </c>
      <c r="L258" s="401">
        <v>85.96</v>
      </c>
      <c r="M258" s="401">
        <v>1.8</v>
      </c>
      <c r="N258" s="401">
        <v>91.11</v>
      </c>
      <c r="O258" s="402">
        <v>13136</v>
      </c>
      <c r="P258" s="401">
        <v>93.45</v>
      </c>
      <c r="Q258" s="401">
        <v>79.16</v>
      </c>
      <c r="R258" s="401">
        <v>45.11</v>
      </c>
      <c r="S258" s="401">
        <v>138.04</v>
      </c>
      <c r="T258" s="402">
        <v>2472</v>
      </c>
      <c r="U258" s="401">
        <v>101.04</v>
      </c>
      <c r="V258" s="402">
        <v>1350</v>
      </c>
      <c r="W258" s="401">
        <v>136.5</v>
      </c>
      <c r="X258" s="402">
        <v>191</v>
      </c>
      <c r="Y258" s="403">
        <v>0</v>
      </c>
      <c r="Z258" s="403">
        <v>53</v>
      </c>
      <c r="AA258" s="403">
        <v>1</v>
      </c>
      <c r="AB258" s="403">
        <v>60</v>
      </c>
      <c r="AC258" s="403">
        <v>9</v>
      </c>
      <c r="AD258" s="403">
        <v>14531</v>
      </c>
      <c r="AE258" s="403">
        <v>162</v>
      </c>
      <c r="AF258" s="403">
        <v>99</v>
      </c>
      <c r="AG258" s="403">
        <v>261</v>
      </c>
    </row>
    <row r="259" spans="1:33" x14ac:dyDescent="0.3">
      <c r="A259" s="396" t="s">
        <v>576</v>
      </c>
      <c r="B259" s="396" t="s">
        <v>577</v>
      </c>
      <c r="C259" s="403">
        <v>6478</v>
      </c>
      <c r="D259" s="403">
        <v>0</v>
      </c>
      <c r="E259" s="403">
        <v>288</v>
      </c>
      <c r="F259" s="403">
        <v>1636</v>
      </c>
      <c r="G259" s="403">
        <v>453</v>
      </c>
      <c r="H259" s="400">
        <v>8855</v>
      </c>
      <c r="I259" s="400">
        <v>8402</v>
      </c>
      <c r="J259" s="403">
        <v>0</v>
      </c>
      <c r="K259" s="401">
        <v>84.53</v>
      </c>
      <c r="L259" s="401">
        <v>84.36</v>
      </c>
      <c r="M259" s="401">
        <v>4.9800000000000004</v>
      </c>
      <c r="N259" s="401">
        <v>87.53</v>
      </c>
      <c r="O259" s="402">
        <v>5759</v>
      </c>
      <c r="P259" s="401">
        <v>82.64</v>
      </c>
      <c r="Q259" s="401">
        <v>76.260000000000005</v>
      </c>
      <c r="R259" s="401">
        <v>20.85</v>
      </c>
      <c r="S259" s="401">
        <v>102.89</v>
      </c>
      <c r="T259" s="402">
        <v>1781</v>
      </c>
      <c r="U259" s="401">
        <v>107.36</v>
      </c>
      <c r="V259" s="402">
        <v>714</v>
      </c>
      <c r="W259" s="401">
        <v>193.29</v>
      </c>
      <c r="X259" s="402">
        <v>140</v>
      </c>
      <c r="Y259" s="403">
        <v>8</v>
      </c>
      <c r="Z259" s="403">
        <v>11</v>
      </c>
      <c r="AA259" s="403">
        <v>0</v>
      </c>
      <c r="AB259" s="403">
        <v>18</v>
      </c>
      <c r="AC259" s="403">
        <v>7</v>
      </c>
      <c r="AD259" s="403">
        <v>6478</v>
      </c>
      <c r="AE259" s="403">
        <v>50</v>
      </c>
      <c r="AF259" s="403">
        <v>72</v>
      </c>
      <c r="AG259" s="403">
        <v>122</v>
      </c>
    </row>
    <row r="260" spans="1:33" x14ac:dyDescent="0.3">
      <c r="A260" s="396" t="s">
        <v>578</v>
      </c>
      <c r="B260" s="396" t="s">
        <v>579</v>
      </c>
      <c r="C260" s="403">
        <v>3401</v>
      </c>
      <c r="D260" s="403">
        <v>0</v>
      </c>
      <c r="E260" s="403">
        <v>134</v>
      </c>
      <c r="F260" s="403">
        <v>299</v>
      </c>
      <c r="G260" s="403">
        <v>78</v>
      </c>
      <c r="H260" s="400">
        <v>3912</v>
      </c>
      <c r="I260" s="400">
        <v>3834</v>
      </c>
      <c r="J260" s="403">
        <v>65</v>
      </c>
      <c r="K260" s="401">
        <v>86.72</v>
      </c>
      <c r="L260" s="401">
        <v>83.31</v>
      </c>
      <c r="M260" s="401">
        <v>4.33</v>
      </c>
      <c r="N260" s="401">
        <v>88.54</v>
      </c>
      <c r="O260" s="402">
        <v>3042</v>
      </c>
      <c r="P260" s="401">
        <v>83.1</v>
      </c>
      <c r="Q260" s="401">
        <v>76.19</v>
      </c>
      <c r="R260" s="401">
        <v>67.84</v>
      </c>
      <c r="S260" s="401">
        <v>150.72</v>
      </c>
      <c r="T260" s="402">
        <v>320</v>
      </c>
      <c r="U260" s="401">
        <v>98.43</v>
      </c>
      <c r="V260" s="402">
        <v>256</v>
      </c>
      <c r="W260" s="401">
        <v>149.74</v>
      </c>
      <c r="X260" s="402">
        <v>72</v>
      </c>
      <c r="Y260" s="403">
        <v>0</v>
      </c>
      <c r="Z260" s="403">
        <v>11</v>
      </c>
      <c r="AA260" s="403">
        <v>0</v>
      </c>
      <c r="AB260" s="403">
        <v>0</v>
      </c>
      <c r="AC260" s="403">
        <v>3</v>
      </c>
      <c r="AD260" s="403">
        <v>3216</v>
      </c>
      <c r="AE260" s="403">
        <v>28</v>
      </c>
      <c r="AF260" s="403">
        <v>4</v>
      </c>
      <c r="AG260" s="403">
        <v>32</v>
      </c>
    </row>
    <row r="261" spans="1:33" x14ac:dyDescent="0.3">
      <c r="A261" s="396" t="s">
        <v>580</v>
      </c>
      <c r="B261" s="396" t="s">
        <v>581</v>
      </c>
      <c r="C261" s="403">
        <v>1731</v>
      </c>
      <c r="D261" s="403">
        <v>6</v>
      </c>
      <c r="E261" s="403">
        <v>162</v>
      </c>
      <c r="F261" s="403">
        <v>311</v>
      </c>
      <c r="G261" s="403">
        <v>612</v>
      </c>
      <c r="H261" s="400">
        <v>2822</v>
      </c>
      <c r="I261" s="400">
        <v>2210</v>
      </c>
      <c r="J261" s="403">
        <v>0</v>
      </c>
      <c r="K261" s="401">
        <v>114.34</v>
      </c>
      <c r="L261" s="401">
        <v>111.37</v>
      </c>
      <c r="M261" s="401">
        <v>7.18</v>
      </c>
      <c r="N261" s="401">
        <v>121.05</v>
      </c>
      <c r="O261" s="402">
        <v>1425</v>
      </c>
      <c r="P261" s="401">
        <v>104.38</v>
      </c>
      <c r="Q261" s="401">
        <v>92.39</v>
      </c>
      <c r="R261" s="401">
        <v>39.9</v>
      </c>
      <c r="S261" s="401">
        <v>143.4</v>
      </c>
      <c r="T261" s="402">
        <v>410</v>
      </c>
      <c r="U261" s="401">
        <v>144.15</v>
      </c>
      <c r="V261" s="402">
        <v>165</v>
      </c>
      <c r="W261" s="401">
        <v>0</v>
      </c>
      <c r="X261" s="402">
        <v>0</v>
      </c>
      <c r="Y261" s="403">
        <v>0</v>
      </c>
      <c r="Z261" s="403">
        <v>0</v>
      </c>
      <c r="AA261" s="403">
        <v>0</v>
      </c>
      <c r="AB261" s="403">
        <v>49</v>
      </c>
      <c r="AC261" s="403">
        <v>11</v>
      </c>
      <c r="AD261" s="403">
        <v>1609</v>
      </c>
      <c r="AE261" s="403">
        <v>6</v>
      </c>
      <c r="AF261" s="403">
        <v>1</v>
      </c>
      <c r="AG261" s="403">
        <v>7</v>
      </c>
    </row>
    <row r="262" spans="1:33" x14ac:dyDescent="0.3">
      <c r="A262" s="396" t="s">
        <v>582</v>
      </c>
      <c r="B262" s="396" t="s">
        <v>583</v>
      </c>
      <c r="C262" s="403">
        <v>4736</v>
      </c>
      <c r="D262" s="403">
        <v>0</v>
      </c>
      <c r="E262" s="403">
        <v>566</v>
      </c>
      <c r="F262" s="403">
        <v>1242</v>
      </c>
      <c r="G262" s="403">
        <v>1076</v>
      </c>
      <c r="H262" s="400">
        <v>7620</v>
      </c>
      <c r="I262" s="400">
        <v>6544</v>
      </c>
      <c r="J262" s="403">
        <v>2</v>
      </c>
      <c r="K262" s="401">
        <v>84.05</v>
      </c>
      <c r="L262" s="401">
        <v>82.32</v>
      </c>
      <c r="M262" s="401">
        <v>7.29</v>
      </c>
      <c r="N262" s="401">
        <v>88.18</v>
      </c>
      <c r="O262" s="402">
        <v>3869</v>
      </c>
      <c r="P262" s="401">
        <v>84.74</v>
      </c>
      <c r="Q262" s="401">
        <v>77.22</v>
      </c>
      <c r="R262" s="401">
        <v>31.38</v>
      </c>
      <c r="S262" s="401">
        <v>114.9</v>
      </c>
      <c r="T262" s="402">
        <v>1618</v>
      </c>
      <c r="U262" s="401">
        <v>117.66</v>
      </c>
      <c r="V262" s="402">
        <v>644</v>
      </c>
      <c r="W262" s="401">
        <v>182.87</v>
      </c>
      <c r="X262" s="402">
        <v>52</v>
      </c>
      <c r="Y262" s="403">
        <v>6</v>
      </c>
      <c r="Z262" s="403">
        <v>4</v>
      </c>
      <c r="AA262" s="403">
        <v>5</v>
      </c>
      <c r="AB262" s="403">
        <v>32</v>
      </c>
      <c r="AC262" s="403">
        <v>9</v>
      </c>
      <c r="AD262" s="403">
        <v>4287</v>
      </c>
      <c r="AE262" s="403">
        <v>30</v>
      </c>
      <c r="AF262" s="403">
        <v>10</v>
      </c>
      <c r="AG262" s="403">
        <v>40</v>
      </c>
    </row>
    <row r="263" spans="1:33" x14ac:dyDescent="0.3">
      <c r="A263" s="396" t="s">
        <v>584</v>
      </c>
      <c r="B263" s="396" t="s">
        <v>585</v>
      </c>
      <c r="C263" s="403">
        <v>13013</v>
      </c>
      <c r="D263" s="403">
        <v>0</v>
      </c>
      <c r="E263" s="403">
        <v>350</v>
      </c>
      <c r="F263" s="403">
        <v>824</v>
      </c>
      <c r="G263" s="403">
        <v>320</v>
      </c>
      <c r="H263" s="400">
        <v>14507</v>
      </c>
      <c r="I263" s="400">
        <v>14187</v>
      </c>
      <c r="J263" s="403">
        <v>3</v>
      </c>
      <c r="K263" s="401">
        <v>82.06</v>
      </c>
      <c r="L263" s="401">
        <v>82.07</v>
      </c>
      <c r="M263" s="401">
        <v>12.34</v>
      </c>
      <c r="N263" s="401">
        <v>85.59</v>
      </c>
      <c r="O263" s="402">
        <v>10897</v>
      </c>
      <c r="P263" s="401">
        <v>87.54</v>
      </c>
      <c r="Q263" s="401">
        <v>78.349999999999994</v>
      </c>
      <c r="R263" s="401">
        <v>54.82</v>
      </c>
      <c r="S263" s="401">
        <v>141.84</v>
      </c>
      <c r="T263" s="402">
        <v>1046</v>
      </c>
      <c r="U263" s="401">
        <v>100.63</v>
      </c>
      <c r="V263" s="402">
        <v>1922</v>
      </c>
      <c r="W263" s="401">
        <v>161.63999999999999</v>
      </c>
      <c r="X263" s="402">
        <v>63</v>
      </c>
      <c r="Y263" s="403">
        <v>0</v>
      </c>
      <c r="Z263" s="403">
        <v>32</v>
      </c>
      <c r="AA263" s="403">
        <v>1</v>
      </c>
      <c r="AB263" s="403">
        <v>30</v>
      </c>
      <c r="AC263" s="403">
        <v>7</v>
      </c>
      <c r="AD263" s="403">
        <v>12877</v>
      </c>
      <c r="AE263" s="403">
        <v>66</v>
      </c>
      <c r="AF263" s="403">
        <v>331</v>
      </c>
      <c r="AG263" s="403">
        <v>397</v>
      </c>
    </row>
    <row r="264" spans="1:33" x14ac:dyDescent="0.3">
      <c r="A264" s="396" t="s">
        <v>586</v>
      </c>
      <c r="B264" s="396" t="s">
        <v>587</v>
      </c>
      <c r="C264" s="403">
        <v>6097</v>
      </c>
      <c r="D264" s="403">
        <v>0</v>
      </c>
      <c r="E264" s="403">
        <v>807</v>
      </c>
      <c r="F264" s="403">
        <v>1523</v>
      </c>
      <c r="G264" s="403">
        <v>257</v>
      </c>
      <c r="H264" s="400">
        <v>8684</v>
      </c>
      <c r="I264" s="400">
        <v>8427</v>
      </c>
      <c r="J264" s="403">
        <v>23</v>
      </c>
      <c r="K264" s="401">
        <v>77.040000000000006</v>
      </c>
      <c r="L264" s="401">
        <v>75.73</v>
      </c>
      <c r="M264" s="401">
        <v>4.8499999999999996</v>
      </c>
      <c r="N264" s="401">
        <v>80.42</v>
      </c>
      <c r="O264" s="402">
        <v>4853</v>
      </c>
      <c r="P264" s="401">
        <v>96.19</v>
      </c>
      <c r="Q264" s="401">
        <v>84.83</v>
      </c>
      <c r="R264" s="401">
        <v>65.89</v>
      </c>
      <c r="S264" s="401">
        <v>161.55000000000001</v>
      </c>
      <c r="T264" s="402">
        <v>1757</v>
      </c>
      <c r="U264" s="401">
        <v>96.95</v>
      </c>
      <c r="V264" s="402">
        <v>639</v>
      </c>
      <c r="W264" s="401">
        <v>229.17</v>
      </c>
      <c r="X264" s="402">
        <v>141</v>
      </c>
      <c r="Y264" s="403">
        <v>11</v>
      </c>
      <c r="Z264" s="403">
        <v>1</v>
      </c>
      <c r="AA264" s="403">
        <v>5</v>
      </c>
      <c r="AB264" s="403">
        <v>0</v>
      </c>
      <c r="AC264" s="403">
        <v>5</v>
      </c>
      <c r="AD264" s="403">
        <v>5498</v>
      </c>
      <c r="AE264" s="403">
        <v>28</v>
      </c>
      <c r="AF264" s="403">
        <v>26</v>
      </c>
      <c r="AG264" s="403">
        <v>54</v>
      </c>
    </row>
    <row r="265" spans="1:33" x14ac:dyDescent="0.3">
      <c r="A265" s="396" t="s">
        <v>588</v>
      </c>
      <c r="B265" s="396" t="s">
        <v>589</v>
      </c>
      <c r="C265" s="403">
        <v>7241</v>
      </c>
      <c r="D265" s="403">
        <v>2</v>
      </c>
      <c r="E265" s="403">
        <v>89</v>
      </c>
      <c r="F265" s="403">
        <v>783</v>
      </c>
      <c r="G265" s="403">
        <v>983</v>
      </c>
      <c r="H265" s="400">
        <v>9098</v>
      </c>
      <c r="I265" s="400">
        <v>8115</v>
      </c>
      <c r="J265" s="403">
        <v>10</v>
      </c>
      <c r="K265" s="401">
        <v>106.92</v>
      </c>
      <c r="L265" s="401">
        <v>104.19</v>
      </c>
      <c r="M265" s="401">
        <v>6.19</v>
      </c>
      <c r="N265" s="401">
        <v>109.9</v>
      </c>
      <c r="O265" s="402">
        <v>6510</v>
      </c>
      <c r="P265" s="401">
        <v>95.97</v>
      </c>
      <c r="Q265" s="401">
        <v>91.58</v>
      </c>
      <c r="R265" s="401">
        <v>41.14</v>
      </c>
      <c r="S265" s="401">
        <v>135.96</v>
      </c>
      <c r="T265" s="402">
        <v>715</v>
      </c>
      <c r="U265" s="401">
        <v>141.85</v>
      </c>
      <c r="V265" s="402">
        <v>372</v>
      </c>
      <c r="W265" s="401">
        <v>134.55000000000001</v>
      </c>
      <c r="X265" s="402">
        <v>91</v>
      </c>
      <c r="Y265" s="403">
        <v>31</v>
      </c>
      <c r="Z265" s="403">
        <v>10</v>
      </c>
      <c r="AA265" s="403">
        <v>5</v>
      </c>
      <c r="AB265" s="403">
        <v>59</v>
      </c>
      <c r="AC265" s="403">
        <v>17</v>
      </c>
      <c r="AD265" s="403">
        <v>6820</v>
      </c>
      <c r="AE265" s="403">
        <v>106</v>
      </c>
      <c r="AF265" s="403">
        <v>47</v>
      </c>
      <c r="AG265" s="403">
        <v>153</v>
      </c>
    </row>
    <row r="266" spans="1:33" x14ac:dyDescent="0.3">
      <c r="A266" s="396" t="s">
        <v>590</v>
      </c>
      <c r="B266" s="396" t="s">
        <v>591</v>
      </c>
      <c r="C266" s="403">
        <v>1705</v>
      </c>
      <c r="D266" s="403">
        <v>2</v>
      </c>
      <c r="E266" s="403">
        <v>155</v>
      </c>
      <c r="F266" s="403">
        <v>138</v>
      </c>
      <c r="G266" s="403">
        <v>553</v>
      </c>
      <c r="H266" s="400">
        <v>2553</v>
      </c>
      <c r="I266" s="400">
        <v>2000</v>
      </c>
      <c r="J266" s="403">
        <v>0</v>
      </c>
      <c r="K266" s="401">
        <v>99.88</v>
      </c>
      <c r="L266" s="401">
        <v>97.18</v>
      </c>
      <c r="M266" s="401">
        <v>5.45</v>
      </c>
      <c r="N266" s="401">
        <v>104.14</v>
      </c>
      <c r="O266" s="402">
        <v>1088</v>
      </c>
      <c r="P266" s="401">
        <v>87.61</v>
      </c>
      <c r="Q266" s="401">
        <v>81.94</v>
      </c>
      <c r="R266" s="401">
        <v>49.03</v>
      </c>
      <c r="S266" s="401">
        <v>133.96</v>
      </c>
      <c r="T266" s="402">
        <v>220</v>
      </c>
      <c r="U266" s="401">
        <v>126.68</v>
      </c>
      <c r="V266" s="402">
        <v>535</v>
      </c>
      <c r="W266" s="401">
        <v>0</v>
      </c>
      <c r="X266" s="402">
        <v>0</v>
      </c>
      <c r="Y266" s="403">
        <v>2</v>
      </c>
      <c r="Z266" s="403">
        <v>0</v>
      </c>
      <c r="AA266" s="403">
        <v>0</v>
      </c>
      <c r="AB266" s="403">
        <v>34</v>
      </c>
      <c r="AC266" s="403">
        <v>4</v>
      </c>
      <c r="AD266" s="403">
        <v>1625</v>
      </c>
      <c r="AE266" s="403">
        <v>19</v>
      </c>
      <c r="AF266" s="403">
        <v>11</v>
      </c>
      <c r="AG266" s="403">
        <v>30</v>
      </c>
    </row>
    <row r="267" spans="1:33" x14ac:dyDescent="0.3">
      <c r="A267" s="396" t="s">
        <v>592</v>
      </c>
      <c r="B267" s="396" t="s">
        <v>593</v>
      </c>
      <c r="C267" s="403">
        <v>31714</v>
      </c>
      <c r="D267" s="403">
        <v>2</v>
      </c>
      <c r="E267" s="403">
        <v>747</v>
      </c>
      <c r="F267" s="403">
        <v>2043</v>
      </c>
      <c r="G267" s="403">
        <v>298</v>
      </c>
      <c r="H267" s="400">
        <v>34804</v>
      </c>
      <c r="I267" s="400">
        <v>34506</v>
      </c>
      <c r="J267" s="403">
        <v>7</v>
      </c>
      <c r="K267" s="401">
        <v>80.12</v>
      </c>
      <c r="L267" s="401">
        <v>79.790000000000006</v>
      </c>
      <c r="M267" s="401">
        <v>6.46</v>
      </c>
      <c r="N267" s="401">
        <v>81.349999999999994</v>
      </c>
      <c r="O267" s="402">
        <v>29099</v>
      </c>
      <c r="P267" s="401">
        <v>86.62</v>
      </c>
      <c r="Q267" s="401">
        <v>74.2</v>
      </c>
      <c r="R267" s="401">
        <v>45.18</v>
      </c>
      <c r="S267" s="401">
        <v>130.38999999999999</v>
      </c>
      <c r="T267" s="402">
        <v>2077</v>
      </c>
      <c r="U267" s="401">
        <v>99.71</v>
      </c>
      <c r="V267" s="402">
        <v>2205</v>
      </c>
      <c r="W267" s="401">
        <v>188.11</v>
      </c>
      <c r="X267" s="402">
        <v>601</v>
      </c>
      <c r="Y267" s="403">
        <v>0</v>
      </c>
      <c r="Z267" s="403">
        <v>68</v>
      </c>
      <c r="AA267" s="403">
        <v>0</v>
      </c>
      <c r="AB267" s="403">
        <v>1</v>
      </c>
      <c r="AC267" s="403">
        <v>3</v>
      </c>
      <c r="AD267" s="403">
        <v>31419</v>
      </c>
      <c r="AE267" s="403">
        <v>281</v>
      </c>
      <c r="AF267" s="403">
        <v>187</v>
      </c>
      <c r="AG267" s="403">
        <v>468</v>
      </c>
    </row>
    <row r="268" spans="1:33" x14ac:dyDescent="0.3">
      <c r="A268" s="396" t="s">
        <v>594</v>
      </c>
      <c r="B268" s="396" t="s">
        <v>595</v>
      </c>
      <c r="C268" s="403">
        <v>3167</v>
      </c>
      <c r="D268" s="403">
        <v>44</v>
      </c>
      <c r="E268" s="403">
        <v>103</v>
      </c>
      <c r="F268" s="403">
        <v>303</v>
      </c>
      <c r="G268" s="403">
        <v>347</v>
      </c>
      <c r="H268" s="400">
        <v>3964</v>
      </c>
      <c r="I268" s="400">
        <v>3617</v>
      </c>
      <c r="J268" s="403">
        <v>22</v>
      </c>
      <c r="K268" s="401">
        <v>112.45</v>
      </c>
      <c r="L268" s="401">
        <v>109.66</v>
      </c>
      <c r="M268" s="401">
        <v>7.07</v>
      </c>
      <c r="N268" s="401">
        <v>116.78</v>
      </c>
      <c r="O268" s="402">
        <v>2937</v>
      </c>
      <c r="P268" s="401">
        <v>108.55</v>
      </c>
      <c r="Q268" s="401">
        <v>90.19</v>
      </c>
      <c r="R268" s="401">
        <v>36.090000000000003</v>
      </c>
      <c r="S268" s="401">
        <v>144.12</v>
      </c>
      <c r="T268" s="402">
        <v>352</v>
      </c>
      <c r="U268" s="401">
        <v>215.29</v>
      </c>
      <c r="V268" s="402">
        <v>182</v>
      </c>
      <c r="W268" s="401">
        <v>0</v>
      </c>
      <c r="X268" s="402">
        <v>0</v>
      </c>
      <c r="Y268" s="403">
        <v>12</v>
      </c>
      <c r="Z268" s="403">
        <v>0</v>
      </c>
      <c r="AA268" s="403">
        <v>0</v>
      </c>
      <c r="AB268" s="403">
        <v>16</v>
      </c>
      <c r="AC268" s="403">
        <v>5</v>
      </c>
      <c r="AD268" s="403">
        <v>3167</v>
      </c>
      <c r="AE268" s="403">
        <v>41</v>
      </c>
      <c r="AF268" s="403">
        <v>5</v>
      </c>
      <c r="AG268" s="403">
        <v>46</v>
      </c>
    </row>
    <row r="269" spans="1:33" x14ac:dyDescent="0.3">
      <c r="A269" s="396" t="s">
        <v>596</v>
      </c>
      <c r="B269" s="396" t="s">
        <v>597</v>
      </c>
      <c r="C269" s="403">
        <v>4618</v>
      </c>
      <c r="D269" s="403">
        <v>8</v>
      </c>
      <c r="E269" s="403">
        <v>420</v>
      </c>
      <c r="F269" s="403">
        <v>933</v>
      </c>
      <c r="G269" s="403">
        <v>1003</v>
      </c>
      <c r="H269" s="400">
        <v>6982</v>
      </c>
      <c r="I269" s="400">
        <v>5979</v>
      </c>
      <c r="J269" s="403">
        <v>27</v>
      </c>
      <c r="K269" s="401">
        <v>118.9</v>
      </c>
      <c r="L269" s="401">
        <v>117.03</v>
      </c>
      <c r="M269" s="401">
        <v>8.8000000000000007</v>
      </c>
      <c r="N269" s="401">
        <v>127.21</v>
      </c>
      <c r="O269" s="402">
        <v>4019</v>
      </c>
      <c r="P269" s="401">
        <v>116.17</v>
      </c>
      <c r="Q269" s="401">
        <v>104.74</v>
      </c>
      <c r="R269" s="401">
        <v>47.66</v>
      </c>
      <c r="S269" s="401">
        <v>163.43</v>
      </c>
      <c r="T269" s="402">
        <v>728</v>
      </c>
      <c r="U269" s="401">
        <v>181.1</v>
      </c>
      <c r="V269" s="402">
        <v>370</v>
      </c>
      <c r="W269" s="401">
        <v>223.82</v>
      </c>
      <c r="X269" s="402">
        <v>99</v>
      </c>
      <c r="Y269" s="403">
        <v>21</v>
      </c>
      <c r="Z269" s="403">
        <v>1</v>
      </c>
      <c r="AA269" s="403">
        <v>17</v>
      </c>
      <c r="AB269" s="403">
        <v>77</v>
      </c>
      <c r="AC269" s="403">
        <v>31</v>
      </c>
      <c r="AD269" s="403">
        <v>4456</v>
      </c>
      <c r="AE269" s="403">
        <v>24</v>
      </c>
      <c r="AF269" s="403">
        <v>21</v>
      </c>
      <c r="AG269" s="403">
        <v>45</v>
      </c>
    </row>
    <row r="270" spans="1:33" x14ac:dyDescent="0.3">
      <c r="A270" s="396" t="s">
        <v>598</v>
      </c>
      <c r="B270" s="396" t="s">
        <v>599</v>
      </c>
      <c r="C270" s="403">
        <v>7883</v>
      </c>
      <c r="D270" s="403">
        <v>0</v>
      </c>
      <c r="E270" s="403">
        <v>234</v>
      </c>
      <c r="F270" s="403">
        <v>438</v>
      </c>
      <c r="G270" s="403">
        <v>727</v>
      </c>
      <c r="H270" s="400">
        <v>9282</v>
      </c>
      <c r="I270" s="400">
        <v>8555</v>
      </c>
      <c r="J270" s="403">
        <v>6</v>
      </c>
      <c r="K270" s="401">
        <v>98.91</v>
      </c>
      <c r="L270" s="401">
        <v>98.45</v>
      </c>
      <c r="M270" s="401">
        <v>6.67</v>
      </c>
      <c r="N270" s="401">
        <v>101.99</v>
      </c>
      <c r="O270" s="402">
        <v>6537</v>
      </c>
      <c r="P270" s="401">
        <v>93.25</v>
      </c>
      <c r="Q270" s="401">
        <v>82.64</v>
      </c>
      <c r="R270" s="401">
        <v>51.79</v>
      </c>
      <c r="S270" s="401">
        <v>145.04</v>
      </c>
      <c r="T270" s="402">
        <v>603</v>
      </c>
      <c r="U270" s="401">
        <v>136.47</v>
      </c>
      <c r="V270" s="402">
        <v>1230</v>
      </c>
      <c r="W270" s="401">
        <v>0</v>
      </c>
      <c r="X270" s="402">
        <v>0</v>
      </c>
      <c r="Y270" s="403">
        <v>3</v>
      </c>
      <c r="Z270" s="403">
        <v>2</v>
      </c>
      <c r="AA270" s="403">
        <v>28</v>
      </c>
      <c r="AB270" s="403">
        <v>45</v>
      </c>
      <c r="AC270" s="403">
        <v>13</v>
      </c>
      <c r="AD270" s="403">
        <v>7787</v>
      </c>
      <c r="AE270" s="403">
        <v>69</v>
      </c>
      <c r="AF270" s="403">
        <v>62</v>
      </c>
      <c r="AG270" s="403">
        <v>131</v>
      </c>
    </row>
    <row r="271" spans="1:33" x14ac:dyDescent="0.3">
      <c r="A271" s="396" t="s">
        <v>600</v>
      </c>
      <c r="B271" s="396" t="s">
        <v>601</v>
      </c>
      <c r="C271" s="403">
        <v>4123</v>
      </c>
      <c r="D271" s="403">
        <v>0</v>
      </c>
      <c r="E271" s="403">
        <v>535</v>
      </c>
      <c r="F271" s="403">
        <v>923</v>
      </c>
      <c r="G271" s="403">
        <v>1060</v>
      </c>
      <c r="H271" s="400">
        <v>6641</v>
      </c>
      <c r="I271" s="400">
        <v>5581</v>
      </c>
      <c r="J271" s="403">
        <v>4</v>
      </c>
      <c r="K271" s="401">
        <v>98.33</v>
      </c>
      <c r="L271" s="401">
        <v>96.68</v>
      </c>
      <c r="M271" s="401">
        <v>6.67</v>
      </c>
      <c r="N271" s="401">
        <v>103.48</v>
      </c>
      <c r="O271" s="402">
        <v>3043</v>
      </c>
      <c r="P271" s="401">
        <v>84.84</v>
      </c>
      <c r="Q271" s="401">
        <v>82.27</v>
      </c>
      <c r="R271" s="401">
        <v>52.85</v>
      </c>
      <c r="S271" s="401">
        <v>135.51</v>
      </c>
      <c r="T271" s="402">
        <v>1328</v>
      </c>
      <c r="U271" s="401">
        <v>136.08000000000001</v>
      </c>
      <c r="V271" s="402">
        <v>825</v>
      </c>
      <c r="W271" s="401">
        <v>185.43</v>
      </c>
      <c r="X271" s="402">
        <v>81</v>
      </c>
      <c r="Y271" s="403">
        <v>70</v>
      </c>
      <c r="Z271" s="403">
        <v>0</v>
      </c>
      <c r="AA271" s="403">
        <v>2</v>
      </c>
      <c r="AB271" s="403">
        <v>51</v>
      </c>
      <c r="AC271" s="403">
        <v>23</v>
      </c>
      <c r="AD271" s="403">
        <v>3998</v>
      </c>
      <c r="AE271" s="403">
        <v>28</v>
      </c>
      <c r="AF271" s="403">
        <v>18</v>
      </c>
      <c r="AG271" s="403">
        <v>46</v>
      </c>
    </row>
    <row r="272" spans="1:33" x14ac:dyDescent="0.3">
      <c r="A272" s="396" t="s">
        <v>602</v>
      </c>
      <c r="B272" s="396" t="s">
        <v>603</v>
      </c>
      <c r="C272" s="403">
        <v>20173</v>
      </c>
      <c r="D272" s="403">
        <v>0</v>
      </c>
      <c r="E272" s="403">
        <v>655</v>
      </c>
      <c r="F272" s="403">
        <v>1353</v>
      </c>
      <c r="G272" s="403">
        <v>202</v>
      </c>
      <c r="H272" s="400">
        <v>22383</v>
      </c>
      <c r="I272" s="400">
        <v>22181</v>
      </c>
      <c r="J272" s="403">
        <v>6</v>
      </c>
      <c r="K272" s="401">
        <v>82.66</v>
      </c>
      <c r="L272" s="401">
        <v>79.209999999999994</v>
      </c>
      <c r="M272" s="401">
        <v>3.77</v>
      </c>
      <c r="N272" s="401">
        <v>86.09</v>
      </c>
      <c r="O272" s="402">
        <v>16701</v>
      </c>
      <c r="P272" s="401">
        <v>82.8</v>
      </c>
      <c r="Q272" s="401">
        <v>72.56</v>
      </c>
      <c r="R272" s="401">
        <v>40</v>
      </c>
      <c r="S272" s="401">
        <v>120.26</v>
      </c>
      <c r="T272" s="402">
        <v>1845</v>
      </c>
      <c r="U272" s="401">
        <v>105.93</v>
      </c>
      <c r="V272" s="402">
        <v>2449</v>
      </c>
      <c r="W272" s="401">
        <v>130.33000000000001</v>
      </c>
      <c r="X272" s="402">
        <v>44</v>
      </c>
      <c r="Y272" s="403">
        <v>0</v>
      </c>
      <c r="Z272" s="403">
        <v>41</v>
      </c>
      <c r="AA272" s="403">
        <v>9</v>
      </c>
      <c r="AB272" s="403">
        <v>8</v>
      </c>
      <c r="AC272" s="403">
        <v>0</v>
      </c>
      <c r="AD272" s="403">
        <v>19161</v>
      </c>
      <c r="AE272" s="403">
        <v>141</v>
      </c>
      <c r="AF272" s="403">
        <v>30</v>
      </c>
      <c r="AG272" s="403">
        <v>171</v>
      </c>
    </row>
    <row r="273" spans="1:33" x14ac:dyDescent="0.3">
      <c r="A273" s="396" t="s">
        <v>604</v>
      </c>
      <c r="B273" s="396" t="s">
        <v>605</v>
      </c>
      <c r="C273" s="403">
        <v>1628</v>
      </c>
      <c r="D273" s="403">
        <v>0</v>
      </c>
      <c r="E273" s="403">
        <v>120</v>
      </c>
      <c r="F273" s="403">
        <v>109</v>
      </c>
      <c r="G273" s="403">
        <v>210</v>
      </c>
      <c r="H273" s="400">
        <v>2067</v>
      </c>
      <c r="I273" s="400">
        <v>1857</v>
      </c>
      <c r="J273" s="403">
        <v>5</v>
      </c>
      <c r="K273" s="401">
        <v>89.25</v>
      </c>
      <c r="L273" s="401">
        <v>85.62</v>
      </c>
      <c r="M273" s="401">
        <v>5.56</v>
      </c>
      <c r="N273" s="401">
        <v>93.78</v>
      </c>
      <c r="O273" s="402">
        <v>1241</v>
      </c>
      <c r="P273" s="401">
        <v>83.89</v>
      </c>
      <c r="Q273" s="401">
        <v>78.11</v>
      </c>
      <c r="R273" s="401">
        <v>34.85</v>
      </c>
      <c r="S273" s="401">
        <v>118.74</v>
      </c>
      <c r="T273" s="402">
        <v>191</v>
      </c>
      <c r="U273" s="401">
        <v>114.47</v>
      </c>
      <c r="V273" s="402">
        <v>373</v>
      </c>
      <c r="W273" s="401">
        <v>0</v>
      </c>
      <c r="X273" s="402">
        <v>0</v>
      </c>
      <c r="Y273" s="403">
        <v>33</v>
      </c>
      <c r="Z273" s="403">
        <v>0</v>
      </c>
      <c r="AA273" s="403">
        <v>1</v>
      </c>
      <c r="AB273" s="403">
        <v>27</v>
      </c>
      <c r="AC273" s="403">
        <v>6</v>
      </c>
      <c r="AD273" s="403">
        <v>1628</v>
      </c>
      <c r="AE273" s="403">
        <v>13</v>
      </c>
      <c r="AF273" s="403">
        <v>3</v>
      </c>
      <c r="AG273" s="403">
        <v>16</v>
      </c>
    </row>
    <row r="274" spans="1:33" x14ac:dyDescent="0.3">
      <c r="A274" s="396" t="s">
        <v>606</v>
      </c>
      <c r="B274" s="396" t="s">
        <v>607</v>
      </c>
      <c r="C274" s="403">
        <v>1159</v>
      </c>
      <c r="D274" s="403">
        <v>0</v>
      </c>
      <c r="E274" s="403">
        <v>101</v>
      </c>
      <c r="F274" s="403">
        <v>75</v>
      </c>
      <c r="G274" s="403">
        <v>349</v>
      </c>
      <c r="H274" s="400">
        <v>1684</v>
      </c>
      <c r="I274" s="400">
        <v>1335</v>
      </c>
      <c r="J274" s="403">
        <v>3</v>
      </c>
      <c r="K274" s="401">
        <v>124.96</v>
      </c>
      <c r="L274" s="401">
        <v>122.88</v>
      </c>
      <c r="M274" s="401">
        <v>8.7799999999999994</v>
      </c>
      <c r="N274" s="401">
        <v>133.28</v>
      </c>
      <c r="O274" s="402">
        <v>695</v>
      </c>
      <c r="P274" s="401">
        <v>136.54</v>
      </c>
      <c r="Q274" s="401">
        <v>99.38</v>
      </c>
      <c r="R274" s="401">
        <v>56.16</v>
      </c>
      <c r="S274" s="401">
        <v>192.7</v>
      </c>
      <c r="T274" s="402">
        <v>86</v>
      </c>
      <c r="U274" s="401">
        <v>185.56</v>
      </c>
      <c r="V274" s="402">
        <v>366</v>
      </c>
      <c r="W274" s="401">
        <v>144.04</v>
      </c>
      <c r="X274" s="402">
        <v>6</v>
      </c>
      <c r="Y274" s="403">
        <v>0</v>
      </c>
      <c r="Z274" s="403">
        <v>0</v>
      </c>
      <c r="AA274" s="403">
        <v>0</v>
      </c>
      <c r="AB274" s="403">
        <v>55</v>
      </c>
      <c r="AC274" s="403">
        <v>5</v>
      </c>
      <c r="AD274" s="403">
        <v>1124</v>
      </c>
      <c r="AE274" s="403">
        <v>9</v>
      </c>
      <c r="AF274" s="403">
        <v>0</v>
      </c>
      <c r="AG274" s="403">
        <v>9</v>
      </c>
    </row>
    <row r="275" spans="1:33" x14ac:dyDescent="0.3">
      <c r="A275" s="396" t="s">
        <v>608</v>
      </c>
      <c r="B275" s="396" t="s">
        <v>609</v>
      </c>
      <c r="C275" s="403">
        <v>4275</v>
      </c>
      <c r="D275" s="403">
        <v>0</v>
      </c>
      <c r="E275" s="403">
        <v>220</v>
      </c>
      <c r="F275" s="403">
        <v>1364</v>
      </c>
      <c r="G275" s="403">
        <v>674</v>
      </c>
      <c r="H275" s="400">
        <v>6533</v>
      </c>
      <c r="I275" s="400">
        <v>5859</v>
      </c>
      <c r="J275" s="403">
        <v>2</v>
      </c>
      <c r="K275" s="401">
        <v>87.32</v>
      </c>
      <c r="L275" s="401">
        <v>86.51</v>
      </c>
      <c r="M275" s="401">
        <v>3.99</v>
      </c>
      <c r="N275" s="401">
        <v>91.13</v>
      </c>
      <c r="O275" s="402">
        <v>3392</v>
      </c>
      <c r="P275" s="401">
        <v>84.15</v>
      </c>
      <c r="Q275" s="401">
        <v>80.3</v>
      </c>
      <c r="R275" s="401">
        <v>15.44</v>
      </c>
      <c r="S275" s="401">
        <v>99.46</v>
      </c>
      <c r="T275" s="402">
        <v>1269</v>
      </c>
      <c r="U275" s="401">
        <v>129.21</v>
      </c>
      <c r="V275" s="402">
        <v>794</v>
      </c>
      <c r="W275" s="401">
        <v>97.93</v>
      </c>
      <c r="X275" s="402">
        <v>10</v>
      </c>
      <c r="Y275" s="403">
        <v>0</v>
      </c>
      <c r="Z275" s="403">
        <v>11</v>
      </c>
      <c r="AA275" s="403">
        <v>9</v>
      </c>
      <c r="AB275" s="403">
        <v>19</v>
      </c>
      <c r="AC275" s="403">
        <v>7</v>
      </c>
      <c r="AD275" s="403">
        <v>4246</v>
      </c>
      <c r="AE275" s="403">
        <v>1</v>
      </c>
      <c r="AF275" s="403">
        <v>12</v>
      </c>
      <c r="AG275" s="403">
        <v>13</v>
      </c>
    </row>
    <row r="276" spans="1:33" x14ac:dyDescent="0.3">
      <c r="A276" s="396" t="s">
        <v>610</v>
      </c>
      <c r="B276" s="396" t="s">
        <v>611</v>
      </c>
      <c r="C276" s="403">
        <v>11321</v>
      </c>
      <c r="D276" s="403">
        <v>0</v>
      </c>
      <c r="E276" s="403">
        <v>423</v>
      </c>
      <c r="F276" s="403">
        <v>1918</v>
      </c>
      <c r="G276" s="403">
        <v>551</v>
      </c>
      <c r="H276" s="400">
        <v>14213</v>
      </c>
      <c r="I276" s="400">
        <v>13662</v>
      </c>
      <c r="J276" s="403">
        <v>1</v>
      </c>
      <c r="K276" s="401">
        <v>90.6</v>
      </c>
      <c r="L276" s="401">
        <v>87.7</v>
      </c>
      <c r="M276" s="401">
        <v>6.31</v>
      </c>
      <c r="N276" s="401">
        <v>93.17</v>
      </c>
      <c r="O276" s="402">
        <v>9699</v>
      </c>
      <c r="P276" s="401">
        <v>89.1</v>
      </c>
      <c r="Q276" s="401">
        <v>86.11</v>
      </c>
      <c r="R276" s="401">
        <v>45.63</v>
      </c>
      <c r="S276" s="401">
        <v>134.68</v>
      </c>
      <c r="T276" s="402">
        <v>1982</v>
      </c>
      <c r="U276" s="401">
        <v>115.11</v>
      </c>
      <c r="V276" s="402">
        <v>1279</v>
      </c>
      <c r="W276" s="401">
        <v>201.27</v>
      </c>
      <c r="X276" s="402">
        <v>263</v>
      </c>
      <c r="Y276" s="403">
        <v>0</v>
      </c>
      <c r="Z276" s="403">
        <v>36</v>
      </c>
      <c r="AA276" s="403">
        <v>65</v>
      </c>
      <c r="AB276" s="403">
        <v>50</v>
      </c>
      <c r="AC276" s="403">
        <v>9</v>
      </c>
      <c r="AD276" s="403">
        <v>11317</v>
      </c>
      <c r="AE276" s="403">
        <v>71</v>
      </c>
      <c r="AF276" s="403">
        <v>153</v>
      </c>
      <c r="AG276" s="403">
        <v>224</v>
      </c>
    </row>
    <row r="277" spans="1:33" x14ac:dyDescent="0.3">
      <c r="A277" s="396" t="s">
        <v>612</v>
      </c>
      <c r="B277" s="396" t="s">
        <v>613</v>
      </c>
      <c r="C277" s="403">
        <v>2055</v>
      </c>
      <c r="D277" s="403">
        <v>0</v>
      </c>
      <c r="E277" s="403">
        <v>231</v>
      </c>
      <c r="F277" s="403">
        <v>683</v>
      </c>
      <c r="G277" s="403">
        <v>157</v>
      </c>
      <c r="H277" s="400">
        <v>3126</v>
      </c>
      <c r="I277" s="400">
        <v>2969</v>
      </c>
      <c r="J277" s="403">
        <v>0</v>
      </c>
      <c r="K277" s="401">
        <v>100.58</v>
      </c>
      <c r="L277" s="401">
        <v>98.56</v>
      </c>
      <c r="M277" s="401">
        <v>4.49</v>
      </c>
      <c r="N277" s="401">
        <v>104.29</v>
      </c>
      <c r="O277" s="402">
        <v>1707</v>
      </c>
      <c r="P277" s="401">
        <v>94.84</v>
      </c>
      <c r="Q277" s="401">
        <v>89.5</v>
      </c>
      <c r="R277" s="401">
        <v>55.99</v>
      </c>
      <c r="S277" s="401">
        <v>148.57</v>
      </c>
      <c r="T277" s="402">
        <v>891</v>
      </c>
      <c r="U277" s="401">
        <v>125.48</v>
      </c>
      <c r="V277" s="402">
        <v>299</v>
      </c>
      <c r="W277" s="401">
        <v>0</v>
      </c>
      <c r="X277" s="402">
        <v>0</v>
      </c>
      <c r="Y277" s="403">
        <v>6</v>
      </c>
      <c r="Z277" s="403">
        <v>0</v>
      </c>
      <c r="AA277" s="403">
        <v>5</v>
      </c>
      <c r="AB277" s="403">
        <v>25</v>
      </c>
      <c r="AC277" s="403">
        <v>2</v>
      </c>
      <c r="AD277" s="403">
        <v>2055</v>
      </c>
      <c r="AE277" s="403">
        <v>7</v>
      </c>
      <c r="AF277" s="403">
        <v>33</v>
      </c>
      <c r="AG277" s="403">
        <v>40</v>
      </c>
    </row>
    <row r="278" spans="1:33" x14ac:dyDescent="0.3">
      <c r="A278" s="396" t="s">
        <v>614</v>
      </c>
      <c r="B278" s="396" t="s">
        <v>615</v>
      </c>
      <c r="C278" s="403">
        <v>7510</v>
      </c>
      <c r="D278" s="403">
        <v>0</v>
      </c>
      <c r="E278" s="403">
        <v>328</v>
      </c>
      <c r="F278" s="403">
        <v>367</v>
      </c>
      <c r="G278" s="403">
        <v>1013</v>
      </c>
      <c r="H278" s="400">
        <v>9218</v>
      </c>
      <c r="I278" s="400">
        <v>8205</v>
      </c>
      <c r="J278" s="403">
        <v>19</v>
      </c>
      <c r="K278" s="401">
        <v>108.99</v>
      </c>
      <c r="L278" s="401">
        <v>107.4</v>
      </c>
      <c r="M278" s="401">
        <v>4.17</v>
      </c>
      <c r="N278" s="401">
        <v>112.49</v>
      </c>
      <c r="O278" s="402">
        <v>6148</v>
      </c>
      <c r="P278" s="401">
        <v>95.24</v>
      </c>
      <c r="Q278" s="401">
        <v>92.61</v>
      </c>
      <c r="R278" s="401">
        <v>37.020000000000003</v>
      </c>
      <c r="S278" s="401">
        <v>131.34</v>
      </c>
      <c r="T278" s="402">
        <v>563</v>
      </c>
      <c r="U278" s="401">
        <v>150.71</v>
      </c>
      <c r="V278" s="402">
        <v>1011</v>
      </c>
      <c r="W278" s="401">
        <v>112.31</v>
      </c>
      <c r="X278" s="402">
        <v>1</v>
      </c>
      <c r="Y278" s="403">
        <v>52</v>
      </c>
      <c r="Z278" s="403">
        <v>6</v>
      </c>
      <c r="AA278" s="403">
        <v>8</v>
      </c>
      <c r="AB278" s="403">
        <v>104</v>
      </c>
      <c r="AC278" s="403">
        <v>9</v>
      </c>
      <c r="AD278" s="403">
        <v>7235</v>
      </c>
      <c r="AE278" s="403">
        <v>64</v>
      </c>
      <c r="AF278" s="403">
        <v>52</v>
      </c>
      <c r="AG278" s="403">
        <v>116</v>
      </c>
    </row>
    <row r="279" spans="1:33" x14ac:dyDescent="0.3">
      <c r="A279" s="396" t="s">
        <v>616</v>
      </c>
      <c r="B279" s="396" t="s">
        <v>617</v>
      </c>
      <c r="C279" s="403">
        <v>4665</v>
      </c>
      <c r="D279" s="403">
        <v>0</v>
      </c>
      <c r="E279" s="403">
        <v>81</v>
      </c>
      <c r="F279" s="403">
        <v>570</v>
      </c>
      <c r="G279" s="403">
        <v>832</v>
      </c>
      <c r="H279" s="400">
        <v>6148</v>
      </c>
      <c r="I279" s="400">
        <v>5316</v>
      </c>
      <c r="J279" s="403">
        <v>0</v>
      </c>
      <c r="K279" s="401">
        <v>96.48</v>
      </c>
      <c r="L279" s="401">
        <v>92.85</v>
      </c>
      <c r="M279" s="401">
        <v>5.72</v>
      </c>
      <c r="N279" s="401">
        <v>99.51</v>
      </c>
      <c r="O279" s="402">
        <v>3860</v>
      </c>
      <c r="P279" s="401">
        <v>88.89</v>
      </c>
      <c r="Q279" s="401">
        <v>82.26</v>
      </c>
      <c r="R279" s="401">
        <v>43.77</v>
      </c>
      <c r="S279" s="401">
        <v>132.6</v>
      </c>
      <c r="T279" s="402">
        <v>623</v>
      </c>
      <c r="U279" s="401">
        <v>134.93</v>
      </c>
      <c r="V279" s="402">
        <v>795</v>
      </c>
      <c r="W279" s="401">
        <v>114.16</v>
      </c>
      <c r="X279" s="402">
        <v>17</v>
      </c>
      <c r="Y279" s="403">
        <v>0</v>
      </c>
      <c r="Z279" s="403">
        <v>3</v>
      </c>
      <c r="AA279" s="403">
        <v>0</v>
      </c>
      <c r="AB279" s="403">
        <v>32</v>
      </c>
      <c r="AC279" s="403">
        <v>12</v>
      </c>
      <c r="AD279" s="403">
        <v>4659</v>
      </c>
      <c r="AE279" s="403">
        <v>25</v>
      </c>
      <c r="AF279" s="403">
        <v>37</v>
      </c>
      <c r="AG279" s="403">
        <v>62</v>
      </c>
    </row>
    <row r="280" spans="1:33" x14ac:dyDescent="0.3">
      <c r="A280" s="396" t="s">
        <v>618</v>
      </c>
      <c r="B280" s="396" t="s">
        <v>619</v>
      </c>
      <c r="C280" s="403">
        <v>3873</v>
      </c>
      <c r="D280" s="403">
        <v>0</v>
      </c>
      <c r="E280" s="403">
        <v>116</v>
      </c>
      <c r="F280" s="403">
        <v>690</v>
      </c>
      <c r="G280" s="403">
        <v>178</v>
      </c>
      <c r="H280" s="400">
        <v>4857</v>
      </c>
      <c r="I280" s="400">
        <v>4679</v>
      </c>
      <c r="J280" s="403">
        <v>22</v>
      </c>
      <c r="K280" s="401">
        <v>92.79</v>
      </c>
      <c r="L280" s="401">
        <v>89.86</v>
      </c>
      <c r="M280" s="401">
        <v>8.2200000000000006</v>
      </c>
      <c r="N280" s="401">
        <v>98.59</v>
      </c>
      <c r="O280" s="402">
        <v>3538</v>
      </c>
      <c r="P280" s="401">
        <v>97.43</v>
      </c>
      <c r="Q280" s="401">
        <v>79.599999999999994</v>
      </c>
      <c r="R280" s="401">
        <v>60.21</v>
      </c>
      <c r="S280" s="401">
        <v>157.56</v>
      </c>
      <c r="T280" s="402">
        <v>782</v>
      </c>
      <c r="U280" s="401">
        <v>119.57</v>
      </c>
      <c r="V280" s="402">
        <v>314</v>
      </c>
      <c r="W280" s="401">
        <v>0</v>
      </c>
      <c r="X280" s="402">
        <v>0</v>
      </c>
      <c r="Y280" s="403">
        <v>0</v>
      </c>
      <c r="Z280" s="403">
        <v>2</v>
      </c>
      <c r="AA280" s="403">
        <v>40</v>
      </c>
      <c r="AB280" s="403">
        <v>31</v>
      </c>
      <c r="AC280" s="403">
        <v>1</v>
      </c>
      <c r="AD280" s="403">
        <v>3872</v>
      </c>
      <c r="AE280" s="403">
        <v>30</v>
      </c>
      <c r="AF280" s="403">
        <v>39</v>
      </c>
      <c r="AG280" s="403">
        <v>69</v>
      </c>
    </row>
    <row r="281" spans="1:33" x14ac:dyDescent="0.3">
      <c r="A281" s="396" t="s">
        <v>620</v>
      </c>
      <c r="B281" s="396" t="s">
        <v>621</v>
      </c>
      <c r="C281" s="403">
        <v>4630</v>
      </c>
      <c r="D281" s="403">
        <v>22</v>
      </c>
      <c r="E281" s="403">
        <v>59</v>
      </c>
      <c r="F281" s="403">
        <v>886</v>
      </c>
      <c r="G281" s="403">
        <v>241</v>
      </c>
      <c r="H281" s="400">
        <v>5838</v>
      </c>
      <c r="I281" s="400">
        <v>5597</v>
      </c>
      <c r="J281" s="403">
        <v>11</v>
      </c>
      <c r="K281" s="401">
        <v>114.5</v>
      </c>
      <c r="L281" s="401">
        <v>113.76</v>
      </c>
      <c r="M281" s="401">
        <v>6.89</v>
      </c>
      <c r="N281" s="401">
        <v>117.53</v>
      </c>
      <c r="O281" s="402">
        <v>4319</v>
      </c>
      <c r="P281" s="401">
        <v>101.26</v>
      </c>
      <c r="Q281" s="401">
        <v>98.12</v>
      </c>
      <c r="R281" s="401">
        <v>23.19</v>
      </c>
      <c r="S281" s="401">
        <v>122.59</v>
      </c>
      <c r="T281" s="402">
        <v>899</v>
      </c>
      <c r="U281" s="401">
        <v>169.82</v>
      </c>
      <c r="V281" s="402">
        <v>225</v>
      </c>
      <c r="W281" s="401">
        <v>170.71</v>
      </c>
      <c r="X281" s="402">
        <v>7</v>
      </c>
      <c r="Y281" s="403">
        <v>0</v>
      </c>
      <c r="Z281" s="403">
        <v>6</v>
      </c>
      <c r="AA281" s="403">
        <v>0</v>
      </c>
      <c r="AB281" s="403">
        <v>42</v>
      </c>
      <c r="AC281" s="403">
        <v>9</v>
      </c>
      <c r="AD281" s="403">
        <v>4630</v>
      </c>
      <c r="AE281" s="403">
        <v>38</v>
      </c>
      <c r="AF281" s="403">
        <v>19</v>
      </c>
      <c r="AG281" s="403">
        <v>57</v>
      </c>
    </row>
    <row r="282" spans="1:33" x14ac:dyDescent="0.3">
      <c r="A282" s="396" t="s">
        <v>622</v>
      </c>
      <c r="B282" s="396" t="s">
        <v>623</v>
      </c>
      <c r="C282" s="403">
        <v>1895</v>
      </c>
      <c r="D282" s="403">
        <v>0</v>
      </c>
      <c r="E282" s="403">
        <v>134</v>
      </c>
      <c r="F282" s="403">
        <v>93</v>
      </c>
      <c r="G282" s="403">
        <v>392</v>
      </c>
      <c r="H282" s="400">
        <v>2514</v>
      </c>
      <c r="I282" s="400">
        <v>2122</v>
      </c>
      <c r="J282" s="403">
        <v>42</v>
      </c>
      <c r="K282" s="401">
        <v>103.89</v>
      </c>
      <c r="L282" s="401">
        <v>105.49</v>
      </c>
      <c r="M282" s="401">
        <v>8.43</v>
      </c>
      <c r="N282" s="401">
        <v>109.8</v>
      </c>
      <c r="O282" s="402">
        <v>1188</v>
      </c>
      <c r="P282" s="401">
        <v>124.4</v>
      </c>
      <c r="Q282" s="401">
        <v>106.8</v>
      </c>
      <c r="R282" s="401">
        <v>95.5</v>
      </c>
      <c r="S282" s="401">
        <v>219.4</v>
      </c>
      <c r="T282" s="402">
        <v>191</v>
      </c>
      <c r="U282" s="401">
        <v>161.41999999999999</v>
      </c>
      <c r="V282" s="402">
        <v>554</v>
      </c>
      <c r="W282" s="401">
        <v>163.18</v>
      </c>
      <c r="X282" s="402">
        <v>4</v>
      </c>
      <c r="Y282" s="403">
        <v>0</v>
      </c>
      <c r="Z282" s="403">
        <v>0</v>
      </c>
      <c r="AA282" s="403">
        <v>0</v>
      </c>
      <c r="AB282" s="403">
        <v>8</v>
      </c>
      <c r="AC282" s="403">
        <v>6</v>
      </c>
      <c r="AD282" s="403">
        <v>1876</v>
      </c>
      <c r="AE282" s="403">
        <v>7</v>
      </c>
      <c r="AF282" s="403">
        <v>4</v>
      </c>
      <c r="AG282" s="403">
        <v>11</v>
      </c>
    </row>
    <row r="283" spans="1:33" x14ac:dyDescent="0.3">
      <c r="A283" s="396" t="s">
        <v>624</v>
      </c>
      <c r="B283" s="396" t="s">
        <v>625</v>
      </c>
      <c r="C283" s="403">
        <v>7712</v>
      </c>
      <c r="D283" s="403">
        <v>1</v>
      </c>
      <c r="E283" s="403">
        <v>142</v>
      </c>
      <c r="F283" s="403">
        <v>626</v>
      </c>
      <c r="G283" s="403">
        <v>1092</v>
      </c>
      <c r="H283" s="400">
        <v>9573</v>
      </c>
      <c r="I283" s="400">
        <v>8481</v>
      </c>
      <c r="J283" s="403">
        <v>2</v>
      </c>
      <c r="K283" s="401">
        <v>115.1</v>
      </c>
      <c r="L283" s="401">
        <v>114.95</v>
      </c>
      <c r="M283" s="401">
        <v>6.86</v>
      </c>
      <c r="N283" s="401">
        <v>116.26</v>
      </c>
      <c r="O283" s="402">
        <v>6472</v>
      </c>
      <c r="P283" s="401">
        <v>97.58</v>
      </c>
      <c r="Q283" s="401">
        <v>93.64</v>
      </c>
      <c r="R283" s="401">
        <v>43.5</v>
      </c>
      <c r="S283" s="401">
        <v>137.94999999999999</v>
      </c>
      <c r="T283" s="402">
        <v>555</v>
      </c>
      <c r="U283" s="401">
        <v>148.43</v>
      </c>
      <c r="V283" s="402">
        <v>1162</v>
      </c>
      <c r="W283" s="401">
        <v>233.48</v>
      </c>
      <c r="X283" s="402">
        <v>131</v>
      </c>
      <c r="Y283" s="403">
        <v>0</v>
      </c>
      <c r="Z283" s="403">
        <v>1</v>
      </c>
      <c r="AA283" s="403">
        <v>0</v>
      </c>
      <c r="AB283" s="403">
        <v>43</v>
      </c>
      <c r="AC283" s="403">
        <v>15</v>
      </c>
      <c r="AD283" s="403">
        <v>7691</v>
      </c>
      <c r="AE283" s="403">
        <v>71</v>
      </c>
      <c r="AF283" s="403">
        <v>35</v>
      </c>
      <c r="AG283" s="403">
        <v>106</v>
      </c>
    </row>
    <row r="284" spans="1:33" x14ac:dyDescent="0.3">
      <c r="A284" s="396" t="s">
        <v>626</v>
      </c>
      <c r="B284" s="396" t="s">
        <v>627</v>
      </c>
      <c r="C284" s="403">
        <v>4197</v>
      </c>
      <c r="D284" s="403">
        <v>33</v>
      </c>
      <c r="E284" s="403">
        <v>299</v>
      </c>
      <c r="F284" s="403">
        <v>879</v>
      </c>
      <c r="G284" s="403">
        <v>555</v>
      </c>
      <c r="H284" s="400">
        <v>5963</v>
      </c>
      <c r="I284" s="400">
        <v>5408</v>
      </c>
      <c r="J284" s="403">
        <v>0</v>
      </c>
      <c r="K284" s="401">
        <v>88.77</v>
      </c>
      <c r="L284" s="401">
        <v>87.36</v>
      </c>
      <c r="M284" s="401">
        <v>6.1</v>
      </c>
      <c r="N284" s="401">
        <v>93.98</v>
      </c>
      <c r="O284" s="402">
        <v>3688</v>
      </c>
      <c r="P284" s="401">
        <v>89.11</v>
      </c>
      <c r="Q284" s="401">
        <v>80.94</v>
      </c>
      <c r="R284" s="401">
        <v>40.24</v>
      </c>
      <c r="S284" s="401">
        <v>128.24</v>
      </c>
      <c r="T284" s="402">
        <v>908</v>
      </c>
      <c r="U284" s="401">
        <v>120.4</v>
      </c>
      <c r="V284" s="402">
        <v>468</v>
      </c>
      <c r="W284" s="401">
        <v>104.05</v>
      </c>
      <c r="X284" s="402">
        <v>14</v>
      </c>
      <c r="Y284" s="403">
        <v>0</v>
      </c>
      <c r="Z284" s="403">
        <v>6</v>
      </c>
      <c r="AA284" s="403">
        <v>4</v>
      </c>
      <c r="AB284" s="403">
        <v>13</v>
      </c>
      <c r="AC284" s="403">
        <v>13</v>
      </c>
      <c r="AD284" s="403">
        <v>4172</v>
      </c>
      <c r="AE284" s="403">
        <v>12</v>
      </c>
      <c r="AF284" s="403">
        <v>19</v>
      </c>
      <c r="AG284" s="403">
        <v>31</v>
      </c>
    </row>
    <row r="285" spans="1:33" x14ac:dyDescent="0.3">
      <c r="A285" s="396" t="s">
        <v>628</v>
      </c>
      <c r="B285" s="396" t="s">
        <v>629</v>
      </c>
      <c r="C285" s="403">
        <v>2399</v>
      </c>
      <c r="D285" s="403">
        <v>0</v>
      </c>
      <c r="E285" s="403">
        <v>36</v>
      </c>
      <c r="F285" s="403">
        <v>386</v>
      </c>
      <c r="G285" s="403">
        <v>205</v>
      </c>
      <c r="H285" s="400">
        <v>3026</v>
      </c>
      <c r="I285" s="400">
        <v>2821</v>
      </c>
      <c r="J285" s="403">
        <v>10</v>
      </c>
      <c r="K285" s="401">
        <v>84.18</v>
      </c>
      <c r="L285" s="401">
        <v>81.510000000000005</v>
      </c>
      <c r="M285" s="401">
        <v>3.26</v>
      </c>
      <c r="N285" s="401">
        <v>86.13</v>
      </c>
      <c r="O285" s="402">
        <v>2279</v>
      </c>
      <c r="P285" s="401">
        <v>72.599999999999994</v>
      </c>
      <c r="Q285" s="401">
        <v>68.17</v>
      </c>
      <c r="R285" s="401">
        <v>32.409999999999997</v>
      </c>
      <c r="S285" s="401">
        <v>100.3</v>
      </c>
      <c r="T285" s="402">
        <v>344</v>
      </c>
      <c r="U285" s="401">
        <v>108.32</v>
      </c>
      <c r="V285" s="402">
        <v>120</v>
      </c>
      <c r="W285" s="401">
        <v>194.95</v>
      </c>
      <c r="X285" s="402">
        <v>41</v>
      </c>
      <c r="Y285" s="403">
        <v>0</v>
      </c>
      <c r="Z285" s="403">
        <v>3</v>
      </c>
      <c r="AA285" s="403">
        <v>0</v>
      </c>
      <c r="AB285" s="403">
        <v>0</v>
      </c>
      <c r="AC285" s="403">
        <v>2</v>
      </c>
      <c r="AD285" s="403">
        <v>2387</v>
      </c>
      <c r="AE285" s="403">
        <v>17</v>
      </c>
      <c r="AF285" s="403">
        <v>5</v>
      </c>
      <c r="AG285" s="403">
        <v>22</v>
      </c>
    </row>
    <row r="286" spans="1:33" x14ac:dyDescent="0.3">
      <c r="A286" s="396" t="s">
        <v>630</v>
      </c>
      <c r="B286" s="396" t="s">
        <v>631</v>
      </c>
      <c r="C286" s="403">
        <v>30185</v>
      </c>
      <c r="D286" s="403">
        <v>95</v>
      </c>
      <c r="E286" s="403">
        <v>1429</v>
      </c>
      <c r="F286" s="403">
        <v>847</v>
      </c>
      <c r="G286" s="403">
        <v>3107</v>
      </c>
      <c r="H286" s="400">
        <v>35663</v>
      </c>
      <c r="I286" s="400">
        <v>32556</v>
      </c>
      <c r="J286" s="403">
        <v>283</v>
      </c>
      <c r="K286" s="401">
        <v>126.71</v>
      </c>
      <c r="L286" s="401">
        <v>130.63999999999999</v>
      </c>
      <c r="M286" s="401">
        <v>17.350000000000001</v>
      </c>
      <c r="N286" s="401">
        <v>142.69</v>
      </c>
      <c r="O286" s="402">
        <v>25480</v>
      </c>
      <c r="P286" s="401">
        <v>114.28</v>
      </c>
      <c r="Q286" s="401">
        <v>111.01</v>
      </c>
      <c r="R286" s="401">
        <v>71.67</v>
      </c>
      <c r="S286" s="401">
        <v>185.43</v>
      </c>
      <c r="T286" s="402">
        <v>1789</v>
      </c>
      <c r="U286" s="401">
        <v>216.39</v>
      </c>
      <c r="V286" s="402">
        <v>2991</v>
      </c>
      <c r="W286" s="401">
        <v>229.79</v>
      </c>
      <c r="X286" s="402">
        <v>207</v>
      </c>
      <c r="Y286" s="403">
        <v>0</v>
      </c>
      <c r="Z286" s="403">
        <v>13</v>
      </c>
      <c r="AA286" s="403">
        <v>60</v>
      </c>
      <c r="AB286" s="403">
        <v>107</v>
      </c>
      <c r="AC286" s="403">
        <v>96</v>
      </c>
      <c r="AD286" s="403">
        <v>28963</v>
      </c>
      <c r="AE286" s="403">
        <v>226</v>
      </c>
      <c r="AF286" s="403">
        <v>246</v>
      </c>
      <c r="AG286" s="403">
        <v>472</v>
      </c>
    </row>
    <row r="287" spans="1:33" x14ac:dyDescent="0.3">
      <c r="A287" s="396" t="s">
        <v>632</v>
      </c>
      <c r="B287" s="396" t="s">
        <v>633</v>
      </c>
      <c r="C287" s="403">
        <v>11801</v>
      </c>
      <c r="D287" s="403">
        <v>0</v>
      </c>
      <c r="E287" s="403">
        <v>512</v>
      </c>
      <c r="F287" s="403">
        <v>3251</v>
      </c>
      <c r="G287" s="403">
        <v>408</v>
      </c>
      <c r="H287" s="400">
        <v>15972</v>
      </c>
      <c r="I287" s="400">
        <v>15564</v>
      </c>
      <c r="J287" s="403">
        <v>5</v>
      </c>
      <c r="K287" s="401">
        <v>88.78</v>
      </c>
      <c r="L287" s="401">
        <v>88.58</v>
      </c>
      <c r="M287" s="401">
        <v>5.0199999999999996</v>
      </c>
      <c r="N287" s="401">
        <v>92.54</v>
      </c>
      <c r="O287" s="402">
        <v>9803</v>
      </c>
      <c r="P287" s="401">
        <v>90.8</v>
      </c>
      <c r="Q287" s="401">
        <v>86.54</v>
      </c>
      <c r="R287" s="401">
        <v>26.41</v>
      </c>
      <c r="S287" s="401">
        <v>117.17</v>
      </c>
      <c r="T287" s="402">
        <v>3545</v>
      </c>
      <c r="U287" s="401">
        <v>122.21</v>
      </c>
      <c r="V287" s="402">
        <v>1903</v>
      </c>
      <c r="W287" s="401">
        <v>172.47</v>
      </c>
      <c r="X287" s="402">
        <v>147</v>
      </c>
      <c r="Y287" s="403">
        <v>0</v>
      </c>
      <c r="Z287" s="403">
        <v>31</v>
      </c>
      <c r="AA287" s="403">
        <v>3</v>
      </c>
      <c r="AB287" s="403">
        <v>3</v>
      </c>
      <c r="AC287" s="403">
        <v>16</v>
      </c>
      <c r="AD287" s="403">
        <v>11749</v>
      </c>
      <c r="AE287" s="403">
        <v>46</v>
      </c>
      <c r="AF287" s="403">
        <v>109</v>
      </c>
      <c r="AG287" s="403">
        <v>155</v>
      </c>
    </row>
    <row r="288" spans="1:33" x14ac:dyDescent="0.3">
      <c r="A288" s="396" t="s">
        <v>634</v>
      </c>
      <c r="B288" s="396" t="s">
        <v>635</v>
      </c>
      <c r="C288" s="403">
        <v>6402</v>
      </c>
      <c r="D288" s="403">
        <v>0</v>
      </c>
      <c r="E288" s="403">
        <v>166</v>
      </c>
      <c r="F288" s="403">
        <v>803</v>
      </c>
      <c r="G288" s="403">
        <v>543</v>
      </c>
      <c r="H288" s="400">
        <v>7914</v>
      </c>
      <c r="I288" s="400">
        <v>7371</v>
      </c>
      <c r="J288" s="403">
        <v>1</v>
      </c>
      <c r="K288" s="401">
        <v>111.74</v>
      </c>
      <c r="L288" s="401">
        <v>106.92</v>
      </c>
      <c r="M288" s="401">
        <v>4.91</v>
      </c>
      <c r="N288" s="401">
        <v>115.85</v>
      </c>
      <c r="O288" s="402">
        <v>5470</v>
      </c>
      <c r="P288" s="401">
        <v>103.08</v>
      </c>
      <c r="Q288" s="401">
        <v>86.53</v>
      </c>
      <c r="R288" s="401">
        <v>36.96</v>
      </c>
      <c r="S288" s="401">
        <v>138.47999999999999</v>
      </c>
      <c r="T288" s="402">
        <v>687</v>
      </c>
      <c r="U288" s="401">
        <v>160.05000000000001</v>
      </c>
      <c r="V288" s="402">
        <v>709</v>
      </c>
      <c r="W288" s="401">
        <v>133.37</v>
      </c>
      <c r="X288" s="402">
        <v>128</v>
      </c>
      <c r="Y288" s="403">
        <v>16</v>
      </c>
      <c r="Z288" s="403">
        <v>0</v>
      </c>
      <c r="AA288" s="403">
        <v>19</v>
      </c>
      <c r="AB288" s="403">
        <v>28</v>
      </c>
      <c r="AC288" s="403">
        <v>15</v>
      </c>
      <c r="AD288" s="403">
        <v>6237</v>
      </c>
      <c r="AE288" s="403">
        <v>52</v>
      </c>
      <c r="AF288" s="403">
        <v>73</v>
      </c>
      <c r="AG288" s="403">
        <v>125</v>
      </c>
    </row>
    <row r="289" spans="1:33" x14ac:dyDescent="0.3">
      <c r="A289" s="396" t="s">
        <v>636</v>
      </c>
      <c r="B289" s="396" t="s">
        <v>637</v>
      </c>
      <c r="C289" s="403">
        <v>1893</v>
      </c>
      <c r="D289" s="403">
        <v>0</v>
      </c>
      <c r="E289" s="403">
        <v>75</v>
      </c>
      <c r="F289" s="403">
        <v>260</v>
      </c>
      <c r="G289" s="403">
        <v>579</v>
      </c>
      <c r="H289" s="400">
        <v>2807</v>
      </c>
      <c r="I289" s="400">
        <v>2228</v>
      </c>
      <c r="J289" s="403">
        <v>0</v>
      </c>
      <c r="K289" s="401">
        <v>109.57</v>
      </c>
      <c r="L289" s="401">
        <v>108.54</v>
      </c>
      <c r="M289" s="401">
        <v>6.41</v>
      </c>
      <c r="N289" s="401">
        <v>114.04</v>
      </c>
      <c r="O289" s="402">
        <v>996</v>
      </c>
      <c r="P289" s="401">
        <v>101.95</v>
      </c>
      <c r="Q289" s="401">
        <v>97.25</v>
      </c>
      <c r="R289" s="401">
        <v>60.26</v>
      </c>
      <c r="S289" s="401">
        <v>160.79</v>
      </c>
      <c r="T289" s="402">
        <v>255</v>
      </c>
      <c r="U289" s="401">
        <v>161.36000000000001</v>
      </c>
      <c r="V289" s="402">
        <v>877</v>
      </c>
      <c r="W289" s="401">
        <v>40.229999999999997</v>
      </c>
      <c r="X289" s="402">
        <v>79</v>
      </c>
      <c r="Y289" s="403">
        <v>19</v>
      </c>
      <c r="Z289" s="403">
        <v>0</v>
      </c>
      <c r="AA289" s="403">
        <v>2</v>
      </c>
      <c r="AB289" s="403">
        <v>24</v>
      </c>
      <c r="AC289" s="403">
        <v>6</v>
      </c>
      <c r="AD289" s="403">
        <v>1892</v>
      </c>
      <c r="AE289" s="403">
        <v>10</v>
      </c>
      <c r="AF289" s="403">
        <v>11</v>
      </c>
      <c r="AG289" s="403">
        <v>21</v>
      </c>
    </row>
    <row r="290" spans="1:33" x14ac:dyDescent="0.3">
      <c r="A290" s="396" t="s">
        <v>638</v>
      </c>
      <c r="B290" s="396" t="s">
        <v>639</v>
      </c>
      <c r="C290" s="403">
        <v>7547</v>
      </c>
      <c r="D290" s="403">
        <v>0</v>
      </c>
      <c r="E290" s="403">
        <v>244</v>
      </c>
      <c r="F290" s="403">
        <v>433</v>
      </c>
      <c r="G290" s="403">
        <v>987</v>
      </c>
      <c r="H290" s="400">
        <v>9211</v>
      </c>
      <c r="I290" s="400">
        <v>8224</v>
      </c>
      <c r="J290" s="403">
        <v>2</v>
      </c>
      <c r="K290" s="401">
        <v>108.39</v>
      </c>
      <c r="L290" s="401">
        <v>108.82</v>
      </c>
      <c r="M290" s="401">
        <v>6.42</v>
      </c>
      <c r="N290" s="401">
        <v>109.61</v>
      </c>
      <c r="O290" s="402">
        <v>5495</v>
      </c>
      <c r="P290" s="401">
        <v>100.01</v>
      </c>
      <c r="Q290" s="401">
        <v>95.38</v>
      </c>
      <c r="R290" s="401">
        <v>28.97</v>
      </c>
      <c r="S290" s="401">
        <v>125.34</v>
      </c>
      <c r="T290" s="402">
        <v>604</v>
      </c>
      <c r="U290" s="401">
        <v>172.63</v>
      </c>
      <c r="V290" s="402">
        <v>1985</v>
      </c>
      <c r="W290" s="401">
        <v>187.09</v>
      </c>
      <c r="X290" s="402">
        <v>27</v>
      </c>
      <c r="Y290" s="403">
        <v>0</v>
      </c>
      <c r="Z290" s="403">
        <v>2</v>
      </c>
      <c r="AA290" s="403">
        <v>4</v>
      </c>
      <c r="AB290" s="403">
        <v>91</v>
      </c>
      <c r="AC290" s="403">
        <v>16</v>
      </c>
      <c r="AD290" s="403">
        <v>7459</v>
      </c>
      <c r="AE290" s="403">
        <v>65</v>
      </c>
      <c r="AF290" s="403">
        <v>6</v>
      </c>
      <c r="AG290" s="403">
        <v>71</v>
      </c>
    </row>
    <row r="291" spans="1:33" x14ac:dyDescent="0.3">
      <c r="A291" s="396" t="s">
        <v>640</v>
      </c>
      <c r="B291" s="396" t="s">
        <v>641</v>
      </c>
      <c r="C291" s="403">
        <v>32468</v>
      </c>
      <c r="D291" s="403">
        <v>0</v>
      </c>
      <c r="E291" s="403">
        <v>2143</v>
      </c>
      <c r="F291" s="403">
        <v>655</v>
      </c>
      <c r="G291" s="403">
        <v>1001</v>
      </c>
      <c r="H291" s="400">
        <v>36267</v>
      </c>
      <c r="I291" s="400">
        <v>35266</v>
      </c>
      <c r="J291" s="403">
        <v>11</v>
      </c>
      <c r="K291" s="401">
        <v>83.57</v>
      </c>
      <c r="L291" s="401">
        <v>83.86</v>
      </c>
      <c r="M291" s="401">
        <v>5.58</v>
      </c>
      <c r="N291" s="401">
        <v>84.31</v>
      </c>
      <c r="O291" s="402">
        <v>29818</v>
      </c>
      <c r="P291" s="401">
        <v>83.53</v>
      </c>
      <c r="Q291" s="401">
        <v>78.88</v>
      </c>
      <c r="R291" s="401">
        <v>38.51</v>
      </c>
      <c r="S291" s="401">
        <v>121.45</v>
      </c>
      <c r="T291" s="402">
        <v>2545</v>
      </c>
      <c r="U291" s="401">
        <v>98.86</v>
      </c>
      <c r="V291" s="402">
        <v>2334</v>
      </c>
      <c r="W291" s="401">
        <v>147.96</v>
      </c>
      <c r="X291" s="402">
        <v>31</v>
      </c>
      <c r="Y291" s="403">
        <v>3</v>
      </c>
      <c r="Z291" s="403">
        <v>74</v>
      </c>
      <c r="AA291" s="403">
        <v>8</v>
      </c>
      <c r="AB291" s="403">
        <v>84</v>
      </c>
      <c r="AC291" s="403">
        <v>23</v>
      </c>
      <c r="AD291" s="403">
        <v>32451</v>
      </c>
      <c r="AE291" s="403">
        <v>318</v>
      </c>
      <c r="AF291" s="403">
        <v>149</v>
      </c>
      <c r="AG291" s="403">
        <v>467</v>
      </c>
    </row>
    <row r="292" spans="1:33" x14ac:dyDescent="0.3">
      <c r="A292" s="396" t="s">
        <v>642</v>
      </c>
      <c r="B292" s="396" t="s">
        <v>643</v>
      </c>
      <c r="C292" s="403">
        <v>26505</v>
      </c>
      <c r="D292" s="403">
        <v>9</v>
      </c>
      <c r="E292" s="403">
        <v>507</v>
      </c>
      <c r="F292" s="403">
        <v>792</v>
      </c>
      <c r="G292" s="403">
        <v>484</v>
      </c>
      <c r="H292" s="400">
        <v>28297</v>
      </c>
      <c r="I292" s="400">
        <v>27813</v>
      </c>
      <c r="J292" s="403">
        <v>136</v>
      </c>
      <c r="K292" s="401">
        <v>86.04</v>
      </c>
      <c r="L292" s="401">
        <v>86.05</v>
      </c>
      <c r="M292" s="401">
        <v>10.18</v>
      </c>
      <c r="N292" s="401">
        <v>91.21</v>
      </c>
      <c r="O292" s="402">
        <v>24017</v>
      </c>
      <c r="P292" s="401">
        <v>103.85</v>
      </c>
      <c r="Q292" s="401">
        <v>91.74</v>
      </c>
      <c r="R292" s="401">
        <v>45.44</v>
      </c>
      <c r="S292" s="401">
        <v>147.65</v>
      </c>
      <c r="T292" s="402">
        <v>1047</v>
      </c>
      <c r="U292" s="401">
        <v>111.44</v>
      </c>
      <c r="V292" s="402">
        <v>2259</v>
      </c>
      <c r="W292" s="401">
        <v>145.93</v>
      </c>
      <c r="X292" s="402">
        <v>194</v>
      </c>
      <c r="Y292" s="403">
        <v>0</v>
      </c>
      <c r="Z292" s="403">
        <v>91</v>
      </c>
      <c r="AA292" s="403">
        <v>13</v>
      </c>
      <c r="AB292" s="403">
        <v>8</v>
      </c>
      <c r="AC292" s="403">
        <v>14</v>
      </c>
      <c r="AD292" s="403">
        <v>26448</v>
      </c>
      <c r="AE292" s="403">
        <v>176</v>
      </c>
      <c r="AF292" s="403">
        <v>96</v>
      </c>
      <c r="AG292" s="403">
        <v>272</v>
      </c>
    </row>
    <row r="293" spans="1:33" x14ac:dyDescent="0.3">
      <c r="A293" s="396" t="s">
        <v>644</v>
      </c>
      <c r="B293" s="396" t="s">
        <v>645</v>
      </c>
      <c r="C293" s="403">
        <v>10862</v>
      </c>
      <c r="D293" s="403">
        <v>6</v>
      </c>
      <c r="E293" s="403">
        <v>921</v>
      </c>
      <c r="F293" s="403">
        <v>864</v>
      </c>
      <c r="G293" s="403">
        <v>1537</v>
      </c>
      <c r="H293" s="400">
        <v>14190</v>
      </c>
      <c r="I293" s="400">
        <v>12653</v>
      </c>
      <c r="J293" s="403">
        <v>99</v>
      </c>
      <c r="K293" s="401">
        <v>118.32</v>
      </c>
      <c r="L293" s="401">
        <v>116.81</v>
      </c>
      <c r="M293" s="401">
        <v>12.4</v>
      </c>
      <c r="N293" s="401">
        <v>124.82</v>
      </c>
      <c r="O293" s="402">
        <v>8663</v>
      </c>
      <c r="P293" s="401">
        <v>102.1</v>
      </c>
      <c r="Q293" s="401">
        <v>96.26</v>
      </c>
      <c r="R293" s="401">
        <v>43.55</v>
      </c>
      <c r="S293" s="401">
        <v>144.69999999999999</v>
      </c>
      <c r="T293" s="402">
        <v>1188</v>
      </c>
      <c r="U293" s="401">
        <v>185.72</v>
      </c>
      <c r="V293" s="402">
        <v>1602</v>
      </c>
      <c r="W293" s="401">
        <v>235.82</v>
      </c>
      <c r="X293" s="402">
        <v>67</v>
      </c>
      <c r="Y293" s="403">
        <v>0</v>
      </c>
      <c r="Z293" s="403">
        <v>1</v>
      </c>
      <c r="AA293" s="403">
        <v>7</v>
      </c>
      <c r="AB293" s="403">
        <v>49</v>
      </c>
      <c r="AC293" s="403">
        <v>29</v>
      </c>
      <c r="AD293" s="403">
        <v>10471</v>
      </c>
      <c r="AE293" s="403">
        <v>80</v>
      </c>
      <c r="AF293" s="403">
        <v>43</v>
      </c>
      <c r="AG293" s="403">
        <v>123</v>
      </c>
    </row>
    <row r="294" spans="1:33" x14ac:dyDescent="0.3">
      <c r="A294" s="396" t="s">
        <v>646</v>
      </c>
      <c r="B294" s="396" t="s">
        <v>647</v>
      </c>
      <c r="C294" s="403">
        <v>9028</v>
      </c>
      <c r="D294" s="403">
        <v>6</v>
      </c>
      <c r="E294" s="403">
        <v>1057</v>
      </c>
      <c r="F294" s="403">
        <v>980</v>
      </c>
      <c r="G294" s="403">
        <v>2549</v>
      </c>
      <c r="H294" s="400">
        <v>13620</v>
      </c>
      <c r="I294" s="400">
        <v>11071</v>
      </c>
      <c r="J294" s="403">
        <v>301</v>
      </c>
      <c r="K294" s="401">
        <v>131.04</v>
      </c>
      <c r="L294" s="401">
        <v>140.06</v>
      </c>
      <c r="M294" s="401">
        <v>9.93</v>
      </c>
      <c r="N294" s="401">
        <v>137.44</v>
      </c>
      <c r="O294" s="402">
        <v>6856</v>
      </c>
      <c r="P294" s="401">
        <v>121.42</v>
      </c>
      <c r="Q294" s="401">
        <v>116.69</v>
      </c>
      <c r="R294" s="401">
        <v>45.57</v>
      </c>
      <c r="S294" s="401">
        <v>165.3</v>
      </c>
      <c r="T294" s="402">
        <v>1861</v>
      </c>
      <c r="U294" s="401">
        <v>209.29</v>
      </c>
      <c r="V294" s="402">
        <v>918</v>
      </c>
      <c r="W294" s="401">
        <v>234.28</v>
      </c>
      <c r="X294" s="402">
        <v>37</v>
      </c>
      <c r="Y294" s="403">
        <v>0</v>
      </c>
      <c r="Z294" s="403">
        <v>0</v>
      </c>
      <c r="AA294" s="403">
        <v>12</v>
      </c>
      <c r="AB294" s="403">
        <v>99</v>
      </c>
      <c r="AC294" s="403">
        <v>70</v>
      </c>
      <c r="AD294" s="403">
        <v>8660</v>
      </c>
      <c r="AE294" s="403">
        <v>129</v>
      </c>
      <c r="AF294" s="403">
        <v>56</v>
      </c>
      <c r="AG294" s="403">
        <v>185</v>
      </c>
    </row>
    <row r="295" spans="1:33" x14ac:dyDescent="0.3">
      <c r="A295" s="396" t="s">
        <v>648</v>
      </c>
      <c r="B295" s="396" t="s">
        <v>649</v>
      </c>
      <c r="C295" s="403">
        <v>11832</v>
      </c>
      <c r="D295" s="403">
        <v>0</v>
      </c>
      <c r="E295" s="403">
        <v>565</v>
      </c>
      <c r="F295" s="403">
        <v>2167</v>
      </c>
      <c r="G295" s="403">
        <v>660</v>
      </c>
      <c r="H295" s="400">
        <v>15224</v>
      </c>
      <c r="I295" s="400">
        <v>14564</v>
      </c>
      <c r="J295" s="403">
        <v>9</v>
      </c>
      <c r="K295" s="401">
        <v>85.21</v>
      </c>
      <c r="L295" s="401">
        <v>85.75</v>
      </c>
      <c r="M295" s="401">
        <v>5.41</v>
      </c>
      <c r="N295" s="401">
        <v>86.93</v>
      </c>
      <c r="O295" s="402">
        <v>11030</v>
      </c>
      <c r="P295" s="401">
        <v>88.1</v>
      </c>
      <c r="Q295" s="401">
        <v>79.03</v>
      </c>
      <c r="R295" s="401">
        <v>34.450000000000003</v>
      </c>
      <c r="S295" s="401">
        <v>122.44</v>
      </c>
      <c r="T295" s="402">
        <v>2597</v>
      </c>
      <c r="U295" s="401">
        <v>107.61</v>
      </c>
      <c r="V295" s="402">
        <v>722</v>
      </c>
      <c r="W295" s="401">
        <v>166.34</v>
      </c>
      <c r="X295" s="402">
        <v>48</v>
      </c>
      <c r="Y295" s="403">
        <v>0</v>
      </c>
      <c r="Z295" s="403">
        <v>53</v>
      </c>
      <c r="AA295" s="403">
        <v>0</v>
      </c>
      <c r="AB295" s="403">
        <v>23</v>
      </c>
      <c r="AC295" s="403">
        <v>16</v>
      </c>
      <c r="AD295" s="403">
        <v>11832</v>
      </c>
      <c r="AE295" s="403">
        <v>103</v>
      </c>
      <c r="AF295" s="403">
        <v>57</v>
      </c>
      <c r="AG295" s="403">
        <v>160</v>
      </c>
    </row>
    <row r="296" spans="1:33" x14ac:dyDescent="0.3">
      <c r="A296" s="396" t="s">
        <v>650</v>
      </c>
      <c r="B296" s="396" t="s">
        <v>651</v>
      </c>
      <c r="C296" s="403">
        <v>3249</v>
      </c>
      <c r="D296" s="403">
        <v>0</v>
      </c>
      <c r="E296" s="403">
        <v>162</v>
      </c>
      <c r="F296" s="403">
        <v>629</v>
      </c>
      <c r="G296" s="403">
        <v>957</v>
      </c>
      <c r="H296" s="400">
        <v>4997</v>
      </c>
      <c r="I296" s="400">
        <v>4040</v>
      </c>
      <c r="J296" s="403">
        <v>2</v>
      </c>
      <c r="K296" s="401">
        <v>107.18</v>
      </c>
      <c r="L296" s="401">
        <v>105.04</v>
      </c>
      <c r="M296" s="401">
        <v>6.96</v>
      </c>
      <c r="N296" s="401">
        <v>113.11</v>
      </c>
      <c r="O296" s="402">
        <v>2429</v>
      </c>
      <c r="P296" s="401">
        <v>100.81</v>
      </c>
      <c r="Q296" s="401">
        <v>87.49</v>
      </c>
      <c r="R296" s="401">
        <v>52.42</v>
      </c>
      <c r="S296" s="401">
        <v>153.04</v>
      </c>
      <c r="T296" s="402">
        <v>556</v>
      </c>
      <c r="U296" s="401">
        <v>147.56</v>
      </c>
      <c r="V296" s="402">
        <v>739</v>
      </c>
      <c r="W296" s="401">
        <v>180.75</v>
      </c>
      <c r="X296" s="402">
        <v>126</v>
      </c>
      <c r="Y296" s="403">
        <v>0</v>
      </c>
      <c r="Z296" s="403">
        <v>4</v>
      </c>
      <c r="AA296" s="403">
        <v>16</v>
      </c>
      <c r="AB296" s="403">
        <v>120</v>
      </c>
      <c r="AC296" s="403">
        <v>19</v>
      </c>
      <c r="AD296" s="403">
        <v>3185</v>
      </c>
      <c r="AE296" s="403">
        <v>49</v>
      </c>
      <c r="AF296" s="403">
        <v>41</v>
      </c>
      <c r="AG296" s="403">
        <v>90</v>
      </c>
    </row>
    <row r="297" spans="1:33" x14ac:dyDescent="0.3">
      <c r="A297" s="396" t="s">
        <v>652</v>
      </c>
      <c r="B297" s="396" t="s">
        <v>653</v>
      </c>
      <c r="C297" s="403">
        <v>5566</v>
      </c>
      <c r="D297" s="403">
        <v>128</v>
      </c>
      <c r="E297" s="403">
        <v>378</v>
      </c>
      <c r="F297" s="403">
        <v>589</v>
      </c>
      <c r="G297" s="403">
        <v>405</v>
      </c>
      <c r="H297" s="400">
        <v>7066</v>
      </c>
      <c r="I297" s="400">
        <v>6661</v>
      </c>
      <c r="J297" s="403">
        <v>77</v>
      </c>
      <c r="K297" s="401">
        <v>114.49</v>
      </c>
      <c r="L297" s="401">
        <v>124.36</v>
      </c>
      <c r="M297" s="401">
        <v>9.41</v>
      </c>
      <c r="N297" s="401">
        <v>118.75</v>
      </c>
      <c r="O297" s="402">
        <v>4940</v>
      </c>
      <c r="P297" s="401">
        <v>92.24</v>
      </c>
      <c r="Q297" s="401">
        <v>92.64</v>
      </c>
      <c r="R297" s="401">
        <v>35.29</v>
      </c>
      <c r="S297" s="401">
        <v>126.97</v>
      </c>
      <c r="T297" s="402">
        <v>701</v>
      </c>
      <c r="U297" s="401">
        <v>185.35</v>
      </c>
      <c r="V297" s="402">
        <v>513</v>
      </c>
      <c r="W297" s="401">
        <v>165.02</v>
      </c>
      <c r="X297" s="402">
        <v>2</v>
      </c>
      <c r="Y297" s="403">
        <v>0</v>
      </c>
      <c r="Z297" s="403">
        <v>8</v>
      </c>
      <c r="AA297" s="403">
        <v>1</v>
      </c>
      <c r="AB297" s="403">
        <v>25</v>
      </c>
      <c r="AC297" s="403">
        <v>10</v>
      </c>
      <c r="AD297" s="403">
        <v>5553</v>
      </c>
      <c r="AE297" s="403">
        <v>60</v>
      </c>
      <c r="AF297" s="403">
        <v>41</v>
      </c>
      <c r="AG297" s="403">
        <v>101</v>
      </c>
    </row>
    <row r="298" spans="1:33" x14ac:dyDescent="0.3">
      <c r="A298" s="396" t="s">
        <v>654</v>
      </c>
      <c r="B298" s="396" t="s">
        <v>655</v>
      </c>
      <c r="C298" s="403">
        <v>1371</v>
      </c>
      <c r="D298" s="403">
        <v>0</v>
      </c>
      <c r="E298" s="403">
        <v>152</v>
      </c>
      <c r="F298" s="403">
        <v>164</v>
      </c>
      <c r="G298" s="403">
        <v>588</v>
      </c>
      <c r="H298" s="400">
        <v>2275</v>
      </c>
      <c r="I298" s="400">
        <v>1687</v>
      </c>
      <c r="J298" s="403">
        <v>31</v>
      </c>
      <c r="K298" s="401">
        <v>119.13</v>
      </c>
      <c r="L298" s="401">
        <v>115.16</v>
      </c>
      <c r="M298" s="401">
        <v>4.8899999999999997</v>
      </c>
      <c r="N298" s="401">
        <v>123.7</v>
      </c>
      <c r="O298" s="402">
        <v>911</v>
      </c>
      <c r="P298" s="401">
        <v>109.79</v>
      </c>
      <c r="Q298" s="401">
        <v>95.89</v>
      </c>
      <c r="R298" s="401">
        <v>34.659999999999997</v>
      </c>
      <c r="S298" s="401">
        <v>144.44999999999999</v>
      </c>
      <c r="T298" s="402">
        <v>142</v>
      </c>
      <c r="U298" s="401">
        <v>189.68</v>
      </c>
      <c r="V298" s="402">
        <v>410</v>
      </c>
      <c r="W298" s="401">
        <v>124.33</v>
      </c>
      <c r="X298" s="402">
        <v>3</v>
      </c>
      <c r="Y298" s="403">
        <v>6</v>
      </c>
      <c r="Z298" s="403">
        <v>1</v>
      </c>
      <c r="AA298" s="403">
        <v>0</v>
      </c>
      <c r="AB298" s="403">
        <v>66</v>
      </c>
      <c r="AC298" s="403">
        <v>17</v>
      </c>
      <c r="AD298" s="403">
        <v>1279</v>
      </c>
      <c r="AE298" s="403">
        <v>35</v>
      </c>
      <c r="AF298" s="403">
        <v>2</v>
      </c>
      <c r="AG298" s="403">
        <v>37</v>
      </c>
    </row>
    <row r="299" spans="1:33" x14ac:dyDescent="0.3">
      <c r="A299" s="396" t="s">
        <v>656</v>
      </c>
      <c r="B299" s="396" t="s">
        <v>657</v>
      </c>
      <c r="C299" s="403">
        <v>2500</v>
      </c>
      <c r="D299" s="403">
        <v>0</v>
      </c>
      <c r="E299" s="403">
        <v>96</v>
      </c>
      <c r="F299" s="403">
        <v>323</v>
      </c>
      <c r="G299" s="403">
        <v>663</v>
      </c>
      <c r="H299" s="400">
        <v>3582</v>
      </c>
      <c r="I299" s="400">
        <v>2919</v>
      </c>
      <c r="J299" s="403">
        <v>0</v>
      </c>
      <c r="K299" s="401">
        <v>104.22</v>
      </c>
      <c r="L299" s="401">
        <v>99.77</v>
      </c>
      <c r="M299" s="401">
        <v>6.23</v>
      </c>
      <c r="N299" s="401">
        <v>109.02</v>
      </c>
      <c r="O299" s="402">
        <v>1402</v>
      </c>
      <c r="P299" s="401">
        <v>82.06</v>
      </c>
      <c r="Q299" s="401">
        <v>76.510000000000005</v>
      </c>
      <c r="R299" s="401">
        <v>40.36</v>
      </c>
      <c r="S299" s="401">
        <v>120.64</v>
      </c>
      <c r="T299" s="402">
        <v>226</v>
      </c>
      <c r="U299" s="401">
        <v>152.28</v>
      </c>
      <c r="V299" s="402">
        <v>1072</v>
      </c>
      <c r="W299" s="401">
        <v>196.01</v>
      </c>
      <c r="X299" s="402">
        <v>55</v>
      </c>
      <c r="Y299" s="403">
        <v>0</v>
      </c>
      <c r="Z299" s="403">
        <v>0</v>
      </c>
      <c r="AA299" s="403">
        <v>1</v>
      </c>
      <c r="AB299" s="403">
        <v>64</v>
      </c>
      <c r="AC299" s="403">
        <v>5</v>
      </c>
      <c r="AD299" s="403">
        <v>2498</v>
      </c>
      <c r="AE299" s="403">
        <v>52</v>
      </c>
      <c r="AF299" s="403">
        <v>10</v>
      </c>
      <c r="AG299" s="403">
        <v>62</v>
      </c>
    </row>
    <row r="300" spans="1:33" x14ac:dyDescent="0.3">
      <c r="A300" s="396" t="s">
        <v>658</v>
      </c>
      <c r="B300" s="396" t="s">
        <v>659</v>
      </c>
      <c r="C300" s="403">
        <v>2840</v>
      </c>
      <c r="D300" s="403">
        <v>0</v>
      </c>
      <c r="E300" s="403">
        <v>311</v>
      </c>
      <c r="F300" s="403">
        <v>339</v>
      </c>
      <c r="G300" s="403">
        <v>757</v>
      </c>
      <c r="H300" s="400">
        <v>4247</v>
      </c>
      <c r="I300" s="400">
        <v>3490</v>
      </c>
      <c r="J300" s="403">
        <v>128</v>
      </c>
      <c r="K300" s="401">
        <v>112.21</v>
      </c>
      <c r="L300" s="401">
        <v>110.69</v>
      </c>
      <c r="M300" s="401">
        <v>8.33</v>
      </c>
      <c r="N300" s="401">
        <v>119.26</v>
      </c>
      <c r="O300" s="402">
        <v>2249</v>
      </c>
      <c r="P300" s="401">
        <v>109.46</v>
      </c>
      <c r="Q300" s="401">
        <v>98.41</v>
      </c>
      <c r="R300" s="401">
        <v>48.27</v>
      </c>
      <c r="S300" s="401">
        <v>157.55000000000001</v>
      </c>
      <c r="T300" s="402">
        <v>522</v>
      </c>
      <c r="U300" s="401">
        <v>153.74</v>
      </c>
      <c r="V300" s="402">
        <v>523</v>
      </c>
      <c r="W300" s="401">
        <v>0</v>
      </c>
      <c r="X300" s="402">
        <v>0</v>
      </c>
      <c r="Y300" s="403">
        <v>76</v>
      </c>
      <c r="Z300" s="403">
        <v>1</v>
      </c>
      <c r="AA300" s="403">
        <v>0</v>
      </c>
      <c r="AB300" s="403">
        <v>57</v>
      </c>
      <c r="AC300" s="403">
        <v>7</v>
      </c>
      <c r="AD300" s="403">
        <v>2797</v>
      </c>
      <c r="AE300" s="403">
        <v>13</v>
      </c>
      <c r="AF300" s="403">
        <v>7</v>
      </c>
      <c r="AG300" s="403">
        <v>20</v>
      </c>
    </row>
    <row r="301" spans="1:33" x14ac:dyDescent="0.3">
      <c r="A301" s="396" t="s">
        <v>660</v>
      </c>
      <c r="B301" s="396" t="s">
        <v>661</v>
      </c>
      <c r="C301" s="403">
        <v>7992</v>
      </c>
      <c r="D301" s="403">
        <v>0</v>
      </c>
      <c r="E301" s="403">
        <v>368</v>
      </c>
      <c r="F301" s="403">
        <v>882</v>
      </c>
      <c r="G301" s="403">
        <v>747</v>
      </c>
      <c r="H301" s="400">
        <v>9989</v>
      </c>
      <c r="I301" s="400">
        <v>9242</v>
      </c>
      <c r="J301" s="403">
        <v>18</v>
      </c>
      <c r="K301" s="401">
        <v>119.18</v>
      </c>
      <c r="L301" s="401">
        <v>120.5</v>
      </c>
      <c r="M301" s="401">
        <v>5.32</v>
      </c>
      <c r="N301" s="401">
        <v>121.93</v>
      </c>
      <c r="O301" s="402">
        <v>7564</v>
      </c>
      <c r="P301" s="401">
        <v>107.98</v>
      </c>
      <c r="Q301" s="401">
        <v>103.58</v>
      </c>
      <c r="R301" s="401">
        <v>33.81</v>
      </c>
      <c r="S301" s="401">
        <v>140.55000000000001</v>
      </c>
      <c r="T301" s="402">
        <v>1061</v>
      </c>
      <c r="U301" s="401">
        <v>152.72999999999999</v>
      </c>
      <c r="V301" s="402">
        <v>382</v>
      </c>
      <c r="W301" s="401">
        <v>180.48</v>
      </c>
      <c r="X301" s="402">
        <v>81</v>
      </c>
      <c r="Y301" s="403">
        <v>98</v>
      </c>
      <c r="Z301" s="403">
        <v>0</v>
      </c>
      <c r="AA301" s="403">
        <v>1</v>
      </c>
      <c r="AB301" s="403">
        <v>30</v>
      </c>
      <c r="AC301" s="403">
        <v>17</v>
      </c>
      <c r="AD301" s="403">
        <v>7936</v>
      </c>
      <c r="AE301" s="403">
        <v>44</v>
      </c>
      <c r="AF301" s="403">
        <v>20</v>
      </c>
      <c r="AG301" s="403">
        <v>64</v>
      </c>
    </row>
    <row r="302" spans="1:33" x14ac:dyDescent="0.3">
      <c r="A302" s="396" t="s">
        <v>662</v>
      </c>
      <c r="B302" s="396" t="s">
        <v>663</v>
      </c>
      <c r="C302" s="403">
        <v>2190</v>
      </c>
      <c r="D302" s="403">
        <v>2</v>
      </c>
      <c r="E302" s="403">
        <v>31</v>
      </c>
      <c r="F302" s="403">
        <v>322</v>
      </c>
      <c r="G302" s="403">
        <v>141</v>
      </c>
      <c r="H302" s="400">
        <v>2686</v>
      </c>
      <c r="I302" s="400">
        <v>2545</v>
      </c>
      <c r="J302" s="403">
        <v>0</v>
      </c>
      <c r="K302" s="401">
        <v>87.13</v>
      </c>
      <c r="L302" s="401">
        <v>83.69</v>
      </c>
      <c r="M302" s="401">
        <v>2.76</v>
      </c>
      <c r="N302" s="401">
        <v>89.01</v>
      </c>
      <c r="O302" s="402">
        <v>1930</v>
      </c>
      <c r="P302" s="401">
        <v>83.46</v>
      </c>
      <c r="Q302" s="401">
        <v>75.38</v>
      </c>
      <c r="R302" s="401">
        <v>20.37</v>
      </c>
      <c r="S302" s="401">
        <v>103.53</v>
      </c>
      <c r="T302" s="402">
        <v>277</v>
      </c>
      <c r="U302" s="401">
        <v>119.39</v>
      </c>
      <c r="V302" s="402">
        <v>189</v>
      </c>
      <c r="W302" s="401">
        <v>87.12</v>
      </c>
      <c r="X302" s="402">
        <v>4</v>
      </c>
      <c r="Y302" s="403">
        <v>0</v>
      </c>
      <c r="Z302" s="403">
        <v>0</v>
      </c>
      <c r="AA302" s="403">
        <v>1</v>
      </c>
      <c r="AB302" s="403">
        <v>11</v>
      </c>
      <c r="AC302" s="403">
        <v>4</v>
      </c>
      <c r="AD302" s="403">
        <v>2104</v>
      </c>
      <c r="AE302" s="403">
        <v>24</v>
      </c>
      <c r="AF302" s="403">
        <v>7</v>
      </c>
      <c r="AG302" s="403">
        <v>31</v>
      </c>
    </row>
    <row r="303" spans="1:33" x14ac:dyDescent="0.3">
      <c r="A303" s="396" t="s">
        <v>664</v>
      </c>
      <c r="B303" s="396" t="s">
        <v>665</v>
      </c>
      <c r="C303" s="403">
        <v>965</v>
      </c>
      <c r="D303" s="403">
        <v>0</v>
      </c>
      <c r="E303" s="403">
        <v>198</v>
      </c>
      <c r="F303" s="403">
        <v>371</v>
      </c>
      <c r="G303" s="403">
        <v>405</v>
      </c>
      <c r="H303" s="400">
        <v>1939</v>
      </c>
      <c r="I303" s="400">
        <v>1534</v>
      </c>
      <c r="J303" s="403">
        <v>0</v>
      </c>
      <c r="K303" s="401">
        <v>93.2</v>
      </c>
      <c r="L303" s="401">
        <v>91.57</v>
      </c>
      <c r="M303" s="401">
        <v>5.72</v>
      </c>
      <c r="N303" s="401">
        <v>96.94</v>
      </c>
      <c r="O303" s="402">
        <v>549</v>
      </c>
      <c r="P303" s="401">
        <v>102.74</v>
      </c>
      <c r="Q303" s="401">
        <v>85.44</v>
      </c>
      <c r="R303" s="401">
        <v>41.31</v>
      </c>
      <c r="S303" s="401">
        <v>143.97</v>
      </c>
      <c r="T303" s="402">
        <v>482</v>
      </c>
      <c r="U303" s="401">
        <v>110.77</v>
      </c>
      <c r="V303" s="402">
        <v>349</v>
      </c>
      <c r="W303" s="401">
        <v>0</v>
      </c>
      <c r="X303" s="402">
        <v>0</v>
      </c>
      <c r="Y303" s="403">
        <v>0</v>
      </c>
      <c r="Z303" s="403">
        <v>0</v>
      </c>
      <c r="AA303" s="403">
        <v>0</v>
      </c>
      <c r="AB303" s="403">
        <v>18</v>
      </c>
      <c r="AC303" s="403">
        <v>0</v>
      </c>
      <c r="AD303" s="403">
        <v>955</v>
      </c>
      <c r="AE303" s="403">
        <v>23</v>
      </c>
      <c r="AF303" s="403">
        <v>0</v>
      </c>
      <c r="AG303" s="403">
        <v>23</v>
      </c>
    </row>
    <row r="304" spans="1:33" x14ac:dyDescent="0.3">
      <c r="A304" s="396" t="s">
        <v>666</v>
      </c>
      <c r="B304" s="396" t="s">
        <v>667</v>
      </c>
      <c r="C304" s="403">
        <v>4297</v>
      </c>
      <c r="D304" s="403">
        <v>0</v>
      </c>
      <c r="E304" s="403">
        <v>113</v>
      </c>
      <c r="F304" s="403">
        <v>422</v>
      </c>
      <c r="G304" s="403">
        <v>341</v>
      </c>
      <c r="H304" s="400">
        <v>5173</v>
      </c>
      <c r="I304" s="400">
        <v>4832</v>
      </c>
      <c r="J304" s="403">
        <v>0</v>
      </c>
      <c r="K304" s="401">
        <v>80.150000000000006</v>
      </c>
      <c r="L304" s="401">
        <v>80.02</v>
      </c>
      <c r="M304" s="401">
        <v>4.5599999999999996</v>
      </c>
      <c r="N304" s="401">
        <v>81.489999999999995</v>
      </c>
      <c r="O304" s="402">
        <v>3784</v>
      </c>
      <c r="P304" s="401">
        <v>77.599999999999994</v>
      </c>
      <c r="Q304" s="401">
        <v>73.430000000000007</v>
      </c>
      <c r="R304" s="401">
        <v>38.28</v>
      </c>
      <c r="S304" s="401">
        <v>115.89</v>
      </c>
      <c r="T304" s="402">
        <v>485</v>
      </c>
      <c r="U304" s="401">
        <v>102.1</v>
      </c>
      <c r="V304" s="402">
        <v>488</v>
      </c>
      <c r="W304" s="401">
        <v>117.07</v>
      </c>
      <c r="X304" s="402">
        <v>27</v>
      </c>
      <c r="Y304" s="403">
        <v>0</v>
      </c>
      <c r="Z304" s="403">
        <v>5</v>
      </c>
      <c r="AA304" s="403">
        <v>0</v>
      </c>
      <c r="AB304" s="403">
        <v>11</v>
      </c>
      <c r="AC304" s="403">
        <v>4</v>
      </c>
      <c r="AD304" s="403">
        <v>4244</v>
      </c>
      <c r="AE304" s="403">
        <v>17</v>
      </c>
      <c r="AF304" s="403">
        <v>6</v>
      </c>
      <c r="AG304" s="403">
        <v>23</v>
      </c>
    </row>
    <row r="305" spans="1:33" x14ac:dyDescent="0.3">
      <c r="A305" s="399" t="s">
        <v>815</v>
      </c>
      <c r="B305" s="399" t="s">
        <v>813</v>
      </c>
      <c r="C305" s="382">
        <v>11696</v>
      </c>
      <c r="D305" s="382">
        <v>9</v>
      </c>
      <c r="E305" s="382">
        <v>482</v>
      </c>
      <c r="F305" s="382">
        <v>2281</v>
      </c>
      <c r="G305" s="382">
        <v>2468</v>
      </c>
      <c r="H305" s="382">
        <v>16936</v>
      </c>
      <c r="I305" s="382">
        <v>14468</v>
      </c>
      <c r="J305" s="382">
        <v>63</v>
      </c>
      <c r="K305" s="382">
        <v>98.34</v>
      </c>
      <c r="L305" s="382">
        <v>98.04</v>
      </c>
      <c r="M305" s="382">
        <v>6.37</v>
      </c>
      <c r="N305" s="382">
        <v>102.35</v>
      </c>
      <c r="O305" s="385">
        <v>9341</v>
      </c>
      <c r="P305" s="382">
        <v>96.13</v>
      </c>
      <c r="Q305" s="382">
        <v>89.37</v>
      </c>
      <c r="R305" s="382">
        <v>39.159999999999997</v>
      </c>
      <c r="S305" s="382">
        <v>126.21</v>
      </c>
      <c r="T305" s="385">
        <v>2624</v>
      </c>
      <c r="U305" s="382">
        <v>127.54</v>
      </c>
      <c r="V305" s="385">
        <v>1936</v>
      </c>
      <c r="W305" s="382">
        <v>173.37</v>
      </c>
      <c r="X305" s="385">
        <v>78</v>
      </c>
      <c r="Y305" s="382">
        <v>100</v>
      </c>
      <c r="Z305" s="382">
        <v>24</v>
      </c>
      <c r="AA305" s="382">
        <v>19</v>
      </c>
      <c r="AB305" s="382">
        <v>70</v>
      </c>
      <c r="AC305" s="382">
        <v>32</v>
      </c>
      <c r="AD305" s="382">
        <v>11429</v>
      </c>
      <c r="AE305" s="382">
        <v>77</v>
      </c>
      <c r="AF305" s="382">
        <v>60</v>
      </c>
      <c r="AG305" s="382">
        <v>137</v>
      </c>
    </row>
    <row r="306" spans="1:33" x14ac:dyDescent="0.3">
      <c r="A306" s="396" t="s">
        <v>668</v>
      </c>
      <c r="B306" s="396" t="s">
        <v>669</v>
      </c>
      <c r="C306" s="403">
        <v>6161</v>
      </c>
      <c r="D306" s="403">
        <v>2</v>
      </c>
      <c r="E306" s="403">
        <v>142</v>
      </c>
      <c r="F306" s="403">
        <v>159</v>
      </c>
      <c r="G306" s="403">
        <v>931</v>
      </c>
      <c r="H306" s="400">
        <v>7395</v>
      </c>
      <c r="I306" s="400">
        <v>6464</v>
      </c>
      <c r="J306" s="403">
        <v>25</v>
      </c>
      <c r="K306" s="401">
        <v>111.26</v>
      </c>
      <c r="L306" s="401">
        <v>113.55</v>
      </c>
      <c r="M306" s="401">
        <v>4.74</v>
      </c>
      <c r="N306" s="401">
        <v>113.26</v>
      </c>
      <c r="O306" s="402">
        <v>4906</v>
      </c>
      <c r="P306" s="401">
        <v>98.77</v>
      </c>
      <c r="Q306" s="401">
        <v>92.25</v>
      </c>
      <c r="R306" s="401">
        <v>62.12</v>
      </c>
      <c r="S306" s="401">
        <v>157.30000000000001</v>
      </c>
      <c r="T306" s="402">
        <v>294</v>
      </c>
      <c r="U306" s="401">
        <v>172.73</v>
      </c>
      <c r="V306" s="402">
        <v>1153</v>
      </c>
      <c r="W306" s="401">
        <v>152.44999999999999</v>
      </c>
      <c r="X306" s="402">
        <v>2</v>
      </c>
      <c r="Y306" s="403">
        <v>109</v>
      </c>
      <c r="Z306" s="403">
        <v>2</v>
      </c>
      <c r="AA306" s="403">
        <v>6</v>
      </c>
      <c r="AB306" s="403">
        <v>169</v>
      </c>
      <c r="AC306" s="403">
        <v>4</v>
      </c>
      <c r="AD306" s="403">
        <v>6021</v>
      </c>
      <c r="AE306" s="403">
        <v>51</v>
      </c>
      <c r="AF306" s="403">
        <v>49</v>
      </c>
      <c r="AG306" s="403">
        <v>100</v>
      </c>
    </row>
    <row r="307" spans="1:33" x14ac:dyDescent="0.3">
      <c r="A307" s="396" t="s">
        <v>670</v>
      </c>
      <c r="B307" s="396" t="s">
        <v>671</v>
      </c>
      <c r="C307" s="403">
        <v>11005</v>
      </c>
      <c r="D307" s="403">
        <v>0</v>
      </c>
      <c r="E307" s="403">
        <v>418</v>
      </c>
      <c r="F307" s="403">
        <v>1116</v>
      </c>
      <c r="G307" s="403">
        <v>844</v>
      </c>
      <c r="H307" s="400">
        <v>13383</v>
      </c>
      <c r="I307" s="400">
        <v>12539</v>
      </c>
      <c r="J307" s="403">
        <v>0</v>
      </c>
      <c r="K307" s="401">
        <v>91.77</v>
      </c>
      <c r="L307" s="401">
        <v>91.99</v>
      </c>
      <c r="M307" s="401">
        <v>4.9000000000000004</v>
      </c>
      <c r="N307" s="401">
        <v>93.23</v>
      </c>
      <c r="O307" s="402">
        <v>8923</v>
      </c>
      <c r="P307" s="401">
        <v>87.41</v>
      </c>
      <c r="Q307" s="401">
        <v>84.74</v>
      </c>
      <c r="R307" s="401">
        <v>43.26</v>
      </c>
      <c r="S307" s="401">
        <v>130.27000000000001</v>
      </c>
      <c r="T307" s="402">
        <v>1515</v>
      </c>
      <c r="U307" s="401">
        <v>131.62</v>
      </c>
      <c r="V307" s="402">
        <v>1851</v>
      </c>
      <c r="W307" s="401">
        <v>107.26</v>
      </c>
      <c r="X307" s="402">
        <v>19</v>
      </c>
      <c r="Y307" s="403">
        <v>37</v>
      </c>
      <c r="Z307" s="403">
        <v>8</v>
      </c>
      <c r="AA307" s="403">
        <v>12</v>
      </c>
      <c r="AB307" s="403">
        <v>117</v>
      </c>
      <c r="AC307" s="403">
        <v>8</v>
      </c>
      <c r="AD307" s="403">
        <v>10991</v>
      </c>
      <c r="AE307" s="403">
        <v>123</v>
      </c>
      <c r="AF307" s="403">
        <v>69</v>
      </c>
      <c r="AG307" s="403">
        <v>192</v>
      </c>
    </row>
    <row r="308" spans="1:33" x14ac:dyDescent="0.3">
      <c r="A308" s="396" t="s">
        <v>672</v>
      </c>
      <c r="B308" s="396" t="s">
        <v>673</v>
      </c>
      <c r="C308" s="403">
        <v>12326</v>
      </c>
      <c r="D308" s="403">
        <v>842</v>
      </c>
      <c r="E308" s="403">
        <v>1350</v>
      </c>
      <c r="F308" s="403">
        <v>759</v>
      </c>
      <c r="G308" s="403">
        <v>536</v>
      </c>
      <c r="H308" s="400">
        <v>15813</v>
      </c>
      <c r="I308" s="400">
        <v>15277</v>
      </c>
      <c r="J308" s="403">
        <v>626</v>
      </c>
      <c r="K308" s="401">
        <v>132.97</v>
      </c>
      <c r="L308" s="401">
        <v>147.63999999999999</v>
      </c>
      <c r="M308" s="401">
        <v>12.8</v>
      </c>
      <c r="N308" s="401">
        <v>143.55000000000001</v>
      </c>
      <c r="O308" s="402">
        <v>9587</v>
      </c>
      <c r="P308" s="401">
        <v>113.97</v>
      </c>
      <c r="Q308" s="401">
        <v>114.67</v>
      </c>
      <c r="R308" s="401">
        <v>76.87</v>
      </c>
      <c r="S308" s="401">
        <v>183.12</v>
      </c>
      <c r="T308" s="402">
        <v>1872</v>
      </c>
      <c r="U308" s="401">
        <v>207.72</v>
      </c>
      <c r="V308" s="402">
        <v>757</v>
      </c>
      <c r="W308" s="401">
        <v>174.82</v>
      </c>
      <c r="X308" s="402">
        <v>2</v>
      </c>
      <c r="Y308" s="403">
        <v>5</v>
      </c>
      <c r="Z308" s="403">
        <v>0</v>
      </c>
      <c r="AA308" s="403">
        <v>22</v>
      </c>
      <c r="AB308" s="403">
        <v>0</v>
      </c>
      <c r="AC308" s="403">
        <v>13</v>
      </c>
      <c r="AD308" s="403">
        <v>10604</v>
      </c>
      <c r="AE308" s="403">
        <v>198</v>
      </c>
      <c r="AF308" s="403">
        <v>57</v>
      </c>
      <c r="AG308" s="403">
        <v>255</v>
      </c>
    </row>
    <row r="309" spans="1:33" x14ac:dyDescent="0.3">
      <c r="A309" s="396" t="s">
        <v>674</v>
      </c>
      <c r="B309" s="396" t="s">
        <v>675</v>
      </c>
      <c r="C309" s="403">
        <v>2535</v>
      </c>
      <c r="D309" s="403">
        <v>3</v>
      </c>
      <c r="E309" s="403">
        <v>920</v>
      </c>
      <c r="F309" s="403">
        <v>831</v>
      </c>
      <c r="G309" s="403">
        <v>398</v>
      </c>
      <c r="H309" s="400">
        <v>4687</v>
      </c>
      <c r="I309" s="400">
        <v>4289</v>
      </c>
      <c r="J309" s="403">
        <v>0</v>
      </c>
      <c r="K309" s="401">
        <v>80.180000000000007</v>
      </c>
      <c r="L309" s="401">
        <v>76.680000000000007</v>
      </c>
      <c r="M309" s="401">
        <v>6.57</v>
      </c>
      <c r="N309" s="401">
        <v>83.93</v>
      </c>
      <c r="O309" s="402">
        <v>1719</v>
      </c>
      <c r="P309" s="401">
        <v>92.28</v>
      </c>
      <c r="Q309" s="401">
        <v>71.099999999999994</v>
      </c>
      <c r="R309" s="401">
        <v>87.2</v>
      </c>
      <c r="S309" s="401">
        <v>179.26</v>
      </c>
      <c r="T309" s="402">
        <v>1576</v>
      </c>
      <c r="U309" s="401">
        <v>100.52</v>
      </c>
      <c r="V309" s="402">
        <v>721</v>
      </c>
      <c r="W309" s="401">
        <v>0</v>
      </c>
      <c r="X309" s="402">
        <v>0</v>
      </c>
      <c r="Y309" s="403">
        <v>0</v>
      </c>
      <c r="Z309" s="403">
        <v>0</v>
      </c>
      <c r="AA309" s="403">
        <v>10</v>
      </c>
      <c r="AB309" s="403">
        <v>78</v>
      </c>
      <c r="AC309" s="403">
        <v>3</v>
      </c>
      <c r="AD309" s="403">
        <v>2480</v>
      </c>
      <c r="AE309" s="403">
        <v>44</v>
      </c>
      <c r="AF309" s="403">
        <v>7</v>
      </c>
      <c r="AG309" s="403">
        <v>51</v>
      </c>
    </row>
    <row r="310" spans="1:33" x14ac:dyDescent="0.3">
      <c r="A310" s="396" t="s">
        <v>676</v>
      </c>
      <c r="B310" s="396" t="s">
        <v>677</v>
      </c>
      <c r="C310" s="403">
        <v>22567</v>
      </c>
      <c r="D310" s="403">
        <v>0</v>
      </c>
      <c r="E310" s="403">
        <v>641</v>
      </c>
      <c r="F310" s="403">
        <v>2966</v>
      </c>
      <c r="G310" s="403">
        <v>2104</v>
      </c>
      <c r="H310" s="400">
        <v>28278</v>
      </c>
      <c r="I310" s="400">
        <v>26174</v>
      </c>
      <c r="J310" s="403">
        <v>16</v>
      </c>
      <c r="K310" s="401">
        <v>100.54</v>
      </c>
      <c r="L310" s="401">
        <v>98.64</v>
      </c>
      <c r="M310" s="401">
        <v>4.05</v>
      </c>
      <c r="N310" s="401">
        <v>102.91</v>
      </c>
      <c r="O310" s="402">
        <v>18583</v>
      </c>
      <c r="P310" s="401">
        <v>95.01</v>
      </c>
      <c r="Q310" s="401">
        <v>88.55</v>
      </c>
      <c r="R310" s="401">
        <v>27.46</v>
      </c>
      <c r="S310" s="401">
        <v>121.6</v>
      </c>
      <c r="T310" s="402">
        <v>3180</v>
      </c>
      <c r="U310" s="401">
        <v>134.09</v>
      </c>
      <c r="V310" s="402">
        <v>3283</v>
      </c>
      <c r="W310" s="401">
        <v>170.24</v>
      </c>
      <c r="X310" s="402">
        <v>74</v>
      </c>
      <c r="Y310" s="403">
        <v>75</v>
      </c>
      <c r="Z310" s="403">
        <v>11</v>
      </c>
      <c r="AA310" s="403">
        <v>54</v>
      </c>
      <c r="AB310" s="403">
        <v>207</v>
      </c>
      <c r="AC310" s="403">
        <v>36</v>
      </c>
      <c r="AD310" s="403">
        <v>21860</v>
      </c>
      <c r="AE310" s="403">
        <v>145</v>
      </c>
      <c r="AF310" s="403">
        <v>139</v>
      </c>
      <c r="AG310" s="403">
        <v>284</v>
      </c>
    </row>
    <row r="311" spans="1:33" x14ac:dyDescent="0.3">
      <c r="A311" s="396" t="s">
        <v>678</v>
      </c>
      <c r="B311" s="396" t="s">
        <v>679</v>
      </c>
      <c r="C311" s="403">
        <v>2556</v>
      </c>
      <c r="D311" s="403">
        <v>0</v>
      </c>
      <c r="E311" s="403">
        <v>227</v>
      </c>
      <c r="F311" s="403">
        <v>240</v>
      </c>
      <c r="G311" s="403">
        <v>531</v>
      </c>
      <c r="H311" s="400">
        <v>3554</v>
      </c>
      <c r="I311" s="400">
        <v>3023</v>
      </c>
      <c r="J311" s="403">
        <v>0</v>
      </c>
      <c r="K311" s="401">
        <v>114.87</v>
      </c>
      <c r="L311" s="401">
        <v>111.29</v>
      </c>
      <c r="M311" s="401">
        <v>7.9</v>
      </c>
      <c r="N311" s="401">
        <v>122.16</v>
      </c>
      <c r="O311" s="402">
        <v>1782</v>
      </c>
      <c r="P311" s="401">
        <v>99.72</v>
      </c>
      <c r="Q311" s="401">
        <v>93.48</v>
      </c>
      <c r="R311" s="401">
        <v>43.05</v>
      </c>
      <c r="S311" s="401">
        <v>139.03</v>
      </c>
      <c r="T311" s="402">
        <v>415</v>
      </c>
      <c r="U311" s="401">
        <v>168.81</v>
      </c>
      <c r="V311" s="402">
        <v>616</v>
      </c>
      <c r="W311" s="401">
        <v>0</v>
      </c>
      <c r="X311" s="402">
        <v>0</v>
      </c>
      <c r="Y311" s="403">
        <v>0</v>
      </c>
      <c r="Z311" s="403">
        <v>0</v>
      </c>
      <c r="AA311" s="403">
        <v>6</v>
      </c>
      <c r="AB311" s="403">
        <v>76</v>
      </c>
      <c r="AC311" s="403">
        <v>14</v>
      </c>
      <c r="AD311" s="403">
        <v>2347</v>
      </c>
      <c r="AE311" s="403">
        <v>30</v>
      </c>
      <c r="AF311" s="403">
        <v>7</v>
      </c>
      <c r="AG311" s="403">
        <v>37</v>
      </c>
    </row>
    <row r="312" spans="1:33" x14ac:dyDescent="0.3">
      <c r="A312" s="396" t="s">
        <v>680</v>
      </c>
      <c r="B312" s="396" t="s">
        <v>681</v>
      </c>
      <c r="C312" s="403">
        <v>6783</v>
      </c>
      <c r="D312" s="403">
        <v>16</v>
      </c>
      <c r="E312" s="403">
        <v>188</v>
      </c>
      <c r="F312" s="403">
        <v>860</v>
      </c>
      <c r="G312" s="403">
        <v>363</v>
      </c>
      <c r="H312" s="400">
        <v>8210</v>
      </c>
      <c r="I312" s="400">
        <v>7847</v>
      </c>
      <c r="J312" s="403">
        <v>0</v>
      </c>
      <c r="K312" s="401">
        <v>122.69</v>
      </c>
      <c r="L312" s="401">
        <v>123.86</v>
      </c>
      <c r="M312" s="401">
        <v>5.39</v>
      </c>
      <c r="N312" s="401">
        <v>126.84</v>
      </c>
      <c r="O312" s="402">
        <v>6235</v>
      </c>
      <c r="P312" s="401">
        <v>109.71</v>
      </c>
      <c r="Q312" s="401">
        <v>106.99</v>
      </c>
      <c r="R312" s="401">
        <v>27.31</v>
      </c>
      <c r="S312" s="401">
        <v>136.47999999999999</v>
      </c>
      <c r="T312" s="402">
        <v>1044</v>
      </c>
      <c r="U312" s="401">
        <v>182.44</v>
      </c>
      <c r="V312" s="402">
        <v>331</v>
      </c>
      <c r="W312" s="401">
        <v>146.22</v>
      </c>
      <c r="X312" s="402">
        <v>1</v>
      </c>
      <c r="Y312" s="403">
        <v>0</v>
      </c>
      <c r="Z312" s="403">
        <v>2</v>
      </c>
      <c r="AA312" s="403">
        <v>5</v>
      </c>
      <c r="AB312" s="403">
        <v>19</v>
      </c>
      <c r="AC312" s="403">
        <v>10</v>
      </c>
      <c r="AD312" s="403">
        <v>6780</v>
      </c>
      <c r="AE312" s="403">
        <v>40</v>
      </c>
      <c r="AF312" s="403">
        <v>2</v>
      </c>
      <c r="AG312" s="403">
        <v>42</v>
      </c>
    </row>
    <row r="313" spans="1:33" x14ac:dyDescent="0.3">
      <c r="A313" s="396" t="s">
        <v>682</v>
      </c>
      <c r="B313" s="396" t="s">
        <v>683</v>
      </c>
      <c r="C313" s="403">
        <v>17951</v>
      </c>
      <c r="D313" s="403">
        <v>18</v>
      </c>
      <c r="E313" s="403">
        <v>1350</v>
      </c>
      <c r="F313" s="403">
        <v>3792</v>
      </c>
      <c r="G313" s="403">
        <v>460</v>
      </c>
      <c r="H313" s="400">
        <v>23571</v>
      </c>
      <c r="I313" s="400">
        <v>23111</v>
      </c>
      <c r="J313" s="403">
        <v>1</v>
      </c>
      <c r="K313" s="401">
        <v>86.93</v>
      </c>
      <c r="L313" s="401">
        <v>84.09</v>
      </c>
      <c r="M313" s="401">
        <v>8.51</v>
      </c>
      <c r="N313" s="401">
        <v>89.82</v>
      </c>
      <c r="O313" s="402">
        <v>13803</v>
      </c>
      <c r="P313" s="401">
        <v>87.34</v>
      </c>
      <c r="Q313" s="401">
        <v>75.83</v>
      </c>
      <c r="R313" s="401">
        <v>28.39</v>
      </c>
      <c r="S313" s="401">
        <v>114.25</v>
      </c>
      <c r="T313" s="402">
        <v>3804</v>
      </c>
      <c r="U313" s="401">
        <v>108.68</v>
      </c>
      <c r="V313" s="402">
        <v>2211</v>
      </c>
      <c r="W313" s="401">
        <v>149.55000000000001</v>
      </c>
      <c r="X313" s="402">
        <v>177</v>
      </c>
      <c r="Y313" s="403">
        <v>0</v>
      </c>
      <c r="Z313" s="403">
        <v>44</v>
      </c>
      <c r="AA313" s="403">
        <v>4</v>
      </c>
      <c r="AB313" s="403">
        <v>29</v>
      </c>
      <c r="AC313" s="403">
        <v>1</v>
      </c>
      <c r="AD313" s="403">
        <v>15912</v>
      </c>
      <c r="AE313" s="403">
        <v>137</v>
      </c>
      <c r="AF313" s="403">
        <v>162</v>
      </c>
      <c r="AG313" s="403">
        <v>299</v>
      </c>
    </row>
    <row r="314" spans="1:33" x14ac:dyDescent="0.3">
      <c r="A314" s="396" t="s">
        <v>684</v>
      </c>
      <c r="B314" s="396" t="s">
        <v>685</v>
      </c>
      <c r="C314" s="403">
        <v>1114</v>
      </c>
      <c r="D314" s="403">
        <v>4</v>
      </c>
      <c r="E314" s="403">
        <v>189</v>
      </c>
      <c r="F314" s="403">
        <v>342</v>
      </c>
      <c r="G314" s="403">
        <v>218</v>
      </c>
      <c r="H314" s="400">
        <v>1867</v>
      </c>
      <c r="I314" s="400">
        <v>1649</v>
      </c>
      <c r="J314" s="403">
        <v>1</v>
      </c>
      <c r="K314" s="401">
        <v>132.01</v>
      </c>
      <c r="L314" s="401">
        <v>120.26</v>
      </c>
      <c r="M314" s="401">
        <v>9.06</v>
      </c>
      <c r="N314" s="401">
        <v>140</v>
      </c>
      <c r="O314" s="402">
        <v>953</v>
      </c>
      <c r="P314" s="401">
        <v>103.56</v>
      </c>
      <c r="Q314" s="401">
        <v>98.1</v>
      </c>
      <c r="R314" s="401">
        <v>32.020000000000003</v>
      </c>
      <c r="S314" s="401">
        <v>135.58000000000001</v>
      </c>
      <c r="T314" s="402">
        <v>248</v>
      </c>
      <c r="U314" s="401">
        <v>212.01</v>
      </c>
      <c r="V314" s="402">
        <v>32</v>
      </c>
      <c r="W314" s="401">
        <v>156.47999999999999</v>
      </c>
      <c r="X314" s="402">
        <v>27</v>
      </c>
      <c r="Y314" s="403">
        <v>1</v>
      </c>
      <c r="Z314" s="403">
        <v>0</v>
      </c>
      <c r="AA314" s="403">
        <v>0</v>
      </c>
      <c r="AB314" s="403">
        <v>0</v>
      </c>
      <c r="AC314" s="403">
        <v>9</v>
      </c>
      <c r="AD314" s="403">
        <v>1004</v>
      </c>
      <c r="AE314" s="403">
        <v>1</v>
      </c>
      <c r="AF314" s="403">
        <v>4</v>
      </c>
      <c r="AG314" s="403">
        <v>5</v>
      </c>
    </row>
    <row r="315" spans="1:33" x14ac:dyDescent="0.3">
      <c r="A315" s="396" t="s">
        <v>686</v>
      </c>
      <c r="B315" s="396" t="s">
        <v>687</v>
      </c>
      <c r="C315" s="403">
        <v>2072</v>
      </c>
      <c r="D315" s="403">
        <v>4</v>
      </c>
      <c r="E315" s="403">
        <v>169</v>
      </c>
      <c r="F315" s="403">
        <v>253</v>
      </c>
      <c r="G315" s="403">
        <v>1339</v>
      </c>
      <c r="H315" s="400">
        <v>3837</v>
      </c>
      <c r="I315" s="400">
        <v>2498</v>
      </c>
      <c r="J315" s="403">
        <v>0</v>
      </c>
      <c r="K315" s="401">
        <v>132.69999999999999</v>
      </c>
      <c r="L315" s="401">
        <v>131.13</v>
      </c>
      <c r="M315" s="401">
        <v>7.64</v>
      </c>
      <c r="N315" s="401">
        <v>139.63</v>
      </c>
      <c r="O315" s="402">
        <v>1851</v>
      </c>
      <c r="P315" s="401">
        <v>112.58</v>
      </c>
      <c r="Q315" s="401">
        <v>112.71</v>
      </c>
      <c r="R315" s="401">
        <v>44.59</v>
      </c>
      <c r="S315" s="401">
        <v>155.54</v>
      </c>
      <c r="T315" s="402">
        <v>299</v>
      </c>
      <c r="U315" s="401">
        <v>170.96</v>
      </c>
      <c r="V315" s="402">
        <v>172</v>
      </c>
      <c r="W315" s="401">
        <v>152.59</v>
      </c>
      <c r="X315" s="402">
        <v>55</v>
      </c>
      <c r="Y315" s="403">
        <v>0</v>
      </c>
      <c r="Z315" s="403">
        <v>1</v>
      </c>
      <c r="AA315" s="403">
        <v>2</v>
      </c>
      <c r="AB315" s="403">
        <v>121</v>
      </c>
      <c r="AC315" s="403">
        <v>21</v>
      </c>
      <c r="AD315" s="403">
        <v>2043</v>
      </c>
      <c r="AE315" s="403">
        <v>18</v>
      </c>
      <c r="AF315" s="403">
        <v>7</v>
      </c>
      <c r="AG315" s="403">
        <v>25</v>
      </c>
    </row>
    <row r="316" spans="1:33" x14ac:dyDescent="0.3">
      <c r="A316" s="396" t="s">
        <v>688</v>
      </c>
      <c r="B316" s="396" t="s">
        <v>689</v>
      </c>
      <c r="C316" s="403">
        <v>4917</v>
      </c>
      <c r="D316" s="403">
        <v>7</v>
      </c>
      <c r="E316" s="403">
        <v>561</v>
      </c>
      <c r="F316" s="403">
        <v>1280</v>
      </c>
      <c r="G316" s="403">
        <v>291</v>
      </c>
      <c r="H316" s="400">
        <v>7056</v>
      </c>
      <c r="I316" s="400">
        <v>6765</v>
      </c>
      <c r="J316" s="403">
        <v>72</v>
      </c>
      <c r="K316" s="401">
        <v>89.17</v>
      </c>
      <c r="L316" s="401">
        <v>85.2</v>
      </c>
      <c r="M316" s="401">
        <v>7.55</v>
      </c>
      <c r="N316" s="401">
        <v>95.8</v>
      </c>
      <c r="O316" s="402">
        <v>4076</v>
      </c>
      <c r="P316" s="401">
        <v>99.61</v>
      </c>
      <c r="Q316" s="401">
        <v>84.86</v>
      </c>
      <c r="R316" s="401">
        <v>63.9</v>
      </c>
      <c r="S316" s="401">
        <v>162.09</v>
      </c>
      <c r="T316" s="402">
        <v>1574</v>
      </c>
      <c r="U316" s="401">
        <v>111.98</v>
      </c>
      <c r="V316" s="402">
        <v>691</v>
      </c>
      <c r="W316" s="401">
        <v>178.68</v>
      </c>
      <c r="X316" s="402">
        <v>36</v>
      </c>
      <c r="Y316" s="403">
        <v>15</v>
      </c>
      <c r="Z316" s="403">
        <v>2</v>
      </c>
      <c r="AA316" s="403">
        <v>2</v>
      </c>
      <c r="AB316" s="403">
        <v>33</v>
      </c>
      <c r="AC316" s="403">
        <v>4</v>
      </c>
      <c r="AD316" s="403">
        <v>4904</v>
      </c>
      <c r="AE316" s="403">
        <v>63</v>
      </c>
      <c r="AF316" s="403">
        <v>6</v>
      </c>
      <c r="AG316" s="403">
        <v>69</v>
      </c>
    </row>
    <row r="317" spans="1:33" x14ac:dyDescent="0.3">
      <c r="A317" s="396" t="s">
        <v>690</v>
      </c>
      <c r="B317" s="396" t="s">
        <v>691</v>
      </c>
      <c r="C317" s="403">
        <v>6201</v>
      </c>
      <c r="D317" s="403">
        <v>46</v>
      </c>
      <c r="E317" s="403">
        <v>482</v>
      </c>
      <c r="F317" s="403">
        <v>946</v>
      </c>
      <c r="G317" s="403">
        <v>482</v>
      </c>
      <c r="H317" s="400">
        <v>8157</v>
      </c>
      <c r="I317" s="400">
        <v>7675</v>
      </c>
      <c r="J317" s="403">
        <v>14</v>
      </c>
      <c r="K317" s="401">
        <v>87.74</v>
      </c>
      <c r="L317" s="401">
        <v>89.09</v>
      </c>
      <c r="M317" s="401">
        <v>5.74</v>
      </c>
      <c r="N317" s="401">
        <v>93.06</v>
      </c>
      <c r="O317" s="402">
        <v>5287</v>
      </c>
      <c r="P317" s="401">
        <v>85.44</v>
      </c>
      <c r="Q317" s="401">
        <v>79.569999999999993</v>
      </c>
      <c r="R317" s="401">
        <v>47.9</v>
      </c>
      <c r="S317" s="401">
        <v>132.61000000000001</v>
      </c>
      <c r="T317" s="402">
        <v>1113</v>
      </c>
      <c r="U317" s="401">
        <v>112.39</v>
      </c>
      <c r="V317" s="402">
        <v>861</v>
      </c>
      <c r="W317" s="401">
        <v>196.1</v>
      </c>
      <c r="X317" s="402">
        <v>162</v>
      </c>
      <c r="Y317" s="403">
        <v>0</v>
      </c>
      <c r="Z317" s="403">
        <v>13</v>
      </c>
      <c r="AA317" s="403">
        <v>3</v>
      </c>
      <c r="AB317" s="403">
        <v>56</v>
      </c>
      <c r="AC317" s="403">
        <v>4</v>
      </c>
      <c r="AD317" s="403">
        <v>6152</v>
      </c>
      <c r="AE317" s="403">
        <v>35</v>
      </c>
      <c r="AF317" s="403">
        <v>9</v>
      </c>
      <c r="AG317" s="403">
        <v>44</v>
      </c>
    </row>
    <row r="318" spans="1:33" x14ac:dyDescent="0.3">
      <c r="A318" s="396" t="s">
        <v>692</v>
      </c>
      <c r="B318" s="396" t="s">
        <v>693</v>
      </c>
      <c r="C318" s="403">
        <v>4087</v>
      </c>
      <c r="D318" s="403">
        <v>2</v>
      </c>
      <c r="E318" s="403">
        <v>227</v>
      </c>
      <c r="F318" s="403">
        <v>557</v>
      </c>
      <c r="G318" s="403">
        <v>168</v>
      </c>
      <c r="H318" s="400">
        <v>5041</v>
      </c>
      <c r="I318" s="400">
        <v>4873</v>
      </c>
      <c r="J318" s="403">
        <v>56</v>
      </c>
      <c r="K318" s="401">
        <v>102.55</v>
      </c>
      <c r="L318" s="401">
        <v>100.98</v>
      </c>
      <c r="M318" s="401">
        <v>6.95</v>
      </c>
      <c r="N318" s="401">
        <v>106.88</v>
      </c>
      <c r="O318" s="402">
        <v>3713</v>
      </c>
      <c r="P318" s="401">
        <v>89.91</v>
      </c>
      <c r="Q318" s="401">
        <v>84.79</v>
      </c>
      <c r="R318" s="401">
        <v>40.57</v>
      </c>
      <c r="S318" s="401">
        <v>130.1</v>
      </c>
      <c r="T318" s="402">
        <v>543</v>
      </c>
      <c r="U318" s="401">
        <v>150.41</v>
      </c>
      <c r="V318" s="402">
        <v>229</v>
      </c>
      <c r="W318" s="401">
        <v>158.77000000000001</v>
      </c>
      <c r="X318" s="402">
        <v>35</v>
      </c>
      <c r="Y318" s="403">
        <v>0</v>
      </c>
      <c r="Z318" s="403">
        <v>3</v>
      </c>
      <c r="AA318" s="403">
        <v>10</v>
      </c>
      <c r="AB318" s="403">
        <v>11</v>
      </c>
      <c r="AC318" s="403">
        <v>2</v>
      </c>
      <c r="AD318" s="403">
        <v>4071</v>
      </c>
      <c r="AE318" s="403">
        <v>9</v>
      </c>
      <c r="AF318" s="403">
        <v>10</v>
      </c>
      <c r="AG318" s="403">
        <v>19</v>
      </c>
    </row>
    <row r="319" spans="1:33" x14ac:dyDescent="0.3">
      <c r="A319" s="396" t="s">
        <v>694</v>
      </c>
      <c r="B319" s="396" t="s">
        <v>695</v>
      </c>
      <c r="C319" s="403">
        <v>8120</v>
      </c>
      <c r="D319" s="403">
        <v>7</v>
      </c>
      <c r="E319" s="403">
        <v>105</v>
      </c>
      <c r="F319" s="403">
        <v>899</v>
      </c>
      <c r="G319" s="403">
        <v>664</v>
      </c>
      <c r="H319" s="400">
        <v>9795</v>
      </c>
      <c r="I319" s="400">
        <v>9131</v>
      </c>
      <c r="J319" s="403">
        <v>3</v>
      </c>
      <c r="K319" s="401">
        <v>95.41</v>
      </c>
      <c r="L319" s="401">
        <v>93.68</v>
      </c>
      <c r="M319" s="401">
        <v>4.3</v>
      </c>
      <c r="N319" s="401">
        <v>97.74</v>
      </c>
      <c r="O319" s="402">
        <v>6947</v>
      </c>
      <c r="P319" s="401">
        <v>86.59</v>
      </c>
      <c r="Q319" s="401">
        <v>83.98</v>
      </c>
      <c r="R319" s="401">
        <v>36.090000000000003</v>
      </c>
      <c r="S319" s="401">
        <v>121.25</v>
      </c>
      <c r="T319" s="402">
        <v>860</v>
      </c>
      <c r="U319" s="401">
        <v>118.89</v>
      </c>
      <c r="V319" s="402">
        <v>1172</v>
      </c>
      <c r="W319" s="401">
        <v>224.36</v>
      </c>
      <c r="X319" s="402">
        <v>84</v>
      </c>
      <c r="Y319" s="403">
        <v>0</v>
      </c>
      <c r="Z319" s="403">
        <v>7</v>
      </c>
      <c r="AA319" s="403">
        <v>0</v>
      </c>
      <c r="AB319" s="403">
        <v>24</v>
      </c>
      <c r="AC319" s="403">
        <v>10</v>
      </c>
      <c r="AD319" s="403">
        <v>8120</v>
      </c>
      <c r="AE319" s="403">
        <v>58</v>
      </c>
      <c r="AF319" s="403">
        <v>15</v>
      </c>
      <c r="AG319" s="403">
        <v>73</v>
      </c>
    </row>
    <row r="320" spans="1:33" x14ac:dyDescent="0.3">
      <c r="A320" s="396" t="s">
        <v>696</v>
      </c>
      <c r="B320" s="396" t="s">
        <v>697</v>
      </c>
      <c r="C320" s="403">
        <v>3263</v>
      </c>
      <c r="D320" s="403">
        <v>0</v>
      </c>
      <c r="E320" s="403">
        <v>344</v>
      </c>
      <c r="F320" s="403">
        <v>387</v>
      </c>
      <c r="G320" s="403">
        <v>275</v>
      </c>
      <c r="H320" s="400">
        <v>4269</v>
      </c>
      <c r="I320" s="400">
        <v>3994</v>
      </c>
      <c r="J320" s="403">
        <v>60</v>
      </c>
      <c r="K320" s="401">
        <v>87.25</v>
      </c>
      <c r="L320" s="401">
        <v>86.72</v>
      </c>
      <c r="M320" s="401">
        <v>4.38</v>
      </c>
      <c r="N320" s="401">
        <v>89.84</v>
      </c>
      <c r="O320" s="402">
        <v>2820</v>
      </c>
      <c r="P320" s="401">
        <v>100.5</v>
      </c>
      <c r="Q320" s="401">
        <v>86.92</v>
      </c>
      <c r="R320" s="401">
        <v>39.299999999999997</v>
      </c>
      <c r="S320" s="401">
        <v>138.72</v>
      </c>
      <c r="T320" s="402">
        <v>580</v>
      </c>
      <c r="U320" s="401">
        <v>110.33</v>
      </c>
      <c r="V320" s="402">
        <v>388</v>
      </c>
      <c r="W320" s="401">
        <v>178.15</v>
      </c>
      <c r="X320" s="402">
        <v>72</v>
      </c>
      <c r="Y320" s="403">
        <v>0</v>
      </c>
      <c r="Z320" s="403">
        <v>3</v>
      </c>
      <c r="AA320" s="403">
        <v>0</v>
      </c>
      <c r="AB320" s="403">
        <v>47</v>
      </c>
      <c r="AC320" s="403">
        <v>7</v>
      </c>
      <c r="AD320" s="403">
        <v>3221</v>
      </c>
      <c r="AE320" s="403">
        <v>10</v>
      </c>
      <c r="AF320" s="403">
        <v>20</v>
      </c>
      <c r="AG320" s="403">
        <v>30</v>
      </c>
    </row>
    <row r="321" spans="1:33" x14ac:dyDescent="0.3">
      <c r="A321" s="396" t="s">
        <v>698</v>
      </c>
      <c r="B321" s="396" t="s">
        <v>699</v>
      </c>
      <c r="C321" s="403">
        <v>4425</v>
      </c>
      <c r="D321" s="403">
        <v>0</v>
      </c>
      <c r="E321" s="403">
        <v>2166</v>
      </c>
      <c r="F321" s="403">
        <v>69</v>
      </c>
      <c r="G321" s="403">
        <v>463</v>
      </c>
      <c r="H321" s="400">
        <v>7123</v>
      </c>
      <c r="I321" s="400">
        <v>6660</v>
      </c>
      <c r="J321" s="403">
        <v>0</v>
      </c>
      <c r="K321" s="401">
        <v>88.89</v>
      </c>
      <c r="L321" s="401">
        <v>86.14</v>
      </c>
      <c r="M321" s="401">
        <v>4.67</v>
      </c>
      <c r="N321" s="401">
        <v>93.37</v>
      </c>
      <c r="O321" s="402">
        <v>4021</v>
      </c>
      <c r="P321" s="401">
        <v>85.84</v>
      </c>
      <c r="Q321" s="401">
        <v>79.53</v>
      </c>
      <c r="R321" s="401">
        <v>17.34</v>
      </c>
      <c r="S321" s="401">
        <v>103.18</v>
      </c>
      <c r="T321" s="402">
        <v>2102</v>
      </c>
      <c r="U321" s="401">
        <v>103.84</v>
      </c>
      <c r="V321" s="402">
        <v>375</v>
      </c>
      <c r="W321" s="401">
        <v>205.85</v>
      </c>
      <c r="X321" s="402">
        <v>126</v>
      </c>
      <c r="Y321" s="403">
        <v>0</v>
      </c>
      <c r="Z321" s="403">
        <v>15</v>
      </c>
      <c r="AA321" s="403">
        <v>38</v>
      </c>
      <c r="AB321" s="403">
        <v>19</v>
      </c>
      <c r="AC321" s="403">
        <v>15</v>
      </c>
      <c r="AD321" s="403">
        <v>4425</v>
      </c>
      <c r="AE321" s="403">
        <v>31</v>
      </c>
      <c r="AF321" s="403">
        <v>79</v>
      </c>
      <c r="AG321" s="403">
        <v>110</v>
      </c>
    </row>
    <row r="322" spans="1:33" x14ac:dyDescent="0.3">
      <c r="A322" s="396" t="s">
        <v>700</v>
      </c>
      <c r="B322" s="396" t="s">
        <v>701</v>
      </c>
      <c r="C322" s="403">
        <v>4002</v>
      </c>
      <c r="D322" s="403">
        <v>6</v>
      </c>
      <c r="E322" s="403">
        <v>297</v>
      </c>
      <c r="F322" s="403">
        <v>721</v>
      </c>
      <c r="G322" s="403">
        <v>410</v>
      </c>
      <c r="H322" s="400">
        <v>5436</v>
      </c>
      <c r="I322" s="400">
        <v>5026</v>
      </c>
      <c r="J322" s="403">
        <v>69</v>
      </c>
      <c r="K322" s="401">
        <v>94.33</v>
      </c>
      <c r="L322" s="401">
        <v>92.57</v>
      </c>
      <c r="M322" s="401">
        <v>7.71</v>
      </c>
      <c r="N322" s="401">
        <v>98.1</v>
      </c>
      <c r="O322" s="402">
        <v>3087</v>
      </c>
      <c r="P322" s="401">
        <v>85.84</v>
      </c>
      <c r="Q322" s="401">
        <v>75.040000000000006</v>
      </c>
      <c r="R322" s="401">
        <v>30.36</v>
      </c>
      <c r="S322" s="401">
        <v>115.68</v>
      </c>
      <c r="T322" s="402">
        <v>701</v>
      </c>
      <c r="U322" s="401">
        <v>108.79</v>
      </c>
      <c r="V322" s="402">
        <v>506</v>
      </c>
      <c r="W322" s="401">
        <v>0</v>
      </c>
      <c r="X322" s="402">
        <v>0</v>
      </c>
      <c r="Y322" s="403">
        <v>0</v>
      </c>
      <c r="Z322" s="403">
        <v>0</v>
      </c>
      <c r="AA322" s="403">
        <v>2</v>
      </c>
      <c r="AB322" s="403">
        <v>0</v>
      </c>
      <c r="AC322" s="403">
        <v>12</v>
      </c>
      <c r="AD322" s="403">
        <v>3661</v>
      </c>
      <c r="AE322" s="403">
        <v>44</v>
      </c>
      <c r="AF322" s="403">
        <v>7</v>
      </c>
      <c r="AG322" s="403">
        <v>51</v>
      </c>
    </row>
  </sheetData>
  <pageMargins left="0.7" right="0.7" top="0.75" bottom="0.75" header="0.3" footer="0.3"/>
  <pageSetup paperSize="9" orientation="portrait" r:id="rId1"/>
  <headerFooter>
    <oddFooter>&amp;C&amp;1#&amp;"Calibri"&amp;12&amp;K0078D7OFFICIAL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D28CE-0B00-43D8-B420-60F52B3ECD0E}">
  <sheetPr codeName="Sheet14">
    <tabColor rgb="FFFFFF00"/>
  </sheetPr>
  <dimension ref="A1:AG322"/>
  <sheetViews>
    <sheetView zoomScale="80" zoomScaleNormal="80" workbookViewId="0">
      <selection activeCell="B39" sqref="B39"/>
    </sheetView>
  </sheetViews>
  <sheetFormatPr defaultColWidth="8.7265625" defaultRowHeight="13" x14ac:dyDescent="0.3"/>
  <cols>
    <col min="1" max="2" width="8.7265625" style="398"/>
    <col min="3" max="14" width="8.81640625" style="398" bestFit="1" customWidth="1"/>
    <col min="15" max="15" width="10.453125" style="398" bestFit="1" customWidth="1"/>
    <col min="16" max="19" width="8.81640625" style="398" bestFit="1" customWidth="1"/>
    <col min="20" max="20" width="9.81640625" style="398" bestFit="1" customWidth="1"/>
    <col min="21" max="21" width="8.81640625" style="398" bestFit="1" customWidth="1"/>
    <col min="22" max="22" width="9.81640625" style="398" bestFit="1" customWidth="1"/>
    <col min="23" max="33" width="8.81640625" style="398" bestFit="1" customWidth="1"/>
    <col min="34" max="16384" width="8.7265625" style="398"/>
  </cols>
  <sheetData>
    <row r="1" spans="1:33" x14ac:dyDescent="0.3">
      <c r="A1" s="153"/>
      <c r="B1" s="153"/>
      <c r="C1" s="154" t="s">
        <v>42</v>
      </c>
      <c r="D1" s="154" t="s">
        <v>42</v>
      </c>
      <c r="E1" s="154" t="s">
        <v>42</v>
      </c>
      <c r="F1" s="154" t="s">
        <v>42</v>
      </c>
      <c r="G1" s="154" t="s">
        <v>42</v>
      </c>
      <c r="H1" s="154" t="s">
        <v>42</v>
      </c>
      <c r="I1" s="155" t="s">
        <v>43</v>
      </c>
      <c r="J1" s="155" t="s">
        <v>43</v>
      </c>
      <c r="K1" s="156" t="s">
        <v>44</v>
      </c>
      <c r="L1" s="156" t="s">
        <v>44</v>
      </c>
      <c r="M1" s="156" t="s">
        <v>44</v>
      </c>
      <c r="N1" s="157" t="s">
        <v>44</v>
      </c>
      <c r="O1" s="156" t="s">
        <v>44</v>
      </c>
      <c r="P1" s="158" t="s">
        <v>45</v>
      </c>
      <c r="Q1" s="158" t="s">
        <v>45</v>
      </c>
      <c r="R1" s="158" t="s">
        <v>45</v>
      </c>
      <c r="S1" s="158" t="s">
        <v>45</v>
      </c>
      <c r="T1" s="158" t="s">
        <v>45</v>
      </c>
      <c r="U1" s="159" t="s">
        <v>46</v>
      </c>
      <c r="V1" s="159" t="s">
        <v>46</v>
      </c>
      <c r="W1" s="160" t="s">
        <v>47</v>
      </c>
      <c r="X1" s="160" t="s">
        <v>47</v>
      </c>
      <c r="Y1" s="161" t="s">
        <v>48</v>
      </c>
      <c r="Z1" s="161" t="s">
        <v>48</v>
      </c>
      <c r="AA1" s="161" t="s">
        <v>48</v>
      </c>
      <c r="AB1" s="161" t="s">
        <v>48</v>
      </c>
      <c r="AC1" s="161" t="s">
        <v>48</v>
      </c>
      <c r="AD1" s="162" t="s">
        <v>49</v>
      </c>
      <c r="AE1" s="162" t="s">
        <v>49</v>
      </c>
      <c r="AF1" s="162" t="s">
        <v>49</v>
      </c>
      <c r="AG1" s="162" t="s">
        <v>49</v>
      </c>
    </row>
    <row r="2" spans="1:33" x14ac:dyDescent="0.3">
      <c r="A2" s="164"/>
      <c r="B2" s="165">
        <v>1</v>
      </c>
      <c r="C2" s="165">
        <v>2</v>
      </c>
      <c r="D2" s="165">
        <v>3</v>
      </c>
      <c r="E2" s="165">
        <v>4</v>
      </c>
      <c r="F2" s="165">
        <v>5</v>
      </c>
      <c r="G2" s="165">
        <v>6</v>
      </c>
      <c r="H2" s="165">
        <v>7</v>
      </c>
      <c r="I2" s="165">
        <v>8</v>
      </c>
      <c r="J2" s="165">
        <v>9</v>
      </c>
      <c r="K2" s="165">
        <v>10</v>
      </c>
      <c r="L2" s="165">
        <v>11</v>
      </c>
      <c r="M2" s="165">
        <v>12</v>
      </c>
      <c r="N2" s="165">
        <v>13</v>
      </c>
      <c r="O2" s="165">
        <v>14</v>
      </c>
      <c r="P2" s="165">
        <v>15</v>
      </c>
      <c r="Q2" s="165">
        <v>16</v>
      </c>
      <c r="R2" s="165">
        <v>17</v>
      </c>
      <c r="S2" s="165">
        <v>18</v>
      </c>
      <c r="T2" s="165">
        <v>19</v>
      </c>
      <c r="U2" s="165">
        <v>20</v>
      </c>
      <c r="V2" s="165">
        <v>21</v>
      </c>
      <c r="W2" s="165">
        <v>22</v>
      </c>
      <c r="X2" s="165">
        <v>23</v>
      </c>
      <c r="Y2" s="165">
        <v>24</v>
      </c>
      <c r="Z2" s="165">
        <v>25</v>
      </c>
      <c r="AA2" s="165">
        <v>26</v>
      </c>
      <c r="AB2" s="165">
        <v>27</v>
      </c>
      <c r="AC2" s="165">
        <v>28</v>
      </c>
      <c r="AD2" s="165">
        <v>29</v>
      </c>
      <c r="AE2" s="165">
        <v>30</v>
      </c>
      <c r="AF2" s="165">
        <v>31</v>
      </c>
      <c r="AG2" s="165">
        <v>32</v>
      </c>
    </row>
    <row r="3" spans="1:33" ht="75.5" x14ac:dyDescent="0.3">
      <c r="A3" s="164" t="s">
        <v>50</v>
      </c>
      <c r="B3" s="164" t="s">
        <v>51</v>
      </c>
      <c r="C3" s="166" t="s">
        <v>52</v>
      </c>
      <c r="D3" s="166" t="s">
        <v>53</v>
      </c>
      <c r="E3" s="166" t="s">
        <v>54</v>
      </c>
      <c r="F3" s="166" t="s">
        <v>55</v>
      </c>
      <c r="G3" s="166" t="s">
        <v>56</v>
      </c>
      <c r="H3" s="166" t="s">
        <v>57</v>
      </c>
      <c r="I3" s="167" t="s">
        <v>58</v>
      </c>
      <c r="J3" s="167" t="s">
        <v>59</v>
      </c>
      <c r="K3" s="168" t="s">
        <v>60</v>
      </c>
      <c r="L3" s="168" t="s">
        <v>61</v>
      </c>
      <c r="M3" s="168" t="s">
        <v>62</v>
      </c>
      <c r="N3" s="169" t="s">
        <v>63</v>
      </c>
      <c r="O3" s="168" t="s">
        <v>64</v>
      </c>
      <c r="P3" s="170" t="s">
        <v>65</v>
      </c>
      <c r="Q3" s="170" t="s">
        <v>66</v>
      </c>
      <c r="R3" s="170" t="s">
        <v>62</v>
      </c>
      <c r="S3" s="170" t="s">
        <v>67</v>
      </c>
      <c r="T3" s="170" t="s">
        <v>68</v>
      </c>
      <c r="U3" s="171" t="s">
        <v>69</v>
      </c>
      <c r="V3" s="171" t="s">
        <v>70</v>
      </c>
      <c r="W3" s="172" t="s">
        <v>71</v>
      </c>
      <c r="X3" s="172" t="s">
        <v>72</v>
      </c>
      <c r="Y3" s="173" t="s">
        <v>73</v>
      </c>
      <c r="Z3" s="173" t="s">
        <v>74</v>
      </c>
      <c r="AA3" s="173" t="s">
        <v>75</v>
      </c>
      <c r="AB3" s="173" t="s">
        <v>76</v>
      </c>
      <c r="AC3" s="173" t="s">
        <v>77</v>
      </c>
      <c r="AD3" s="174" t="s">
        <v>78</v>
      </c>
      <c r="AE3" s="174" t="s">
        <v>79</v>
      </c>
      <c r="AF3" s="174" t="s">
        <v>80</v>
      </c>
      <c r="AG3" s="174" t="s">
        <v>81</v>
      </c>
    </row>
    <row r="4" spans="1:33" x14ac:dyDescent="0.3">
      <c r="A4" s="396" t="s">
        <v>15</v>
      </c>
      <c r="B4" s="396" t="s">
        <v>15</v>
      </c>
      <c r="C4" s="400">
        <v>2206601</v>
      </c>
      <c r="D4" s="400">
        <v>10058</v>
      </c>
      <c r="E4" s="400">
        <v>140323</v>
      </c>
      <c r="F4" s="400">
        <v>262072</v>
      </c>
      <c r="G4" s="400">
        <v>223546</v>
      </c>
      <c r="H4" s="400">
        <v>2842600</v>
      </c>
      <c r="I4" s="400">
        <v>2619054</v>
      </c>
      <c r="J4" s="400">
        <v>6692</v>
      </c>
      <c r="K4" s="401">
        <v>98.05</v>
      </c>
      <c r="L4" s="401">
        <v>97.56</v>
      </c>
      <c r="M4" s="401">
        <v>7.25</v>
      </c>
      <c r="N4" s="401">
        <v>102.48</v>
      </c>
      <c r="O4" s="402">
        <v>1826339</v>
      </c>
      <c r="P4" s="401">
        <v>95.6</v>
      </c>
      <c r="Q4" s="401">
        <v>86.71</v>
      </c>
      <c r="R4" s="401">
        <v>46</v>
      </c>
      <c r="S4" s="401">
        <v>139.35</v>
      </c>
      <c r="T4" s="402">
        <v>333961</v>
      </c>
      <c r="U4" s="401">
        <v>136.72</v>
      </c>
      <c r="V4" s="402">
        <v>294526</v>
      </c>
      <c r="W4" s="401">
        <v>181.29</v>
      </c>
      <c r="X4" s="402">
        <v>14731</v>
      </c>
      <c r="Y4" s="400">
        <v>8745</v>
      </c>
      <c r="Z4" s="400">
        <v>4812</v>
      </c>
      <c r="AA4" s="400">
        <v>2816</v>
      </c>
      <c r="AB4" s="400">
        <v>16861</v>
      </c>
      <c r="AC4" s="400">
        <v>5982</v>
      </c>
      <c r="AD4" s="400">
        <v>2150753</v>
      </c>
      <c r="AE4" s="400">
        <v>17696</v>
      </c>
      <c r="AF4" s="400">
        <v>14009</v>
      </c>
      <c r="AG4" s="400">
        <v>31705</v>
      </c>
    </row>
    <row r="5" spans="1:33" x14ac:dyDescent="0.3">
      <c r="A5" s="397" t="s">
        <v>82</v>
      </c>
      <c r="B5" s="397" t="s">
        <v>82</v>
      </c>
      <c r="C5" s="403">
        <v>118801</v>
      </c>
      <c r="D5" s="403">
        <v>567</v>
      </c>
      <c r="E5" s="403">
        <v>9179</v>
      </c>
      <c r="F5" s="403">
        <v>22205</v>
      </c>
      <c r="G5" s="403">
        <v>16161</v>
      </c>
      <c r="H5" s="400">
        <v>166913</v>
      </c>
      <c r="I5" s="400">
        <v>150752</v>
      </c>
      <c r="J5" s="403">
        <v>156</v>
      </c>
      <c r="K5" s="401">
        <v>90.53</v>
      </c>
      <c r="L5" s="401">
        <v>89.08</v>
      </c>
      <c r="M5" s="401">
        <v>5.31</v>
      </c>
      <c r="N5" s="401">
        <v>93.99</v>
      </c>
      <c r="O5" s="402">
        <v>95158</v>
      </c>
      <c r="P5" s="401">
        <v>92.2</v>
      </c>
      <c r="Q5" s="401">
        <v>81.430000000000007</v>
      </c>
      <c r="R5" s="401">
        <v>43.27</v>
      </c>
      <c r="S5" s="401">
        <v>133.36000000000001</v>
      </c>
      <c r="T5" s="402">
        <v>27911</v>
      </c>
      <c r="U5" s="401">
        <v>113</v>
      </c>
      <c r="V5" s="402">
        <v>19062</v>
      </c>
      <c r="W5" s="401">
        <v>165.01</v>
      </c>
      <c r="X5" s="402">
        <v>745</v>
      </c>
      <c r="Y5" s="403">
        <v>763</v>
      </c>
      <c r="Z5" s="403">
        <v>223</v>
      </c>
      <c r="AA5" s="403">
        <v>165</v>
      </c>
      <c r="AB5" s="403">
        <v>1288</v>
      </c>
      <c r="AC5" s="403">
        <v>397</v>
      </c>
      <c r="AD5" s="403">
        <v>116324</v>
      </c>
      <c r="AE5" s="403">
        <v>938</v>
      </c>
      <c r="AF5" s="403">
        <v>651</v>
      </c>
      <c r="AG5" s="403">
        <v>1589</v>
      </c>
    </row>
    <row r="6" spans="1:33" x14ac:dyDescent="0.3">
      <c r="A6" s="397" t="s">
        <v>83</v>
      </c>
      <c r="B6" s="397" t="s">
        <v>83</v>
      </c>
      <c r="C6" s="403">
        <v>226684</v>
      </c>
      <c r="D6" s="403">
        <v>1760</v>
      </c>
      <c r="E6" s="403">
        <v>12055</v>
      </c>
      <c r="F6" s="403">
        <v>27781</v>
      </c>
      <c r="G6" s="403">
        <v>25159</v>
      </c>
      <c r="H6" s="400">
        <v>293439</v>
      </c>
      <c r="I6" s="400">
        <v>268280</v>
      </c>
      <c r="J6" s="403">
        <v>733</v>
      </c>
      <c r="K6" s="401">
        <v>102.05</v>
      </c>
      <c r="L6" s="401">
        <v>101.47</v>
      </c>
      <c r="M6" s="401">
        <v>6.3</v>
      </c>
      <c r="N6" s="401">
        <v>105.44</v>
      </c>
      <c r="O6" s="402">
        <v>184148</v>
      </c>
      <c r="P6" s="401">
        <v>96.99</v>
      </c>
      <c r="Q6" s="401">
        <v>88.68</v>
      </c>
      <c r="R6" s="401">
        <v>41.48</v>
      </c>
      <c r="S6" s="401">
        <v>137.13999999999999</v>
      </c>
      <c r="T6" s="402">
        <v>34295</v>
      </c>
      <c r="U6" s="401">
        <v>144.43</v>
      </c>
      <c r="V6" s="402">
        <v>36610</v>
      </c>
      <c r="W6" s="401">
        <v>198.12</v>
      </c>
      <c r="X6" s="402">
        <v>749</v>
      </c>
      <c r="Y6" s="403">
        <v>861</v>
      </c>
      <c r="Z6" s="403">
        <v>261</v>
      </c>
      <c r="AA6" s="403">
        <v>284</v>
      </c>
      <c r="AB6" s="403">
        <v>2193</v>
      </c>
      <c r="AC6" s="403">
        <v>610</v>
      </c>
      <c r="AD6" s="403">
        <v>224846</v>
      </c>
      <c r="AE6" s="403">
        <v>1887</v>
      </c>
      <c r="AF6" s="403">
        <v>1394</v>
      </c>
      <c r="AG6" s="403">
        <v>3281</v>
      </c>
    </row>
    <row r="7" spans="1:33" x14ac:dyDescent="0.3">
      <c r="A7" s="397" t="s">
        <v>84</v>
      </c>
      <c r="B7" s="397" t="s">
        <v>84</v>
      </c>
      <c r="C7" s="403">
        <v>359727</v>
      </c>
      <c r="D7" s="403">
        <v>5633</v>
      </c>
      <c r="E7" s="403">
        <v>27656</v>
      </c>
      <c r="F7" s="403">
        <v>28060</v>
      </c>
      <c r="G7" s="403">
        <v>53251</v>
      </c>
      <c r="H7" s="400">
        <v>474327</v>
      </c>
      <c r="I7" s="400">
        <v>421076</v>
      </c>
      <c r="J7" s="403">
        <v>2554</v>
      </c>
      <c r="K7" s="401">
        <v>124.82</v>
      </c>
      <c r="L7" s="401">
        <v>128.21</v>
      </c>
      <c r="M7" s="401">
        <v>13.53</v>
      </c>
      <c r="N7" s="401">
        <v>134.79</v>
      </c>
      <c r="O7" s="402">
        <v>288830</v>
      </c>
      <c r="P7" s="401">
        <v>113.9</v>
      </c>
      <c r="Q7" s="401">
        <v>108.7</v>
      </c>
      <c r="R7" s="401">
        <v>61.43</v>
      </c>
      <c r="S7" s="401">
        <v>170.66</v>
      </c>
      <c r="T7" s="402">
        <v>43107</v>
      </c>
      <c r="U7" s="401">
        <v>200.6</v>
      </c>
      <c r="V7" s="402">
        <v>38441</v>
      </c>
      <c r="W7" s="401">
        <v>227.64</v>
      </c>
      <c r="X7" s="402">
        <v>1545</v>
      </c>
      <c r="Y7" s="403">
        <v>1554</v>
      </c>
      <c r="Z7" s="403">
        <v>265</v>
      </c>
      <c r="AA7" s="403">
        <v>410</v>
      </c>
      <c r="AB7" s="403">
        <v>2862</v>
      </c>
      <c r="AC7" s="403">
        <v>1999</v>
      </c>
      <c r="AD7" s="403">
        <v>338609</v>
      </c>
      <c r="AE7" s="403">
        <v>3863</v>
      </c>
      <c r="AF7" s="403">
        <v>2576</v>
      </c>
      <c r="AG7" s="403">
        <v>6439</v>
      </c>
    </row>
    <row r="8" spans="1:33" x14ac:dyDescent="0.3">
      <c r="A8" s="397" t="s">
        <v>85</v>
      </c>
      <c r="B8" s="397" t="s">
        <v>85</v>
      </c>
      <c r="C8" s="403">
        <v>159209</v>
      </c>
      <c r="D8" s="403">
        <v>157</v>
      </c>
      <c r="E8" s="403">
        <v>7115</v>
      </c>
      <c r="F8" s="403">
        <v>16944</v>
      </c>
      <c r="G8" s="403">
        <v>4224</v>
      </c>
      <c r="H8" s="400">
        <v>187649</v>
      </c>
      <c r="I8" s="400">
        <v>183425</v>
      </c>
      <c r="J8" s="403">
        <v>161</v>
      </c>
      <c r="K8" s="401">
        <v>80.52</v>
      </c>
      <c r="L8" s="401">
        <v>80.28</v>
      </c>
      <c r="M8" s="401">
        <v>6.17</v>
      </c>
      <c r="N8" s="401">
        <v>82.52</v>
      </c>
      <c r="O8" s="402">
        <v>139069</v>
      </c>
      <c r="P8" s="401">
        <v>90.55</v>
      </c>
      <c r="Q8" s="401">
        <v>78.010000000000005</v>
      </c>
      <c r="R8" s="401">
        <v>53.53</v>
      </c>
      <c r="S8" s="401">
        <v>139.18</v>
      </c>
      <c r="T8" s="402">
        <v>20292</v>
      </c>
      <c r="U8" s="401">
        <v>100.08</v>
      </c>
      <c r="V8" s="402">
        <v>17599</v>
      </c>
      <c r="W8" s="401">
        <v>163.99</v>
      </c>
      <c r="X8" s="402">
        <v>1957</v>
      </c>
      <c r="Y8" s="403">
        <v>658</v>
      </c>
      <c r="Z8" s="403">
        <v>590</v>
      </c>
      <c r="AA8" s="403">
        <v>84</v>
      </c>
      <c r="AB8" s="403">
        <v>194</v>
      </c>
      <c r="AC8" s="403">
        <v>89</v>
      </c>
      <c r="AD8" s="403">
        <v>157100</v>
      </c>
      <c r="AE8" s="403">
        <v>1275</v>
      </c>
      <c r="AF8" s="403">
        <v>1426</v>
      </c>
      <c r="AG8" s="403">
        <v>2701</v>
      </c>
    </row>
    <row r="9" spans="1:33" x14ac:dyDescent="0.3">
      <c r="A9" s="397" t="s">
        <v>86</v>
      </c>
      <c r="B9" s="397" t="s">
        <v>86</v>
      </c>
      <c r="C9" s="403">
        <v>433492</v>
      </c>
      <c r="D9" s="403">
        <v>138</v>
      </c>
      <c r="E9" s="403">
        <v>24149</v>
      </c>
      <c r="F9" s="403">
        <v>51691</v>
      </c>
      <c r="G9" s="403">
        <v>18996</v>
      </c>
      <c r="H9" s="400">
        <v>528466</v>
      </c>
      <c r="I9" s="400">
        <v>509470</v>
      </c>
      <c r="J9" s="403">
        <v>786</v>
      </c>
      <c r="K9" s="401">
        <v>84.84</v>
      </c>
      <c r="L9" s="401">
        <v>83.93</v>
      </c>
      <c r="M9" s="401">
        <v>5.14</v>
      </c>
      <c r="N9" s="401">
        <v>87.75</v>
      </c>
      <c r="O9" s="402">
        <v>367778</v>
      </c>
      <c r="P9" s="401">
        <v>87.83</v>
      </c>
      <c r="Q9" s="401">
        <v>78.209999999999994</v>
      </c>
      <c r="R9" s="401">
        <v>41.84</v>
      </c>
      <c r="S9" s="401">
        <v>127.17</v>
      </c>
      <c r="T9" s="402">
        <v>66221</v>
      </c>
      <c r="U9" s="401">
        <v>107.86</v>
      </c>
      <c r="V9" s="402">
        <v>54513</v>
      </c>
      <c r="W9" s="401">
        <v>167.18</v>
      </c>
      <c r="X9" s="402">
        <v>2757</v>
      </c>
      <c r="Y9" s="403">
        <v>700</v>
      </c>
      <c r="Z9" s="403">
        <v>1928</v>
      </c>
      <c r="AA9" s="403">
        <v>274</v>
      </c>
      <c r="AB9" s="403">
        <v>1451</v>
      </c>
      <c r="AC9" s="403">
        <v>447</v>
      </c>
      <c r="AD9" s="403">
        <v>423998</v>
      </c>
      <c r="AE9" s="403">
        <v>2673</v>
      </c>
      <c r="AF9" s="403">
        <v>2819</v>
      </c>
      <c r="AG9" s="403">
        <v>5492</v>
      </c>
    </row>
    <row r="10" spans="1:33" x14ac:dyDescent="0.3">
      <c r="A10" s="397" t="s">
        <v>87</v>
      </c>
      <c r="B10" s="397" t="s">
        <v>87</v>
      </c>
      <c r="C10" s="403">
        <v>308243</v>
      </c>
      <c r="D10" s="403">
        <v>1143</v>
      </c>
      <c r="E10" s="403">
        <v>15721</v>
      </c>
      <c r="F10" s="403">
        <v>39365</v>
      </c>
      <c r="G10" s="403">
        <v>51691</v>
      </c>
      <c r="H10" s="400">
        <v>416163</v>
      </c>
      <c r="I10" s="400">
        <v>364472</v>
      </c>
      <c r="J10" s="403">
        <v>1278</v>
      </c>
      <c r="K10" s="401">
        <v>111.3</v>
      </c>
      <c r="L10" s="401">
        <v>109.3</v>
      </c>
      <c r="M10" s="401">
        <v>6.67</v>
      </c>
      <c r="N10" s="401">
        <v>115.53</v>
      </c>
      <c r="O10" s="402">
        <v>246308</v>
      </c>
      <c r="P10" s="401">
        <v>101.9</v>
      </c>
      <c r="Q10" s="401">
        <v>92.58</v>
      </c>
      <c r="R10" s="401">
        <v>40.29</v>
      </c>
      <c r="S10" s="401">
        <v>140.44</v>
      </c>
      <c r="T10" s="402">
        <v>43751</v>
      </c>
      <c r="U10" s="401">
        <v>164.11</v>
      </c>
      <c r="V10" s="402">
        <v>50949</v>
      </c>
      <c r="W10" s="401">
        <v>188.49</v>
      </c>
      <c r="X10" s="402">
        <v>2023</v>
      </c>
      <c r="Y10" s="403">
        <v>2001</v>
      </c>
      <c r="Z10" s="403">
        <v>239</v>
      </c>
      <c r="AA10" s="403">
        <v>374</v>
      </c>
      <c r="AB10" s="403">
        <v>4245</v>
      </c>
      <c r="AC10" s="403">
        <v>1252</v>
      </c>
      <c r="AD10" s="403">
        <v>301173</v>
      </c>
      <c r="AE10" s="403">
        <v>2463</v>
      </c>
      <c r="AF10" s="403">
        <v>1526</v>
      </c>
      <c r="AG10" s="403">
        <v>3989</v>
      </c>
    </row>
    <row r="11" spans="1:33" x14ac:dyDescent="0.3">
      <c r="A11" s="397" t="s">
        <v>88</v>
      </c>
      <c r="B11" s="397" t="s">
        <v>88</v>
      </c>
      <c r="C11" s="403">
        <v>203240</v>
      </c>
      <c r="D11" s="403">
        <v>217</v>
      </c>
      <c r="E11" s="403">
        <v>14528</v>
      </c>
      <c r="F11" s="403">
        <v>30014</v>
      </c>
      <c r="G11" s="403">
        <v>24712</v>
      </c>
      <c r="H11" s="400">
        <v>272711</v>
      </c>
      <c r="I11" s="400">
        <v>247999</v>
      </c>
      <c r="J11" s="403">
        <v>341</v>
      </c>
      <c r="K11" s="401">
        <v>95.43</v>
      </c>
      <c r="L11" s="401">
        <v>93.54</v>
      </c>
      <c r="M11" s="401">
        <v>5.12</v>
      </c>
      <c r="N11" s="401">
        <v>98.97</v>
      </c>
      <c r="O11" s="402">
        <v>165411</v>
      </c>
      <c r="P11" s="401">
        <v>90.48</v>
      </c>
      <c r="Q11" s="401">
        <v>83.83</v>
      </c>
      <c r="R11" s="401">
        <v>36.42</v>
      </c>
      <c r="S11" s="401">
        <v>125.8</v>
      </c>
      <c r="T11" s="402">
        <v>37394</v>
      </c>
      <c r="U11" s="401">
        <v>128.41999999999999</v>
      </c>
      <c r="V11" s="402">
        <v>29809</v>
      </c>
      <c r="W11" s="401">
        <v>147.66999999999999</v>
      </c>
      <c r="X11" s="402">
        <v>1816</v>
      </c>
      <c r="Y11" s="403">
        <v>220</v>
      </c>
      <c r="Z11" s="403">
        <v>337</v>
      </c>
      <c r="AA11" s="403">
        <v>503</v>
      </c>
      <c r="AB11" s="403">
        <v>2017</v>
      </c>
      <c r="AC11" s="403">
        <v>595</v>
      </c>
      <c r="AD11" s="403">
        <v>197287</v>
      </c>
      <c r="AE11" s="403">
        <v>1117</v>
      </c>
      <c r="AF11" s="403">
        <v>1229</v>
      </c>
      <c r="AG11" s="403">
        <v>2346</v>
      </c>
    </row>
    <row r="12" spans="1:33" x14ac:dyDescent="0.3">
      <c r="A12" s="397" t="s">
        <v>89</v>
      </c>
      <c r="B12" s="397" t="s">
        <v>89</v>
      </c>
      <c r="C12" s="403">
        <v>227342</v>
      </c>
      <c r="D12" s="403">
        <v>401</v>
      </c>
      <c r="E12" s="403">
        <v>17290</v>
      </c>
      <c r="F12" s="403">
        <v>27737</v>
      </c>
      <c r="G12" s="403">
        <v>19142</v>
      </c>
      <c r="H12" s="400">
        <v>291912</v>
      </c>
      <c r="I12" s="400">
        <v>272770</v>
      </c>
      <c r="J12" s="403">
        <v>470</v>
      </c>
      <c r="K12" s="401">
        <v>91.42</v>
      </c>
      <c r="L12" s="401">
        <v>90.05</v>
      </c>
      <c r="M12" s="401">
        <v>6.36</v>
      </c>
      <c r="N12" s="401">
        <v>95.72</v>
      </c>
      <c r="O12" s="402">
        <v>195401</v>
      </c>
      <c r="P12" s="401">
        <v>92.01</v>
      </c>
      <c r="Q12" s="401">
        <v>83.53</v>
      </c>
      <c r="R12" s="401">
        <v>54.38</v>
      </c>
      <c r="S12" s="401">
        <v>145.04</v>
      </c>
      <c r="T12" s="402">
        <v>35309</v>
      </c>
      <c r="U12" s="401">
        <v>116.6</v>
      </c>
      <c r="V12" s="402">
        <v>25682</v>
      </c>
      <c r="W12" s="401">
        <v>199.38</v>
      </c>
      <c r="X12" s="402">
        <v>2328</v>
      </c>
      <c r="Y12" s="403">
        <v>1214</v>
      </c>
      <c r="Z12" s="403">
        <v>475</v>
      </c>
      <c r="AA12" s="403">
        <v>563</v>
      </c>
      <c r="AB12" s="403">
        <v>1635</v>
      </c>
      <c r="AC12" s="403">
        <v>410</v>
      </c>
      <c r="AD12" s="403">
        <v>223565</v>
      </c>
      <c r="AE12" s="403">
        <v>2071</v>
      </c>
      <c r="AF12" s="403">
        <v>1281</v>
      </c>
      <c r="AG12" s="403">
        <v>3352</v>
      </c>
    </row>
    <row r="13" spans="1:33" x14ac:dyDescent="0.3">
      <c r="A13" s="397" t="s">
        <v>792</v>
      </c>
      <c r="B13" s="397" t="s">
        <v>792</v>
      </c>
      <c r="C13" s="403">
        <v>169863</v>
      </c>
      <c r="D13" s="403">
        <v>42</v>
      </c>
      <c r="E13" s="403">
        <v>12630</v>
      </c>
      <c r="F13" s="403">
        <v>18275</v>
      </c>
      <c r="G13" s="403">
        <v>10210</v>
      </c>
      <c r="H13" s="400">
        <v>211020</v>
      </c>
      <c r="I13" s="400">
        <v>200810</v>
      </c>
      <c r="J13" s="403">
        <v>213</v>
      </c>
      <c r="K13" s="401">
        <v>84.26</v>
      </c>
      <c r="L13" s="401">
        <v>83.27</v>
      </c>
      <c r="M13" s="401">
        <v>5.14</v>
      </c>
      <c r="N13" s="401">
        <v>87.29</v>
      </c>
      <c r="O13" s="402">
        <v>144236</v>
      </c>
      <c r="P13" s="401">
        <v>92.35</v>
      </c>
      <c r="Q13" s="401">
        <v>78.11</v>
      </c>
      <c r="R13" s="401">
        <v>47.08</v>
      </c>
      <c r="S13" s="401">
        <v>137.84</v>
      </c>
      <c r="T13" s="402">
        <v>25681</v>
      </c>
      <c r="U13" s="401">
        <v>104.74</v>
      </c>
      <c r="V13" s="402">
        <v>21861</v>
      </c>
      <c r="W13" s="401">
        <v>187.53</v>
      </c>
      <c r="X13" s="402">
        <v>811</v>
      </c>
      <c r="Y13" s="403">
        <v>774</v>
      </c>
      <c r="Z13" s="403">
        <v>494</v>
      </c>
      <c r="AA13" s="403">
        <v>159</v>
      </c>
      <c r="AB13" s="403">
        <v>976</v>
      </c>
      <c r="AC13" s="403">
        <v>183</v>
      </c>
      <c r="AD13" s="403">
        <v>167851</v>
      </c>
      <c r="AE13" s="403">
        <v>1409</v>
      </c>
      <c r="AF13" s="403">
        <v>1107</v>
      </c>
      <c r="AG13" s="403">
        <v>2516</v>
      </c>
    </row>
    <row r="14" spans="1:33" x14ac:dyDescent="0.3">
      <c r="A14" s="396" t="s">
        <v>90</v>
      </c>
      <c r="B14" s="396" t="s">
        <v>91</v>
      </c>
      <c r="C14" s="403">
        <v>886</v>
      </c>
      <c r="D14" s="403">
        <v>0</v>
      </c>
      <c r="E14" s="403">
        <v>64</v>
      </c>
      <c r="F14" s="403">
        <v>138</v>
      </c>
      <c r="G14" s="403">
        <v>203</v>
      </c>
      <c r="H14" s="400">
        <v>1291</v>
      </c>
      <c r="I14" s="400">
        <v>1088</v>
      </c>
      <c r="J14" s="403">
        <v>3</v>
      </c>
      <c r="K14" s="401">
        <v>115.15</v>
      </c>
      <c r="L14" s="401">
        <v>112.25</v>
      </c>
      <c r="M14" s="401">
        <v>6.03</v>
      </c>
      <c r="N14" s="401">
        <v>119.51</v>
      </c>
      <c r="O14" s="402">
        <v>721</v>
      </c>
      <c r="P14" s="401">
        <v>87.92</v>
      </c>
      <c r="Q14" s="401">
        <v>83.72</v>
      </c>
      <c r="R14" s="401">
        <v>45.29</v>
      </c>
      <c r="S14" s="401">
        <v>132.97999999999999</v>
      </c>
      <c r="T14" s="402">
        <v>190</v>
      </c>
      <c r="U14" s="401">
        <v>163.86</v>
      </c>
      <c r="V14" s="402">
        <v>132</v>
      </c>
      <c r="W14" s="401">
        <v>0</v>
      </c>
      <c r="X14" s="402">
        <v>0</v>
      </c>
      <c r="Y14" s="403">
        <v>3</v>
      </c>
      <c r="Z14" s="403">
        <v>1</v>
      </c>
      <c r="AA14" s="403">
        <v>0</v>
      </c>
      <c r="AB14" s="403">
        <v>9</v>
      </c>
      <c r="AC14" s="403">
        <v>9</v>
      </c>
      <c r="AD14" s="403">
        <v>865</v>
      </c>
      <c r="AE14" s="403">
        <v>5</v>
      </c>
      <c r="AF14" s="403">
        <v>4</v>
      </c>
      <c r="AG14" s="403">
        <v>9</v>
      </c>
    </row>
    <row r="15" spans="1:33" x14ac:dyDescent="0.3">
      <c r="A15" s="381" t="s">
        <v>92</v>
      </c>
      <c r="B15" s="381" t="s">
        <v>93</v>
      </c>
      <c r="C15" s="382">
        <v>8303</v>
      </c>
      <c r="D15" s="382">
        <v>0</v>
      </c>
      <c r="E15" s="382">
        <v>172</v>
      </c>
      <c r="F15" s="382">
        <v>404</v>
      </c>
      <c r="G15" s="382">
        <v>127</v>
      </c>
      <c r="H15" s="382">
        <v>9006</v>
      </c>
      <c r="I15" s="382">
        <v>8879</v>
      </c>
      <c r="J15" s="382">
        <v>6</v>
      </c>
      <c r="K15" s="382">
        <v>88.09</v>
      </c>
      <c r="L15" s="382">
        <v>85.1</v>
      </c>
      <c r="M15" s="382">
        <v>2.37</v>
      </c>
      <c r="N15" s="382">
        <v>90.07</v>
      </c>
      <c r="O15" s="385">
        <v>7264</v>
      </c>
      <c r="P15" s="382">
        <v>85.81</v>
      </c>
      <c r="Q15" s="382">
        <v>75.83</v>
      </c>
      <c r="R15" s="382">
        <v>44.19</v>
      </c>
      <c r="S15" s="382">
        <v>129.27000000000001</v>
      </c>
      <c r="T15" s="385">
        <v>487</v>
      </c>
      <c r="U15" s="382">
        <v>107.41</v>
      </c>
      <c r="V15" s="385">
        <v>476</v>
      </c>
      <c r="W15" s="382">
        <v>136.57</v>
      </c>
      <c r="X15" s="385">
        <v>51</v>
      </c>
      <c r="Y15" s="382">
        <v>0</v>
      </c>
      <c r="Z15" s="382">
        <v>22</v>
      </c>
      <c r="AA15" s="382">
        <v>5</v>
      </c>
      <c r="AB15" s="382">
        <v>13</v>
      </c>
      <c r="AC15" s="382">
        <v>3</v>
      </c>
      <c r="AD15" s="382">
        <v>7607</v>
      </c>
      <c r="AE15" s="382">
        <v>105</v>
      </c>
      <c r="AF15" s="382">
        <v>38</v>
      </c>
      <c r="AG15" s="382">
        <v>143</v>
      </c>
    </row>
    <row r="16" spans="1:33" x14ac:dyDescent="0.3">
      <c r="A16" s="381" t="s">
        <v>94</v>
      </c>
      <c r="B16" s="381" t="s">
        <v>95</v>
      </c>
      <c r="C16" s="382">
        <v>4785</v>
      </c>
      <c r="D16" s="382">
        <v>0</v>
      </c>
      <c r="E16" s="382">
        <v>156</v>
      </c>
      <c r="F16" s="382">
        <v>2433</v>
      </c>
      <c r="G16" s="382">
        <v>218</v>
      </c>
      <c r="H16" s="382">
        <v>7592</v>
      </c>
      <c r="I16" s="382">
        <v>7374</v>
      </c>
      <c r="J16" s="382">
        <v>3</v>
      </c>
      <c r="K16" s="382">
        <v>91.68</v>
      </c>
      <c r="L16" s="382">
        <v>89.88</v>
      </c>
      <c r="M16" s="382">
        <v>2.42</v>
      </c>
      <c r="N16" s="382">
        <v>93.91</v>
      </c>
      <c r="O16" s="385">
        <v>4264</v>
      </c>
      <c r="P16" s="382">
        <v>86.62</v>
      </c>
      <c r="Q16" s="382">
        <v>80.97</v>
      </c>
      <c r="R16" s="382">
        <v>8.91</v>
      </c>
      <c r="S16" s="382">
        <v>95.47</v>
      </c>
      <c r="T16" s="385">
        <v>2548</v>
      </c>
      <c r="U16" s="382">
        <v>106.81</v>
      </c>
      <c r="V16" s="385">
        <v>473</v>
      </c>
      <c r="W16" s="382">
        <v>0</v>
      </c>
      <c r="X16" s="385">
        <v>0</v>
      </c>
      <c r="Y16" s="382">
        <v>0</v>
      </c>
      <c r="Z16" s="382">
        <v>21</v>
      </c>
      <c r="AA16" s="382">
        <v>0</v>
      </c>
      <c r="AB16" s="382">
        <v>11</v>
      </c>
      <c r="AC16" s="382">
        <v>5</v>
      </c>
      <c r="AD16" s="382">
        <v>4758</v>
      </c>
      <c r="AE16" s="382">
        <v>31</v>
      </c>
      <c r="AF16" s="382">
        <v>6</v>
      </c>
      <c r="AG16" s="382">
        <v>37</v>
      </c>
    </row>
    <row r="17" spans="1:33" x14ac:dyDescent="0.3">
      <c r="A17" s="381" t="s">
        <v>96</v>
      </c>
      <c r="B17" s="381" t="s">
        <v>97</v>
      </c>
      <c r="C17" s="382">
        <v>3091</v>
      </c>
      <c r="D17" s="382">
        <v>1</v>
      </c>
      <c r="E17" s="382">
        <v>220</v>
      </c>
      <c r="F17" s="382">
        <v>378</v>
      </c>
      <c r="G17" s="382">
        <v>797</v>
      </c>
      <c r="H17" s="382">
        <v>4487</v>
      </c>
      <c r="I17" s="382">
        <v>3690</v>
      </c>
      <c r="J17" s="382">
        <v>11</v>
      </c>
      <c r="K17" s="382">
        <v>112.13</v>
      </c>
      <c r="L17" s="382">
        <v>109.79</v>
      </c>
      <c r="M17" s="382">
        <v>5.31</v>
      </c>
      <c r="N17" s="382">
        <v>116.6</v>
      </c>
      <c r="O17" s="385">
        <v>2269</v>
      </c>
      <c r="P17" s="382">
        <v>98.64</v>
      </c>
      <c r="Q17" s="382">
        <v>89.95</v>
      </c>
      <c r="R17" s="382">
        <v>57.66</v>
      </c>
      <c r="S17" s="382">
        <v>155.9</v>
      </c>
      <c r="T17" s="385">
        <v>424</v>
      </c>
      <c r="U17" s="382">
        <v>158.09</v>
      </c>
      <c r="V17" s="385">
        <v>754</v>
      </c>
      <c r="W17" s="382">
        <v>0</v>
      </c>
      <c r="X17" s="385">
        <v>0</v>
      </c>
      <c r="Y17" s="382">
        <v>0</v>
      </c>
      <c r="Z17" s="382">
        <v>1</v>
      </c>
      <c r="AA17" s="382">
        <v>2</v>
      </c>
      <c r="AB17" s="382">
        <v>103</v>
      </c>
      <c r="AC17" s="382">
        <v>18</v>
      </c>
      <c r="AD17" s="382">
        <v>3089</v>
      </c>
      <c r="AE17" s="382">
        <v>9</v>
      </c>
      <c r="AF17" s="382">
        <v>2</v>
      </c>
      <c r="AG17" s="382">
        <v>11</v>
      </c>
    </row>
    <row r="18" spans="1:33" x14ac:dyDescent="0.3">
      <c r="A18" s="381" t="s">
        <v>98</v>
      </c>
      <c r="B18" s="381" t="s">
        <v>99</v>
      </c>
      <c r="C18" s="382">
        <v>1669</v>
      </c>
      <c r="D18" s="382">
        <v>0</v>
      </c>
      <c r="E18" s="382">
        <v>191</v>
      </c>
      <c r="F18" s="382">
        <v>284</v>
      </c>
      <c r="G18" s="382">
        <v>223</v>
      </c>
      <c r="H18" s="382">
        <v>2367</v>
      </c>
      <c r="I18" s="382">
        <v>2144</v>
      </c>
      <c r="J18" s="382">
        <v>2</v>
      </c>
      <c r="K18" s="382">
        <v>88.7</v>
      </c>
      <c r="L18" s="382">
        <v>87.06</v>
      </c>
      <c r="M18" s="382">
        <v>5.5</v>
      </c>
      <c r="N18" s="382">
        <v>91.44</v>
      </c>
      <c r="O18" s="385">
        <v>1329</v>
      </c>
      <c r="P18" s="382">
        <v>103.59</v>
      </c>
      <c r="Q18" s="382">
        <v>87.52</v>
      </c>
      <c r="R18" s="382">
        <v>54.3</v>
      </c>
      <c r="S18" s="382">
        <v>154</v>
      </c>
      <c r="T18" s="385">
        <v>474</v>
      </c>
      <c r="U18" s="382">
        <v>108.47</v>
      </c>
      <c r="V18" s="385">
        <v>268</v>
      </c>
      <c r="W18" s="382">
        <v>0</v>
      </c>
      <c r="X18" s="385">
        <v>0</v>
      </c>
      <c r="Y18" s="382">
        <v>0</v>
      </c>
      <c r="Z18" s="382">
        <v>2</v>
      </c>
      <c r="AA18" s="382">
        <v>10</v>
      </c>
      <c r="AB18" s="382">
        <v>9</v>
      </c>
      <c r="AC18" s="382">
        <v>3</v>
      </c>
      <c r="AD18" s="382">
        <v>1669</v>
      </c>
      <c r="AE18" s="382">
        <v>6</v>
      </c>
      <c r="AF18" s="382">
        <v>35</v>
      </c>
      <c r="AG18" s="382">
        <v>41</v>
      </c>
    </row>
    <row r="19" spans="1:33" x14ac:dyDescent="0.3">
      <c r="A19" s="381" t="s">
        <v>100</v>
      </c>
      <c r="B19" s="381" t="s">
        <v>101</v>
      </c>
      <c r="C19" s="382">
        <v>2411</v>
      </c>
      <c r="D19" s="382">
        <v>0</v>
      </c>
      <c r="E19" s="382">
        <v>109</v>
      </c>
      <c r="F19" s="382">
        <v>276</v>
      </c>
      <c r="G19" s="382">
        <v>920</v>
      </c>
      <c r="H19" s="382">
        <v>3716</v>
      </c>
      <c r="I19" s="382">
        <v>2796</v>
      </c>
      <c r="J19" s="382">
        <v>8</v>
      </c>
      <c r="K19" s="382">
        <v>103.1</v>
      </c>
      <c r="L19" s="382">
        <v>100.8</v>
      </c>
      <c r="M19" s="382">
        <v>6.84</v>
      </c>
      <c r="N19" s="382">
        <v>108.66</v>
      </c>
      <c r="O19" s="385">
        <v>1785</v>
      </c>
      <c r="P19" s="382">
        <v>124.16</v>
      </c>
      <c r="Q19" s="382">
        <v>90.62</v>
      </c>
      <c r="R19" s="382">
        <v>51.81</v>
      </c>
      <c r="S19" s="382">
        <v>171.22</v>
      </c>
      <c r="T19" s="385">
        <v>294</v>
      </c>
      <c r="U19" s="382">
        <v>146.79</v>
      </c>
      <c r="V19" s="385">
        <v>562</v>
      </c>
      <c r="W19" s="382">
        <v>169.13</v>
      </c>
      <c r="X19" s="385">
        <v>91</v>
      </c>
      <c r="Y19" s="382">
        <v>16</v>
      </c>
      <c r="Z19" s="382">
        <v>0</v>
      </c>
      <c r="AA19" s="382">
        <v>0</v>
      </c>
      <c r="AB19" s="382">
        <v>52</v>
      </c>
      <c r="AC19" s="382">
        <v>12</v>
      </c>
      <c r="AD19" s="382">
        <v>2371</v>
      </c>
      <c r="AE19" s="382">
        <v>25</v>
      </c>
      <c r="AF19" s="382">
        <v>0</v>
      </c>
      <c r="AG19" s="382">
        <v>25</v>
      </c>
    </row>
    <row r="20" spans="1:33" x14ac:dyDescent="0.3">
      <c r="A20" s="381" t="s">
        <v>102</v>
      </c>
      <c r="B20" s="381" t="s">
        <v>103</v>
      </c>
      <c r="C20" s="382">
        <v>1933</v>
      </c>
      <c r="D20" s="382">
        <v>0</v>
      </c>
      <c r="E20" s="382">
        <v>132</v>
      </c>
      <c r="F20" s="382">
        <v>90</v>
      </c>
      <c r="G20" s="382">
        <v>199</v>
      </c>
      <c r="H20" s="382">
        <v>2354</v>
      </c>
      <c r="I20" s="382">
        <v>2155</v>
      </c>
      <c r="J20" s="382">
        <v>4</v>
      </c>
      <c r="K20" s="382">
        <v>95.87</v>
      </c>
      <c r="L20" s="382">
        <v>94.16</v>
      </c>
      <c r="M20" s="382">
        <v>4.57</v>
      </c>
      <c r="N20" s="382">
        <v>98.5</v>
      </c>
      <c r="O20" s="385">
        <v>1284</v>
      </c>
      <c r="P20" s="382">
        <v>119.23</v>
      </c>
      <c r="Q20" s="382">
        <v>88.86</v>
      </c>
      <c r="R20" s="382">
        <v>73.959999999999994</v>
      </c>
      <c r="S20" s="382">
        <v>190.36</v>
      </c>
      <c r="T20" s="385">
        <v>209</v>
      </c>
      <c r="U20" s="382">
        <v>126.24</v>
      </c>
      <c r="V20" s="385">
        <v>600</v>
      </c>
      <c r="W20" s="382">
        <v>111.59</v>
      </c>
      <c r="X20" s="385">
        <v>2</v>
      </c>
      <c r="Y20" s="382">
        <v>0</v>
      </c>
      <c r="Z20" s="382">
        <v>0</v>
      </c>
      <c r="AA20" s="382">
        <v>0</v>
      </c>
      <c r="AB20" s="382">
        <v>24</v>
      </c>
      <c r="AC20" s="382">
        <v>1</v>
      </c>
      <c r="AD20" s="382">
        <v>1902</v>
      </c>
      <c r="AE20" s="382">
        <v>10</v>
      </c>
      <c r="AF20" s="382">
        <v>4</v>
      </c>
      <c r="AG20" s="382">
        <v>14</v>
      </c>
    </row>
    <row r="21" spans="1:33" x14ac:dyDescent="0.3">
      <c r="A21" s="381" t="s">
        <v>104</v>
      </c>
      <c r="B21" s="381" t="s">
        <v>105</v>
      </c>
      <c r="C21" s="382">
        <v>4551</v>
      </c>
      <c r="D21" s="382">
        <v>0</v>
      </c>
      <c r="E21" s="382">
        <v>384</v>
      </c>
      <c r="F21" s="382">
        <v>439</v>
      </c>
      <c r="G21" s="382">
        <v>1292</v>
      </c>
      <c r="H21" s="382">
        <v>6666</v>
      </c>
      <c r="I21" s="382">
        <v>5374</v>
      </c>
      <c r="J21" s="382">
        <v>20</v>
      </c>
      <c r="K21" s="382">
        <v>119.77</v>
      </c>
      <c r="L21" s="382">
        <v>117.74</v>
      </c>
      <c r="M21" s="382">
        <v>9.19</v>
      </c>
      <c r="N21" s="382">
        <v>124.78</v>
      </c>
      <c r="O21" s="385">
        <v>2769</v>
      </c>
      <c r="P21" s="382">
        <v>107.5</v>
      </c>
      <c r="Q21" s="382">
        <v>102.92</v>
      </c>
      <c r="R21" s="382">
        <v>64.91</v>
      </c>
      <c r="S21" s="382">
        <v>169.34</v>
      </c>
      <c r="T21" s="385">
        <v>656</v>
      </c>
      <c r="U21" s="382">
        <v>178.31</v>
      </c>
      <c r="V21" s="385">
        <v>934</v>
      </c>
      <c r="W21" s="382">
        <v>185.48</v>
      </c>
      <c r="X21" s="385">
        <v>8</v>
      </c>
      <c r="Y21" s="382">
        <v>0</v>
      </c>
      <c r="Z21" s="382">
        <v>3</v>
      </c>
      <c r="AA21" s="382">
        <v>10</v>
      </c>
      <c r="AB21" s="382">
        <v>110</v>
      </c>
      <c r="AC21" s="382">
        <v>48</v>
      </c>
      <c r="AD21" s="382">
        <v>4466</v>
      </c>
      <c r="AE21" s="382">
        <v>84</v>
      </c>
      <c r="AF21" s="382">
        <v>12</v>
      </c>
      <c r="AG21" s="382">
        <v>96</v>
      </c>
    </row>
    <row r="22" spans="1:33" x14ac:dyDescent="0.3">
      <c r="A22" s="381" t="s">
        <v>106</v>
      </c>
      <c r="B22" s="381" t="s">
        <v>107</v>
      </c>
      <c r="C22" s="382">
        <v>7689</v>
      </c>
      <c r="D22" s="382">
        <v>20</v>
      </c>
      <c r="E22" s="382">
        <v>674</v>
      </c>
      <c r="F22" s="382">
        <v>1151</v>
      </c>
      <c r="G22" s="382">
        <v>1506</v>
      </c>
      <c r="H22" s="382">
        <v>11040</v>
      </c>
      <c r="I22" s="382">
        <v>9534</v>
      </c>
      <c r="J22" s="382">
        <v>22</v>
      </c>
      <c r="K22" s="382">
        <v>130.58000000000001</v>
      </c>
      <c r="L22" s="382">
        <v>129.6</v>
      </c>
      <c r="M22" s="382">
        <v>14.43</v>
      </c>
      <c r="N22" s="382">
        <v>142.83000000000001</v>
      </c>
      <c r="O22" s="385">
        <v>5760</v>
      </c>
      <c r="P22" s="382">
        <v>118.1</v>
      </c>
      <c r="Q22" s="382">
        <v>109.46</v>
      </c>
      <c r="R22" s="382">
        <v>55.85</v>
      </c>
      <c r="S22" s="382">
        <v>168.42</v>
      </c>
      <c r="T22" s="385">
        <v>908</v>
      </c>
      <c r="U22" s="382">
        <v>222.5</v>
      </c>
      <c r="V22" s="385">
        <v>1539</v>
      </c>
      <c r="W22" s="382">
        <v>228.39</v>
      </c>
      <c r="X22" s="385">
        <v>43</v>
      </c>
      <c r="Y22" s="382">
        <v>2</v>
      </c>
      <c r="Z22" s="382">
        <v>3</v>
      </c>
      <c r="AA22" s="382">
        <v>4</v>
      </c>
      <c r="AB22" s="382">
        <v>107</v>
      </c>
      <c r="AC22" s="382">
        <v>53</v>
      </c>
      <c r="AD22" s="382">
        <v>7064</v>
      </c>
      <c r="AE22" s="382">
        <v>38</v>
      </c>
      <c r="AF22" s="382">
        <v>81</v>
      </c>
      <c r="AG22" s="382">
        <v>119</v>
      </c>
    </row>
    <row r="23" spans="1:33" x14ac:dyDescent="0.3">
      <c r="A23" s="381" t="s">
        <v>108</v>
      </c>
      <c r="B23" s="381" t="s">
        <v>109</v>
      </c>
      <c r="C23" s="382">
        <v>3127</v>
      </c>
      <c r="D23" s="382">
        <v>0</v>
      </c>
      <c r="E23" s="382">
        <v>343</v>
      </c>
      <c r="F23" s="382">
        <v>672</v>
      </c>
      <c r="G23" s="382">
        <v>413</v>
      </c>
      <c r="H23" s="382">
        <v>4555</v>
      </c>
      <c r="I23" s="382">
        <v>4142</v>
      </c>
      <c r="J23" s="382">
        <v>0</v>
      </c>
      <c r="K23" s="382">
        <v>87.87</v>
      </c>
      <c r="L23" s="382">
        <v>84.53</v>
      </c>
      <c r="M23" s="382">
        <v>4.99</v>
      </c>
      <c r="N23" s="382">
        <v>90.15</v>
      </c>
      <c r="O23" s="385">
        <v>1868</v>
      </c>
      <c r="P23" s="382">
        <v>91.34</v>
      </c>
      <c r="Q23" s="382">
        <v>82.77</v>
      </c>
      <c r="R23" s="382">
        <v>40.659999999999997</v>
      </c>
      <c r="S23" s="382">
        <v>127.74</v>
      </c>
      <c r="T23" s="385">
        <v>975</v>
      </c>
      <c r="U23" s="382">
        <v>97.43</v>
      </c>
      <c r="V23" s="385">
        <v>1166</v>
      </c>
      <c r="W23" s="382">
        <v>202.38</v>
      </c>
      <c r="X23" s="385">
        <v>10</v>
      </c>
      <c r="Y23" s="382">
        <v>0</v>
      </c>
      <c r="Z23" s="382">
        <v>6</v>
      </c>
      <c r="AA23" s="382">
        <v>12</v>
      </c>
      <c r="AB23" s="382">
        <v>30</v>
      </c>
      <c r="AC23" s="382">
        <v>8</v>
      </c>
      <c r="AD23" s="382">
        <v>3122</v>
      </c>
      <c r="AE23" s="382">
        <v>33</v>
      </c>
      <c r="AF23" s="382">
        <v>22</v>
      </c>
      <c r="AG23" s="382">
        <v>55</v>
      </c>
    </row>
    <row r="24" spans="1:33" x14ac:dyDescent="0.3">
      <c r="A24" s="381" t="s">
        <v>110</v>
      </c>
      <c r="B24" s="381" t="s">
        <v>111</v>
      </c>
      <c r="C24" s="382">
        <v>526</v>
      </c>
      <c r="D24" s="382">
        <v>0</v>
      </c>
      <c r="E24" s="382">
        <v>267</v>
      </c>
      <c r="F24" s="382">
        <v>196</v>
      </c>
      <c r="G24" s="382">
        <v>25</v>
      </c>
      <c r="H24" s="382">
        <v>1014</v>
      </c>
      <c r="I24" s="382">
        <v>989</v>
      </c>
      <c r="J24" s="382">
        <v>3</v>
      </c>
      <c r="K24" s="382">
        <v>82.03</v>
      </c>
      <c r="L24" s="382">
        <v>78.56</v>
      </c>
      <c r="M24" s="382">
        <v>7.36</v>
      </c>
      <c r="N24" s="382">
        <v>86.69</v>
      </c>
      <c r="O24" s="385">
        <v>474</v>
      </c>
      <c r="P24" s="382">
        <v>104.67</v>
      </c>
      <c r="Q24" s="382">
        <v>81.02</v>
      </c>
      <c r="R24" s="382">
        <v>94.33</v>
      </c>
      <c r="S24" s="382">
        <v>199</v>
      </c>
      <c r="T24" s="385">
        <v>422</v>
      </c>
      <c r="U24" s="382">
        <v>109.92</v>
      </c>
      <c r="V24" s="385">
        <v>33</v>
      </c>
      <c r="W24" s="382">
        <v>151.36000000000001</v>
      </c>
      <c r="X24" s="385">
        <v>8</v>
      </c>
      <c r="Y24" s="382">
        <v>0</v>
      </c>
      <c r="Z24" s="382">
        <v>0</v>
      </c>
      <c r="AA24" s="382">
        <v>0</v>
      </c>
      <c r="AB24" s="382">
        <v>14</v>
      </c>
      <c r="AC24" s="382">
        <v>0</v>
      </c>
      <c r="AD24" s="382">
        <v>524</v>
      </c>
      <c r="AE24" s="382">
        <v>2</v>
      </c>
      <c r="AF24" s="382">
        <v>0</v>
      </c>
      <c r="AG24" s="382">
        <v>2</v>
      </c>
    </row>
    <row r="25" spans="1:33" x14ac:dyDescent="0.3">
      <c r="A25" s="381" t="s">
        <v>112</v>
      </c>
      <c r="B25" s="381" t="s">
        <v>113</v>
      </c>
      <c r="C25" s="382">
        <v>5336</v>
      </c>
      <c r="D25" s="382">
        <v>0</v>
      </c>
      <c r="E25" s="382">
        <v>285</v>
      </c>
      <c r="F25" s="382">
        <v>331</v>
      </c>
      <c r="G25" s="382">
        <v>715</v>
      </c>
      <c r="H25" s="382">
        <v>6667</v>
      </c>
      <c r="I25" s="382">
        <v>5952</v>
      </c>
      <c r="J25" s="382">
        <v>42</v>
      </c>
      <c r="K25" s="382">
        <v>112.7</v>
      </c>
      <c r="L25" s="382">
        <v>112.2</v>
      </c>
      <c r="M25" s="382">
        <v>6.01</v>
      </c>
      <c r="N25" s="382">
        <v>115.9</v>
      </c>
      <c r="O25" s="385">
        <v>5013</v>
      </c>
      <c r="P25" s="382">
        <v>99.36</v>
      </c>
      <c r="Q25" s="382">
        <v>92.19</v>
      </c>
      <c r="R25" s="382">
        <v>49.75</v>
      </c>
      <c r="S25" s="382">
        <v>147.65</v>
      </c>
      <c r="T25" s="385">
        <v>511</v>
      </c>
      <c r="U25" s="382">
        <v>136.88999999999999</v>
      </c>
      <c r="V25" s="385">
        <v>187</v>
      </c>
      <c r="W25" s="382">
        <v>0</v>
      </c>
      <c r="X25" s="385">
        <v>0</v>
      </c>
      <c r="Y25" s="382">
        <v>0</v>
      </c>
      <c r="Z25" s="382">
        <v>1</v>
      </c>
      <c r="AA25" s="382">
        <v>0</v>
      </c>
      <c r="AB25" s="382">
        <v>4</v>
      </c>
      <c r="AC25" s="382">
        <v>21</v>
      </c>
      <c r="AD25" s="382">
        <v>5336</v>
      </c>
      <c r="AE25" s="382">
        <v>14</v>
      </c>
      <c r="AF25" s="382">
        <v>23</v>
      </c>
      <c r="AG25" s="382">
        <v>37</v>
      </c>
    </row>
    <row r="26" spans="1:33" x14ac:dyDescent="0.3">
      <c r="A26" s="381" t="s">
        <v>114</v>
      </c>
      <c r="B26" s="381" t="s">
        <v>115</v>
      </c>
      <c r="C26" s="382">
        <v>13187</v>
      </c>
      <c r="D26" s="382">
        <v>312</v>
      </c>
      <c r="E26" s="382">
        <v>408</v>
      </c>
      <c r="F26" s="382">
        <v>862</v>
      </c>
      <c r="G26" s="382">
        <v>1545</v>
      </c>
      <c r="H26" s="382">
        <v>16314</v>
      </c>
      <c r="I26" s="382">
        <v>14769</v>
      </c>
      <c r="J26" s="382">
        <v>2</v>
      </c>
      <c r="K26" s="382">
        <v>115.48</v>
      </c>
      <c r="L26" s="382">
        <v>110.91</v>
      </c>
      <c r="M26" s="382">
        <v>5.42</v>
      </c>
      <c r="N26" s="382">
        <v>117.72</v>
      </c>
      <c r="O26" s="385">
        <v>11395</v>
      </c>
      <c r="P26" s="382">
        <v>104.79</v>
      </c>
      <c r="Q26" s="382">
        <v>91.68</v>
      </c>
      <c r="R26" s="382">
        <v>39.950000000000003</v>
      </c>
      <c r="S26" s="382">
        <v>143.28</v>
      </c>
      <c r="T26" s="385">
        <v>1121</v>
      </c>
      <c r="U26" s="382">
        <v>160.11000000000001</v>
      </c>
      <c r="V26" s="385">
        <v>1521</v>
      </c>
      <c r="W26" s="382">
        <v>153.41999999999999</v>
      </c>
      <c r="X26" s="385">
        <v>2</v>
      </c>
      <c r="Y26" s="382">
        <v>41</v>
      </c>
      <c r="Z26" s="382">
        <v>8</v>
      </c>
      <c r="AA26" s="382">
        <v>7</v>
      </c>
      <c r="AB26" s="382">
        <v>189</v>
      </c>
      <c r="AC26" s="382">
        <v>41</v>
      </c>
      <c r="AD26" s="382">
        <v>13148</v>
      </c>
      <c r="AE26" s="382">
        <v>102</v>
      </c>
      <c r="AF26" s="382">
        <v>37</v>
      </c>
      <c r="AG26" s="382">
        <v>139</v>
      </c>
    </row>
    <row r="27" spans="1:33" x14ac:dyDescent="0.3">
      <c r="A27" s="381" t="s">
        <v>116</v>
      </c>
      <c r="B27" s="381" t="s">
        <v>117</v>
      </c>
      <c r="C27" s="382">
        <v>1217</v>
      </c>
      <c r="D27" s="382">
        <v>0</v>
      </c>
      <c r="E27" s="382">
        <v>258</v>
      </c>
      <c r="F27" s="382">
        <v>117</v>
      </c>
      <c r="G27" s="382">
        <v>167</v>
      </c>
      <c r="H27" s="382">
        <v>1759</v>
      </c>
      <c r="I27" s="382">
        <v>1592</v>
      </c>
      <c r="J27" s="382">
        <v>3</v>
      </c>
      <c r="K27" s="382">
        <v>89.51</v>
      </c>
      <c r="L27" s="382">
        <v>87.09</v>
      </c>
      <c r="M27" s="382">
        <v>3.38</v>
      </c>
      <c r="N27" s="382">
        <v>91.69</v>
      </c>
      <c r="O27" s="385">
        <v>907</v>
      </c>
      <c r="P27" s="382">
        <v>127.15</v>
      </c>
      <c r="Q27" s="382">
        <v>73.56</v>
      </c>
      <c r="R27" s="382">
        <v>72.39</v>
      </c>
      <c r="S27" s="382">
        <v>196.88</v>
      </c>
      <c r="T27" s="385">
        <v>353</v>
      </c>
      <c r="U27" s="382">
        <v>105.98</v>
      </c>
      <c r="V27" s="385">
        <v>275</v>
      </c>
      <c r="W27" s="382">
        <v>149.31</v>
      </c>
      <c r="X27" s="385">
        <v>21</v>
      </c>
      <c r="Y27" s="382">
        <v>0</v>
      </c>
      <c r="Z27" s="382">
        <v>0</v>
      </c>
      <c r="AA27" s="382">
        <v>14</v>
      </c>
      <c r="AB27" s="382">
        <v>47</v>
      </c>
      <c r="AC27" s="382">
        <v>5</v>
      </c>
      <c r="AD27" s="382">
        <v>1217</v>
      </c>
      <c r="AE27" s="382">
        <v>5</v>
      </c>
      <c r="AF27" s="382">
        <v>12</v>
      </c>
      <c r="AG27" s="382">
        <v>17</v>
      </c>
    </row>
    <row r="28" spans="1:33" x14ac:dyDescent="0.3">
      <c r="A28" s="381" t="s">
        <v>118</v>
      </c>
      <c r="B28" s="381" t="s">
        <v>119</v>
      </c>
      <c r="C28" s="382">
        <v>9280</v>
      </c>
      <c r="D28" s="382">
        <v>0</v>
      </c>
      <c r="E28" s="382">
        <v>406</v>
      </c>
      <c r="F28" s="382">
        <v>2110</v>
      </c>
      <c r="G28" s="382">
        <v>700</v>
      </c>
      <c r="H28" s="382">
        <v>12496</v>
      </c>
      <c r="I28" s="382">
        <v>11796</v>
      </c>
      <c r="J28" s="382">
        <v>12</v>
      </c>
      <c r="K28" s="382">
        <v>103.18</v>
      </c>
      <c r="L28" s="382">
        <v>100.58</v>
      </c>
      <c r="M28" s="382">
        <v>4.34</v>
      </c>
      <c r="N28" s="382">
        <v>106.97</v>
      </c>
      <c r="O28" s="385">
        <v>8466</v>
      </c>
      <c r="P28" s="382">
        <v>96.54</v>
      </c>
      <c r="Q28" s="382">
        <v>88.82</v>
      </c>
      <c r="R28" s="382">
        <v>18.61</v>
      </c>
      <c r="S28" s="382">
        <v>114.73</v>
      </c>
      <c r="T28" s="385">
        <v>2215</v>
      </c>
      <c r="U28" s="382">
        <v>141.75</v>
      </c>
      <c r="V28" s="385">
        <v>724</v>
      </c>
      <c r="W28" s="382">
        <v>123.81</v>
      </c>
      <c r="X28" s="385">
        <v>79</v>
      </c>
      <c r="Y28" s="382">
        <v>0</v>
      </c>
      <c r="Z28" s="382">
        <v>18</v>
      </c>
      <c r="AA28" s="382">
        <v>13</v>
      </c>
      <c r="AB28" s="382">
        <v>30</v>
      </c>
      <c r="AC28" s="382">
        <v>17</v>
      </c>
      <c r="AD28" s="382">
        <v>9214</v>
      </c>
      <c r="AE28" s="382">
        <v>55</v>
      </c>
      <c r="AF28" s="382">
        <v>55</v>
      </c>
      <c r="AG28" s="382">
        <v>110</v>
      </c>
    </row>
    <row r="29" spans="1:33" x14ac:dyDescent="0.3">
      <c r="A29" s="381" t="s">
        <v>120</v>
      </c>
      <c r="B29" s="381" t="s">
        <v>121</v>
      </c>
      <c r="C29" s="382">
        <v>11106</v>
      </c>
      <c r="D29" s="382">
        <v>66</v>
      </c>
      <c r="E29" s="382">
        <v>466</v>
      </c>
      <c r="F29" s="382">
        <v>1099</v>
      </c>
      <c r="G29" s="382">
        <v>1473</v>
      </c>
      <c r="H29" s="382">
        <v>14210</v>
      </c>
      <c r="I29" s="382">
        <v>12737</v>
      </c>
      <c r="J29" s="382">
        <v>3</v>
      </c>
      <c r="K29" s="382">
        <v>101.02</v>
      </c>
      <c r="L29" s="382">
        <v>100.21</v>
      </c>
      <c r="M29" s="382">
        <v>8.3699999999999992</v>
      </c>
      <c r="N29" s="382">
        <v>106.97</v>
      </c>
      <c r="O29" s="385">
        <v>9242</v>
      </c>
      <c r="P29" s="382">
        <v>105.1</v>
      </c>
      <c r="Q29" s="382">
        <v>95.18</v>
      </c>
      <c r="R29" s="382">
        <v>46.33</v>
      </c>
      <c r="S29" s="382">
        <v>149.9</v>
      </c>
      <c r="T29" s="385">
        <v>1266</v>
      </c>
      <c r="U29" s="382">
        <v>141.62</v>
      </c>
      <c r="V29" s="385">
        <v>1549</v>
      </c>
      <c r="W29" s="382">
        <v>138.21</v>
      </c>
      <c r="X29" s="385">
        <v>23</v>
      </c>
      <c r="Y29" s="382">
        <v>20</v>
      </c>
      <c r="Z29" s="382">
        <v>6</v>
      </c>
      <c r="AA29" s="382">
        <v>18</v>
      </c>
      <c r="AB29" s="382">
        <v>95</v>
      </c>
      <c r="AC29" s="382">
        <v>33</v>
      </c>
      <c r="AD29" s="382">
        <v>10943</v>
      </c>
      <c r="AE29" s="382">
        <v>57</v>
      </c>
      <c r="AF29" s="382">
        <v>30</v>
      </c>
      <c r="AG29" s="382">
        <v>87</v>
      </c>
    </row>
    <row r="30" spans="1:33" x14ac:dyDescent="0.3">
      <c r="A30" s="381" t="s">
        <v>122</v>
      </c>
      <c r="B30" s="381" t="s">
        <v>123</v>
      </c>
      <c r="C30" s="382">
        <v>12237</v>
      </c>
      <c r="D30" s="382">
        <v>69</v>
      </c>
      <c r="E30" s="382">
        <v>157</v>
      </c>
      <c r="F30" s="382">
        <v>1332</v>
      </c>
      <c r="G30" s="382">
        <v>1371</v>
      </c>
      <c r="H30" s="382">
        <v>15166</v>
      </c>
      <c r="I30" s="382">
        <v>13795</v>
      </c>
      <c r="J30" s="382">
        <v>41</v>
      </c>
      <c r="K30" s="382">
        <v>113.32</v>
      </c>
      <c r="L30" s="382">
        <v>110.01</v>
      </c>
      <c r="M30" s="382">
        <v>12.61</v>
      </c>
      <c r="N30" s="382">
        <v>125.03</v>
      </c>
      <c r="O30" s="385">
        <v>9555</v>
      </c>
      <c r="P30" s="382">
        <v>100.33</v>
      </c>
      <c r="Q30" s="382">
        <v>94.36</v>
      </c>
      <c r="R30" s="382">
        <v>38.090000000000003</v>
      </c>
      <c r="S30" s="382">
        <v>137.44</v>
      </c>
      <c r="T30" s="385">
        <v>1320</v>
      </c>
      <c r="U30" s="382">
        <v>170.45</v>
      </c>
      <c r="V30" s="385">
        <v>1695</v>
      </c>
      <c r="W30" s="382">
        <v>0</v>
      </c>
      <c r="X30" s="385">
        <v>0</v>
      </c>
      <c r="Y30" s="382">
        <v>0</v>
      </c>
      <c r="Z30" s="382">
        <v>18</v>
      </c>
      <c r="AA30" s="382">
        <v>6</v>
      </c>
      <c r="AB30" s="382">
        <v>46</v>
      </c>
      <c r="AC30" s="382">
        <v>63</v>
      </c>
      <c r="AD30" s="382">
        <v>11412</v>
      </c>
      <c r="AE30" s="382">
        <v>154</v>
      </c>
      <c r="AF30" s="382">
        <v>40</v>
      </c>
      <c r="AG30" s="382">
        <v>194</v>
      </c>
    </row>
    <row r="31" spans="1:33" x14ac:dyDescent="0.3">
      <c r="A31" s="381" t="s">
        <v>124</v>
      </c>
      <c r="B31" s="381" t="s">
        <v>125</v>
      </c>
      <c r="C31" s="382">
        <v>33495</v>
      </c>
      <c r="D31" s="382">
        <v>252</v>
      </c>
      <c r="E31" s="382">
        <v>7265</v>
      </c>
      <c r="F31" s="382">
        <v>4878</v>
      </c>
      <c r="G31" s="382">
        <v>3176</v>
      </c>
      <c r="H31" s="382">
        <v>49066</v>
      </c>
      <c r="I31" s="382">
        <v>45890</v>
      </c>
      <c r="J31" s="382">
        <v>69</v>
      </c>
      <c r="K31" s="382">
        <v>95.24</v>
      </c>
      <c r="L31" s="382">
        <v>93.96</v>
      </c>
      <c r="M31" s="382">
        <v>8.26</v>
      </c>
      <c r="N31" s="382">
        <v>101.6</v>
      </c>
      <c r="O31" s="385">
        <v>29863</v>
      </c>
      <c r="P31" s="382">
        <v>84.8</v>
      </c>
      <c r="Q31" s="382">
        <v>76.66</v>
      </c>
      <c r="R31" s="382">
        <v>84.9</v>
      </c>
      <c r="S31" s="382">
        <v>168.61</v>
      </c>
      <c r="T31" s="385">
        <v>7899</v>
      </c>
      <c r="U31" s="382">
        <v>121.89</v>
      </c>
      <c r="V31" s="385">
        <v>1732</v>
      </c>
      <c r="W31" s="382">
        <v>0</v>
      </c>
      <c r="X31" s="385">
        <v>0</v>
      </c>
      <c r="Y31" s="382">
        <v>42</v>
      </c>
      <c r="Z31" s="382">
        <v>38</v>
      </c>
      <c r="AA31" s="382">
        <v>329</v>
      </c>
      <c r="AB31" s="382">
        <v>105</v>
      </c>
      <c r="AC31" s="382">
        <v>87</v>
      </c>
      <c r="AD31" s="382">
        <v>32091</v>
      </c>
      <c r="AE31" s="382">
        <v>195</v>
      </c>
      <c r="AF31" s="382">
        <v>83</v>
      </c>
      <c r="AG31" s="382">
        <v>278</v>
      </c>
    </row>
    <row r="32" spans="1:33" x14ac:dyDescent="0.3">
      <c r="A32" s="381" t="s">
        <v>126</v>
      </c>
      <c r="B32" s="381" t="s">
        <v>127</v>
      </c>
      <c r="C32" s="382">
        <v>2265</v>
      </c>
      <c r="D32" s="382">
        <v>0</v>
      </c>
      <c r="E32" s="382">
        <v>118</v>
      </c>
      <c r="F32" s="382">
        <v>1364</v>
      </c>
      <c r="G32" s="382">
        <v>395</v>
      </c>
      <c r="H32" s="382">
        <v>4142</v>
      </c>
      <c r="I32" s="382">
        <v>3747</v>
      </c>
      <c r="J32" s="382">
        <v>0</v>
      </c>
      <c r="K32" s="382">
        <v>90.27</v>
      </c>
      <c r="L32" s="382">
        <v>89.54</v>
      </c>
      <c r="M32" s="382">
        <v>5.04</v>
      </c>
      <c r="N32" s="382">
        <v>93.21</v>
      </c>
      <c r="O32" s="385">
        <v>1646</v>
      </c>
      <c r="P32" s="382">
        <v>77.62</v>
      </c>
      <c r="Q32" s="382">
        <v>76.349999999999994</v>
      </c>
      <c r="R32" s="382">
        <v>15.95</v>
      </c>
      <c r="S32" s="382">
        <v>93.42</v>
      </c>
      <c r="T32" s="385">
        <v>1362</v>
      </c>
      <c r="U32" s="382">
        <v>116.62</v>
      </c>
      <c r="V32" s="385">
        <v>531</v>
      </c>
      <c r="W32" s="382">
        <v>111.74</v>
      </c>
      <c r="X32" s="385">
        <v>115</v>
      </c>
      <c r="Y32" s="382">
        <v>0</v>
      </c>
      <c r="Z32" s="382">
        <v>10</v>
      </c>
      <c r="AA32" s="382">
        <v>4</v>
      </c>
      <c r="AB32" s="382">
        <v>32</v>
      </c>
      <c r="AC32" s="382">
        <v>16</v>
      </c>
      <c r="AD32" s="382">
        <v>2265</v>
      </c>
      <c r="AE32" s="382">
        <v>13</v>
      </c>
      <c r="AF32" s="382">
        <v>3</v>
      </c>
      <c r="AG32" s="382">
        <v>16</v>
      </c>
    </row>
    <row r="33" spans="1:33" x14ac:dyDescent="0.3">
      <c r="A33" s="381" t="s">
        <v>128</v>
      </c>
      <c r="B33" s="381" t="s">
        <v>129</v>
      </c>
      <c r="C33" s="382">
        <v>10006</v>
      </c>
      <c r="D33" s="382">
        <v>0</v>
      </c>
      <c r="E33" s="382">
        <v>585</v>
      </c>
      <c r="F33" s="382">
        <v>1084</v>
      </c>
      <c r="G33" s="382">
        <v>214</v>
      </c>
      <c r="H33" s="382">
        <v>11889</v>
      </c>
      <c r="I33" s="382">
        <v>11675</v>
      </c>
      <c r="J33" s="382">
        <v>0</v>
      </c>
      <c r="K33" s="382">
        <v>80.290000000000006</v>
      </c>
      <c r="L33" s="382">
        <v>76.86</v>
      </c>
      <c r="M33" s="382">
        <v>1.88</v>
      </c>
      <c r="N33" s="382">
        <v>81.95</v>
      </c>
      <c r="O33" s="385">
        <v>8354</v>
      </c>
      <c r="P33" s="382">
        <v>94.93</v>
      </c>
      <c r="Q33" s="382">
        <v>74.34</v>
      </c>
      <c r="R33" s="382">
        <v>61.62</v>
      </c>
      <c r="S33" s="382">
        <v>154.78</v>
      </c>
      <c r="T33" s="385">
        <v>1462</v>
      </c>
      <c r="U33" s="382">
        <v>99.44</v>
      </c>
      <c r="V33" s="385">
        <v>1587</v>
      </c>
      <c r="W33" s="382">
        <v>156.91</v>
      </c>
      <c r="X33" s="385">
        <v>135</v>
      </c>
      <c r="Y33" s="382">
        <v>15</v>
      </c>
      <c r="Z33" s="382">
        <v>62</v>
      </c>
      <c r="AA33" s="382">
        <v>17</v>
      </c>
      <c r="AB33" s="382">
        <v>16</v>
      </c>
      <c r="AC33" s="382">
        <v>10</v>
      </c>
      <c r="AD33" s="382">
        <v>9997</v>
      </c>
      <c r="AE33" s="382">
        <v>88</v>
      </c>
      <c r="AF33" s="382">
        <v>65</v>
      </c>
      <c r="AG33" s="382">
        <v>153</v>
      </c>
    </row>
    <row r="34" spans="1:33" x14ac:dyDescent="0.3">
      <c r="A34" s="381" t="s">
        <v>130</v>
      </c>
      <c r="B34" s="381" t="s">
        <v>131</v>
      </c>
      <c r="C34" s="382">
        <v>1779</v>
      </c>
      <c r="D34" s="382">
        <v>0</v>
      </c>
      <c r="E34" s="382">
        <v>486</v>
      </c>
      <c r="F34" s="382">
        <v>201</v>
      </c>
      <c r="G34" s="382">
        <v>149</v>
      </c>
      <c r="H34" s="382">
        <v>2615</v>
      </c>
      <c r="I34" s="382">
        <v>2466</v>
      </c>
      <c r="J34" s="382">
        <v>0</v>
      </c>
      <c r="K34" s="382">
        <v>88.19</v>
      </c>
      <c r="L34" s="382">
        <v>85.64</v>
      </c>
      <c r="M34" s="382">
        <v>4.96</v>
      </c>
      <c r="N34" s="382">
        <v>92.12</v>
      </c>
      <c r="O34" s="385">
        <v>1197</v>
      </c>
      <c r="P34" s="382">
        <v>115.39</v>
      </c>
      <c r="Q34" s="382">
        <v>86.11</v>
      </c>
      <c r="R34" s="382">
        <v>74.63</v>
      </c>
      <c r="S34" s="382">
        <v>183.21</v>
      </c>
      <c r="T34" s="385">
        <v>602</v>
      </c>
      <c r="U34" s="382">
        <v>107.53</v>
      </c>
      <c r="V34" s="385">
        <v>467</v>
      </c>
      <c r="W34" s="382">
        <v>0</v>
      </c>
      <c r="X34" s="385">
        <v>0</v>
      </c>
      <c r="Y34" s="382">
        <v>1</v>
      </c>
      <c r="Z34" s="382">
        <v>1</v>
      </c>
      <c r="AA34" s="382">
        <v>3</v>
      </c>
      <c r="AB34" s="382">
        <v>2</v>
      </c>
      <c r="AC34" s="382">
        <v>5</v>
      </c>
      <c r="AD34" s="382">
        <v>1682</v>
      </c>
      <c r="AE34" s="382">
        <v>13</v>
      </c>
      <c r="AF34" s="382">
        <v>15</v>
      </c>
      <c r="AG34" s="382">
        <v>28</v>
      </c>
    </row>
    <row r="35" spans="1:33" x14ac:dyDescent="0.3">
      <c r="A35" s="381" t="s">
        <v>132</v>
      </c>
      <c r="B35" s="381" t="s">
        <v>133</v>
      </c>
      <c r="C35" s="382">
        <v>802</v>
      </c>
      <c r="D35" s="382">
        <v>0</v>
      </c>
      <c r="E35" s="382">
        <v>108</v>
      </c>
      <c r="F35" s="382">
        <v>261</v>
      </c>
      <c r="G35" s="382">
        <v>77</v>
      </c>
      <c r="H35" s="382">
        <v>1248</v>
      </c>
      <c r="I35" s="382">
        <v>1171</v>
      </c>
      <c r="J35" s="382">
        <v>0</v>
      </c>
      <c r="K35" s="382">
        <v>91.76</v>
      </c>
      <c r="L35" s="382">
        <v>89.54</v>
      </c>
      <c r="M35" s="382">
        <v>2.98</v>
      </c>
      <c r="N35" s="382">
        <v>93.56</v>
      </c>
      <c r="O35" s="385">
        <v>649</v>
      </c>
      <c r="P35" s="382">
        <v>104.63</v>
      </c>
      <c r="Q35" s="382">
        <v>86.86</v>
      </c>
      <c r="R35" s="382">
        <v>37.96</v>
      </c>
      <c r="S35" s="382">
        <v>139.9</v>
      </c>
      <c r="T35" s="385">
        <v>353</v>
      </c>
      <c r="U35" s="382">
        <v>96.52</v>
      </c>
      <c r="V35" s="385">
        <v>129</v>
      </c>
      <c r="W35" s="382">
        <v>0</v>
      </c>
      <c r="X35" s="385">
        <v>0</v>
      </c>
      <c r="Y35" s="382">
        <v>0</v>
      </c>
      <c r="Z35" s="382">
        <v>1</v>
      </c>
      <c r="AA35" s="382">
        <v>2</v>
      </c>
      <c r="AB35" s="382">
        <v>0</v>
      </c>
      <c r="AC35" s="382">
        <v>0</v>
      </c>
      <c r="AD35" s="382">
        <v>757</v>
      </c>
      <c r="AE35" s="382">
        <v>5</v>
      </c>
      <c r="AF35" s="382">
        <v>6</v>
      </c>
      <c r="AG35" s="382">
        <v>11</v>
      </c>
    </row>
    <row r="36" spans="1:33" x14ac:dyDescent="0.3">
      <c r="A36" s="381" t="s">
        <v>134</v>
      </c>
      <c r="B36" s="381" t="s">
        <v>135</v>
      </c>
      <c r="C36" s="382">
        <v>20987</v>
      </c>
      <c r="D36" s="382">
        <v>13</v>
      </c>
      <c r="E36" s="382">
        <v>851</v>
      </c>
      <c r="F36" s="382">
        <v>3635</v>
      </c>
      <c r="G36" s="382">
        <v>395</v>
      </c>
      <c r="H36" s="382">
        <v>25881</v>
      </c>
      <c r="I36" s="382">
        <v>25486</v>
      </c>
      <c r="J36" s="382">
        <v>2</v>
      </c>
      <c r="K36" s="382">
        <v>79.39</v>
      </c>
      <c r="L36" s="382">
        <v>80.81</v>
      </c>
      <c r="M36" s="382">
        <v>3.55</v>
      </c>
      <c r="N36" s="382">
        <v>82.6</v>
      </c>
      <c r="O36" s="385">
        <v>17238</v>
      </c>
      <c r="P36" s="382">
        <v>80.099999999999994</v>
      </c>
      <c r="Q36" s="382">
        <v>74.47</v>
      </c>
      <c r="R36" s="382">
        <v>42.64</v>
      </c>
      <c r="S36" s="382">
        <v>122.25</v>
      </c>
      <c r="T36" s="385">
        <v>4405</v>
      </c>
      <c r="U36" s="382">
        <v>98.93</v>
      </c>
      <c r="V36" s="385">
        <v>3447</v>
      </c>
      <c r="W36" s="382">
        <v>0</v>
      </c>
      <c r="X36" s="385">
        <v>0</v>
      </c>
      <c r="Y36" s="382">
        <v>9</v>
      </c>
      <c r="Z36" s="382">
        <v>117</v>
      </c>
      <c r="AA36" s="382">
        <v>18</v>
      </c>
      <c r="AB36" s="382">
        <v>17</v>
      </c>
      <c r="AC36" s="382">
        <v>10</v>
      </c>
      <c r="AD36" s="382">
        <v>20912</v>
      </c>
      <c r="AE36" s="382">
        <v>111</v>
      </c>
      <c r="AF36" s="382">
        <v>309</v>
      </c>
      <c r="AG36" s="382">
        <v>420</v>
      </c>
    </row>
    <row r="37" spans="1:33" x14ac:dyDescent="0.3">
      <c r="A37" s="381" t="s">
        <v>136</v>
      </c>
      <c r="B37" s="381" t="s">
        <v>137</v>
      </c>
      <c r="C37" s="382">
        <v>4835</v>
      </c>
      <c r="D37" s="382">
        <v>0</v>
      </c>
      <c r="E37" s="382">
        <v>180</v>
      </c>
      <c r="F37" s="382">
        <v>905</v>
      </c>
      <c r="G37" s="382">
        <v>402</v>
      </c>
      <c r="H37" s="382">
        <v>6322</v>
      </c>
      <c r="I37" s="382">
        <v>5920</v>
      </c>
      <c r="J37" s="382">
        <v>1</v>
      </c>
      <c r="K37" s="382">
        <v>82.15</v>
      </c>
      <c r="L37" s="382">
        <v>79.040000000000006</v>
      </c>
      <c r="M37" s="382">
        <v>2.0099999999999998</v>
      </c>
      <c r="N37" s="382">
        <v>84.12</v>
      </c>
      <c r="O37" s="385">
        <v>4117</v>
      </c>
      <c r="P37" s="382">
        <v>82.04</v>
      </c>
      <c r="Q37" s="382">
        <v>72.59</v>
      </c>
      <c r="R37" s="382">
        <v>23.6</v>
      </c>
      <c r="S37" s="382">
        <v>105.62</v>
      </c>
      <c r="T37" s="385">
        <v>1037</v>
      </c>
      <c r="U37" s="382">
        <v>109.69</v>
      </c>
      <c r="V37" s="385">
        <v>566</v>
      </c>
      <c r="W37" s="382">
        <v>340.69</v>
      </c>
      <c r="X37" s="385">
        <v>6</v>
      </c>
      <c r="Y37" s="382">
        <v>0</v>
      </c>
      <c r="Z37" s="382">
        <v>8</v>
      </c>
      <c r="AA37" s="382">
        <v>4</v>
      </c>
      <c r="AB37" s="382">
        <v>49</v>
      </c>
      <c r="AC37" s="382">
        <v>2</v>
      </c>
      <c r="AD37" s="382">
        <v>4798</v>
      </c>
      <c r="AE37" s="382">
        <v>36</v>
      </c>
      <c r="AF37" s="382">
        <v>14</v>
      </c>
      <c r="AG37" s="382">
        <v>50</v>
      </c>
    </row>
    <row r="38" spans="1:33" x14ac:dyDescent="0.3">
      <c r="A38" s="381" t="s">
        <v>138</v>
      </c>
      <c r="B38" s="381" t="s">
        <v>139</v>
      </c>
      <c r="C38" s="382">
        <v>6860</v>
      </c>
      <c r="D38" s="382">
        <v>13</v>
      </c>
      <c r="E38" s="382">
        <v>1236</v>
      </c>
      <c r="F38" s="382">
        <v>980</v>
      </c>
      <c r="G38" s="382">
        <v>959</v>
      </c>
      <c r="H38" s="382">
        <v>10048</v>
      </c>
      <c r="I38" s="382">
        <v>9089</v>
      </c>
      <c r="J38" s="382">
        <v>14</v>
      </c>
      <c r="K38" s="382">
        <v>106.45</v>
      </c>
      <c r="L38" s="382">
        <v>102.07</v>
      </c>
      <c r="M38" s="382">
        <v>5.88</v>
      </c>
      <c r="N38" s="382">
        <v>110.63</v>
      </c>
      <c r="O38" s="385">
        <v>5793</v>
      </c>
      <c r="P38" s="382">
        <v>98.02</v>
      </c>
      <c r="Q38" s="382">
        <v>83.8</v>
      </c>
      <c r="R38" s="382">
        <v>47.18</v>
      </c>
      <c r="S38" s="382">
        <v>143.83000000000001</v>
      </c>
      <c r="T38" s="385">
        <v>1726</v>
      </c>
      <c r="U38" s="382">
        <v>150.5</v>
      </c>
      <c r="V38" s="385">
        <v>618</v>
      </c>
      <c r="W38" s="382">
        <v>335.41</v>
      </c>
      <c r="X38" s="385">
        <v>52</v>
      </c>
      <c r="Y38" s="382">
        <v>27</v>
      </c>
      <c r="Z38" s="382">
        <v>2</v>
      </c>
      <c r="AA38" s="382">
        <v>37</v>
      </c>
      <c r="AB38" s="382">
        <v>6</v>
      </c>
      <c r="AC38" s="382">
        <v>21</v>
      </c>
      <c r="AD38" s="382">
        <v>6428</v>
      </c>
      <c r="AE38" s="382">
        <v>30</v>
      </c>
      <c r="AF38" s="382">
        <v>14</v>
      </c>
      <c r="AG38" s="382">
        <v>44</v>
      </c>
    </row>
    <row r="39" spans="1:33" x14ac:dyDescent="0.3">
      <c r="A39" s="381" t="s">
        <v>140</v>
      </c>
      <c r="B39" s="381" t="s">
        <v>141</v>
      </c>
      <c r="C39" s="382">
        <v>7468</v>
      </c>
      <c r="D39" s="382">
        <v>0</v>
      </c>
      <c r="E39" s="382">
        <v>248</v>
      </c>
      <c r="F39" s="382">
        <v>499</v>
      </c>
      <c r="G39" s="382">
        <v>813</v>
      </c>
      <c r="H39" s="382">
        <v>9028</v>
      </c>
      <c r="I39" s="382">
        <v>8215</v>
      </c>
      <c r="J39" s="382">
        <v>115</v>
      </c>
      <c r="K39" s="382">
        <v>111.97</v>
      </c>
      <c r="L39" s="382">
        <v>111.59</v>
      </c>
      <c r="M39" s="382">
        <v>8.48</v>
      </c>
      <c r="N39" s="382">
        <v>115.12</v>
      </c>
      <c r="O39" s="385">
        <v>6701</v>
      </c>
      <c r="P39" s="382">
        <v>101.6</v>
      </c>
      <c r="Q39" s="382">
        <v>97.69</v>
      </c>
      <c r="R39" s="382">
        <v>41.96</v>
      </c>
      <c r="S39" s="382">
        <v>141.27000000000001</v>
      </c>
      <c r="T39" s="385">
        <v>716</v>
      </c>
      <c r="U39" s="382">
        <v>173.26</v>
      </c>
      <c r="V39" s="385">
        <v>712</v>
      </c>
      <c r="W39" s="382">
        <v>0</v>
      </c>
      <c r="X39" s="385">
        <v>0</v>
      </c>
      <c r="Y39" s="382">
        <v>9</v>
      </c>
      <c r="Z39" s="382">
        <v>12</v>
      </c>
      <c r="AA39" s="382">
        <v>47</v>
      </c>
      <c r="AB39" s="382">
        <v>39</v>
      </c>
      <c r="AC39" s="382">
        <v>19</v>
      </c>
      <c r="AD39" s="382">
        <v>7456</v>
      </c>
      <c r="AE39" s="382">
        <v>74</v>
      </c>
      <c r="AF39" s="382">
        <v>165</v>
      </c>
      <c r="AG39" s="382">
        <v>239</v>
      </c>
    </row>
    <row r="40" spans="1:33" x14ac:dyDescent="0.3">
      <c r="A40" s="381" t="s">
        <v>142</v>
      </c>
      <c r="B40" s="381" t="s">
        <v>143</v>
      </c>
      <c r="C40" s="382">
        <v>27128</v>
      </c>
      <c r="D40" s="382">
        <v>1</v>
      </c>
      <c r="E40" s="382">
        <v>1561</v>
      </c>
      <c r="F40" s="382">
        <v>2851</v>
      </c>
      <c r="G40" s="382">
        <v>795</v>
      </c>
      <c r="H40" s="382">
        <v>32336</v>
      </c>
      <c r="I40" s="382">
        <v>31541</v>
      </c>
      <c r="J40" s="382">
        <v>3</v>
      </c>
      <c r="K40" s="382">
        <v>80.77</v>
      </c>
      <c r="L40" s="382">
        <v>80.34</v>
      </c>
      <c r="M40" s="382">
        <v>5.03</v>
      </c>
      <c r="N40" s="382">
        <v>85.55</v>
      </c>
      <c r="O40" s="385">
        <v>23465</v>
      </c>
      <c r="P40" s="382">
        <v>87.94</v>
      </c>
      <c r="Q40" s="382">
        <v>76.239999999999995</v>
      </c>
      <c r="R40" s="382">
        <v>42.28</v>
      </c>
      <c r="S40" s="382">
        <v>129.71</v>
      </c>
      <c r="T40" s="385">
        <v>3453</v>
      </c>
      <c r="U40" s="382">
        <v>101.98</v>
      </c>
      <c r="V40" s="385">
        <v>3504</v>
      </c>
      <c r="W40" s="382">
        <v>144.02000000000001</v>
      </c>
      <c r="X40" s="385">
        <v>79</v>
      </c>
      <c r="Y40" s="382">
        <v>29</v>
      </c>
      <c r="Z40" s="382">
        <v>124</v>
      </c>
      <c r="AA40" s="382">
        <v>38</v>
      </c>
      <c r="AB40" s="382">
        <v>53</v>
      </c>
      <c r="AC40" s="382">
        <v>15</v>
      </c>
      <c r="AD40" s="382">
        <v>27112</v>
      </c>
      <c r="AE40" s="382">
        <v>345</v>
      </c>
      <c r="AF40" s="382">
        <v>216</v>
      </c>
      <c r="AG40" s="382">
        <v>561</v>
      </c>
    </row>
    <row r="41" spans="1:33" x14ac:dyDescent="0.3">
      <c r="A41" s="381" t="s">
        <v>144</v>
      </c>
      <c r="B41" s="381" t="s">
        <v>145</v>
      </c>
      <c r="C41" s="382">
        <v>10085</v>
      </c>
      <c r="D41" s="382">
        <v>0</v>
      </c>
      <c r="E41" s="382">
        <v>305</v>
      </c>
      <c r="F41" s="382">
        <v>739</v>
      </c>
      <c r="G41" s="382">
        <v>517</v>
      </c>
      <c r="H41" s="382">
        <v>11646</v>
      </c>
      <c r="I41" s="382">
        <v>11129</v>
      </c>
      <c r="J41" s="382">
        <v>0</v>
      </c>
      <c r="K41" s="382">
        <v>98.86</v>
      </c>
      <c r="L41" s="382">
        <v>98.85</v>
      </c>
      <c r="M41" s="382">
        <v>4.05</v>
      </c>
      <c r="N41" s="382">
        <v>100.01</v>
      </c>
      <c r="O41" s="385">
        <v>8738</v>
      </c>
      <c r="P41" s="382">
        <v>88.48</v>
      </c>
      <c r="Q41" s="382">
        <v>86.3</v>
      </c>
      <c r="R41" s="382">
        <v>46.16</v>
      </c>
      <c r="S41" s="382">
        <v>132.94</v>
      </c>
      <c r="T41" s="385">
        <v>842</v>
      </c>
      <c r="U41" s="382">
        <v>150.22</v>
      </c>
      <c r="V41" s="385">
        <v>1257</v>
      </c>
      <c r="W41" s="382">
        <v>153.72</v>
      </c>
      <c r="X41" s="385">
        <v>24</v>
      </c>
      <c r="Y41" s="382">
        <v>27</v>
      </c>
      <c r="Z41" s="382">
        <v>21</v>
      </c>
      <c r="AA41" s="382">
        <v>0</v>
      </c>
      <c r="AB41" s="382">
        <v>113</v>
      </c>
      <c r="AC41" s="382">
        <v>6</v>
      </c>
      <c r="AD41" s="382">
        <v>10073</v>
      </c>
      <c r="AE41" s="382">
        <v>50</v>
      </c>
      <c r="AF41" s="382">
        <v>59</v>
      </c>
      <c r="AG41" s="382">
        <v>109</v>
      </c>
    </row>
    <row r="42" spans="1:33" x14ac:dyDescent="0.3">
      <c r="A42" s="381" t="s">
        <v>146</v>
      </c>
      <c r="B42" s="381" t="s">
        <v>147</v>
      </c>
      <c r="C42" s="382">
        <v>7542</v>
      </c>
      <c r="D42" s="382">
        <v>0</v>
      </c>
      <c r="E42" s="382">
        <v>194</v>
      </c>
      <c r="F42" s="382">
        <v>971</v>
      </c>
      <c r="G42" s="382">
        <v>361</v>
      </c>
      <c r="H42" s="382">
        <v>9068</v>
      </c>
      <c r="I42" s="382">
        <v>8707</v>
      </c>
      <c r="J42" s="382">
        <v>4</v>
      </c>
      <c r="K42" s="382">
        <v>90.89</v>
      </c>
      <c r="L42" s="382">
        <v>87.52</v>
      </c>
      <c r="M42" s="382">
        <v>3.08</v>
      </c>
      <c r="N42" s="382">
        <v>91.82</v>
      </c>
      <c r="O42" s="385">
        <v>6726</v>
      </c>
      <c r="P42" s="382">
        <v>83.17</v>
      </c>
      <c r="Q42" s="382">
        <v>76.33</v>
      </c>
      <c r="R42" s="382">
        <v>21.7</v>
      </c>
      <c r="S42" s="382">
        <v>104.18</v>
      </c>
      <c r="T42" s="385">
        <v>1127</v>
      </c>
      <c r="U42" s="382">
        <v>117.76</v>
      </c>
      <c r="V42" s="385">
        <v>787</v>
      </c>
      <c r="W42" s="382">
        <v>0</v>
      </c>
      <c r="X42" s="385">
        <v>0</v>
      </c>
      <c r="Y42" s="382">
        <v>9</v>
      </c>
      <c r="Z42" s="382">
        <v>4</v>
      </c>
      <c r="AA42" s="382">
        <v>12</v>
      </c>
      <c r="AB42" s="382">
        <v>45</v>
      </c>
      <c r="AC42" s="382">
        <v>10</v>
      </c>
      <c r="AD42" s="382">
        <v>7540</v>
      </c>
      <c r="AE42" s="382">
        <v>20</v>
      </c>
      <c r="AF42" s="382">
        <v>66</v>
      </c>
      <c r="AG42" s="382">
        <v>86</v>
      </c>
    </row>
    <row r="43" spans="1:33" x14ac:dyDescent="0.3">
      <c r="A43" s="381" t="s">
        <v>148</v>
      </c>
      <c r="B43" s="381" t="s">
        <v>149</v>
      </c>
      <c r="C43" s="382">
        <v>16875</v>
      </c>
      <c r="D43" s="382">
        <v>157</v>
      </c>
      <c r="E43" s="382">
        <v>1167</v>
      </c>
      <c r="F43" s="382">
        <v>1073</v>
      </c>
      <c r="G43" s="382">
        <v>2270</v>
      </c>
      <c r="H43" s="382">
        <v>21542</v>
      </c>
      <c r="I43" s="382">
        <v>19272</v>
      </c>
      <c r="J43" s="382">
        <v>90</v>
      </c>
      <c r="K43" s="382">
        <v>129.49</v>
      </c>
      <c r="L43" s="382">
        <v>130.9</v>
      </c>
      <c r="M43" s="382">
        <v>12.09</v>
      </c>
      <c r="N43" s="382">
        <v>138.01</v>
      </c>
      <c r="O43" s="385">
        <v>11751</v>
      </c>
      <c r="P43" s="382">
        <v>119.57</v>
      </c>
      <c r="Q43" s="382">
        <v>99.3</v>
      </c>
      <c r="R43" s="382">
        <v>59.49</v>
      </c>
      <c r="S43" s="382">
        <v>168.69</v>
      </c>
      <c r="T43" s="385">
        <v>1757</v>
      </c>
      <c r="U43" s="382">
        <v>226.98</v>
      </c>
      <c r="V43" s="385">
        <v>2085</v>
      </c>
      <c r="W43" s="382">
        <v>219.83</v>
      </c>
      <c r="X43" s="385">
        <v>139</v>
      </c>
      <c r="Y43" s="382">
        <v>62</v>
      </c>
      <c r="Z43" s="382">
        <v>6</v>
      </c>
      <c r="AA43" s="382">
        <v>5</v>
      </c>
      <c r="AB43" s="382">
        <v>336</v>
      </c>
      <c r="AC43" s="382">
        <v>195</v>
      </c>
      <c r="AD43" s="382">
        <v>15129</v>
      </c>
      <c r="AE43" s="382">
        <v>230</v>
      </c>
      <c r="AF43" s="382">
        <v>46</v>
      </c>
      <c r="AG43" s="382">
        <v>276</v>
      </c>
    </row>
    <row r="44" spans="1:33" x14ac:dyDescent="0.3">
      <c r="A44" s="381" t="s">
        <v>150</v>
      </c>
      <c r="B44" s="381" t="s">
        <v>151</v>
      </c>
      <c r="C44" s="382">
        <v>780</v>
      </c>
      <c r="D44" s="382">
        <v>7</v>
      </c>
      <c r="E44" s="382">
        <v>78</v>
      </c>
      <c r="F44" s="382">
        <v>162</v>
      </c>
      <c r="G44" s="382">
        <v>203</v>
      </c>
      <c r="H44" s="382">
        <v>1230</v>
      </c>
      <c r="I44" s="382">
        <v>1027</v>
      </c>
      <c r="J44" s="382">
        <v>0</v>
      </c>
      <c r="K44" s="382">
        <v>120.54</v>
      </c>
      <c r="L44" s="382">
        <v>118.5</v>
      </c>
      <c r="M44" s="382">
        <v>9.06</v>
      </c>
      <c r="N44" s="382">
        <v>129.07</v>
      </c>
      <c r="O44" s="385">
        <v>512</v>
      </c>
      <c r="P44" s="382">
        <v>100.37</v>
      </c>
      <c r="Q44" s="382">
        <v>96.68</v>
      </c>
      <c r="R44" s="382">
        <v>54.46</v>
      </c>
      <c r="S44" s="382">
        <v>154.83000000000001</v>
      </c>
      <c r="T44" s="385">
        <v>235</v>
      </c>
      <c r="U44" s="382">
        <v>158.72</v>
      </c>
      <c r="V44" s="385">
        <v>124</v>
      </c>
      <c r="W44" s="382">
        <v>0</v>
      </c>
      <c r="X44" s="385">
        <v>0</v>
      </c>
      <c r="Y44" s="382">
        <v>0</v>
      </c>
      <c r="Z44" s="382">
        <v>0</v>
      </c>
      <c r="AA44" s="382">
        <v>0</v>
      </c>
      <c r="AB44" s="382">
        <v>0</v>
      </c>
      <c r="AC44" s="382">
        <v>4</v>
      </c>
      <c r="AD44" s="382">
        <v>639</v>
      </c>
      <c r="AE44" s="382">
        <v>3</v>
      </c>
      <c r="AF44" s="382">
        <v>0</v>
      </c>
      <c r="AG44" s="382">
        <v>3</v>
      </c>
    </row>
    <row r="45" spans="1:33" x14ac:dyDescent="0.3">
      <c r="A45" s="381" t="s">
        <v>152</v>
      </c>
      <c r="B45" s="381" t="s">
        <v>153</v>
      </c>
      <c r="C45" s="382">
        <v>4730</v>
      </c>
      <c r="D45" s="382">
        <v>71</v>
      </c>
      <c r="E45" s="382">
        <v>985</v>
      </c>
      <c r="F45" s="382">
        <v>1045</v>
      </c>
      <c r="G45" s="382">
        <v>954</v>
      </c>
      <c r="H45" s="382">
        <v>7785</v>
      </c>
      <c r="I45" s="382">
        <v>6831</v>
      </c>
      <c r="J45" s="382">
        <v>68</v>
      </c>
      <c r="K45" s="382">
        <v>98.1</v>
      </c>
      <c r="L45" s="382">
        <v>95.74</v>
      </c>
      <c r="M45" s="382">
        <v>10.74</v>
      </c>
      <c r="N45" s="382">
        <v>106.85</v>
      </c>
      <c r="O45" s="385">
        <v>3775</v>
      </c>
      <c r="P45" s="382">
        <v>95.56</v>
      </c>
      <c r="Q45" s="382">
        <v>83.13</v>
      </c>
      <c r="R45" s="382">
        <v>67.64</v>
      </c>
      <c r="S45" s="382">
        <v>160.99</v>
      </c>
      <c r="T45" s="385">
        <v>1160</v>
      </c>
      <c r="U45" s="382">
        <v>172.27</v>
      </c>
      <c r="V45" s="385">
        <v>494</v>
      </c>
      <c r="W45" s="382">
        <v>0</v>
      </c>
      <c r="X45" s="385">
        <v>0</v>
      </c>
      <c r="Y45" s="382">
        <v>12</v>
      </c>
      <c r="Z45" s="382">
        <v>0</v>
      </c>
      <c r="AA45" s="382">
        <v>3</v>
      </c>
      <c r="AB45" s="382">
        <v>140</v>
      </c>
      <c r="AC45" s="382">
        <v>29</v>
      </c>
      <c r="AD45" s="382">
        <v>4406</v>
      </c>
      <c r="AE45" s="382">
        <v>38</v>
      </c>
      <c r="AF45" s="382">
        <v>16</v>
      </c>
      <c r="AG45" s="382">
        <v>54</v>
      </c>
    </row>
    <row r="46" spans="1:33" x14ac:dyDescent="0.3">
      <c r="A46" s="381" t="s">
        <v>154</v>
      </c>
      <c r="B46" s="381" t="s">
        <v>155</v>
      </c>
      <c r="C46" s="382">
        <v>9012</v>
      </c>
      <c r="D46" s="382">
        <v>31</v>
      </c>
      <c r="E46" s="382">
        <v>2752</v>
      </c>
      <c r="F46" s="382">
        <v>1065</v>
      </c>
      <c r="G46" s="382">
        <v>1563</v>
      </c>
      <c r="H46" s="382">
        <v>14423</v>
      </c>
      <c r="I46" s="382">
        <v>12860</v>
      </c>
      <c r="J46" s="382">
        <v>41</v>
      </c>
      <c r="K46" s="382">
        <v>99.75</v>
      </c>
      <c r="L46" s="382">
        <v>98.26</v>
      </c>
      <c r="M46" s="382">
        <v>9.9600000000000009</v>
      </c>
      <c r="N46" s="382">
        <v>106.82</v>
      </c>
      <c r="O46" s="385">
        <v>7122</v>
      </c>
      <c r="P46" s="382">
        <v>91.92</v>
      </c>
      <c r="Q46" s="382">
        <v>89.9</v>
      </c>
      <c r="R46" s="382">
        <v>42.54</v>
      </c>
      <c r="S46" s="382">
        <v>131.62</v>
      </c>
      <c r="T46" s="385">
        <v>3134</v>
      </c>
      <c r="U46" s="382">
        <v>142.38999999999999</v>
      </c>
      <c r="V46" s="385">
        <v>1295</v>
      </c>
      <c r="W46" s="382">
        <v>143.02000000000001</v>
      </c>
      <c r="X46" s="385">
        <v>90</v>
      </c>
      <c r="Y46" s="382">
        <v>0</v>
      </c>
      <c r="Z46" s="382">
        <v>3</v>
      </c>
      <c r="AA46" s="382">
        <v>5</v>
      </c>
      <c r="AB46" s="382">
        <v>127</v>
      </c>
      <c r="AC46" s="382">
        <v>32</v>
      </c>
      <c r="AD46" s="382">
        <v>8627</v>
      </c>
      <c r="AE46" s="382">
        <v>54</v>
      </c>
      <c r="AF46" s="382">
        <v>46</v>
      </c>
      <c r="AG46" s="382">
        <v>100</v>
      </c>
    </row>
    <row r="47" spans="1:33" x14ac:dyDescent="0.3">
      <c r="A47" s="381" t="s">
        <v>156</v>
      </c>
      <c r="B47" s="381" t="s">
        <v>157</v>
      </c>
      <c r="C47" s="382">
        <v>5070</v>
      </c>
      <c r="D47" s="382">
        <v>0</v>
      </c>
      <c r="E47" s="382">
        <v>149</v>
      </c>
      <c r="F47" s="382">
        <v>559</v>
      </c>
      <c r="G47" s="382">
        <v>485</v>
      </c>
      <c r="H47" s="382">
        <v>6263</v>
      </c>
      <c r="I47" s="382">
        <v>5778</v>
      </c>
      <c r="J47" s="382">
        <v>0</v>
      </c>
      <c r="K47" s="382">
        <v>94.4</v>
      </c>
      <c r="L47" s="382">
        <v>91.03</v>
      </c>
      <c r="M47" s="382">
        <v>2.17</v>
      </c>
      <c r="N47" s="382">
        <v>95.88</v>
      </c>
      <c r="O47" s="385">
        <v>3695</v>
      </c>
      <c r="P47" s="382">
        <v>91.75</v>
      </c>
      <c r="Q47" s="382">
        <v>80.790000000000006</v>
      </c>
      <c r="R47" s="382">
        <v>32.31</v>
      </c>
      <c r="S47" s="382">
        <v>124.01</v>
      </c>
      <c r="T47" s="385">
        <v>706</v>
      </c>
      <c r="U47" s="382">
        <v>116.62</v>
      </c>
      <c r="V47" s="385">
        <v>1221</v>
      </c>
      <c r="W47" s="382">
        <v>0</v>
      </c>
      <c r="X47" s="385">
        <v>0</v>
      </c>
      <c r="Y47" s="382">
        <v>19</v>
      </c>
      <c r="Z47" s="382">
        <v>3</v>
      </c>
      <c r="AA47" s="382">
        <v>0</v>
      </c>
      <c r="AB47" s="382">
        <v>67</v>
      </c>
      <c r="AC47" s="382">
        <v>11</v>
      </c>
      <c r="AD47" s="382">
        <v>5067</v>
      </c>
      <c r="AE47" s="382">
        <v>32</v>
      </c>
      <c r="AF47" s="382">
        <v>19</v>
      </c>
      <c r="AG47" s="382">
        <v>51</v>
      </c>
    </row>
    <row r="48" spans="1:33" x14ac:dyDescent="0.3">
      <c r="A48" s="381" t="s">
        <v>158</v>
      </c>
      <c r="B48" s="381" t="s">
        <v>159</v>
      </c>
      <c r="C48" s="382">
        <v>16279</v>
      </c>
      <c r="D48" s="382">
        <v>108</v>
      </c>
      <c r="E48" s="382">
        <v>597</v>
      </c>
      <c r="F48" s="382">
        <v>2023</v>
      </c>
      <c r="G48" s="382">
        <v>1192</v>
      </c>
      <c r="H48" s="382">
        <v>20199</v>
      </c>
      <c r="I48" s="382">
        <v>19007</v>
      </c>
      <c r="J48" s="382">
        <v>43</v>
      </c>
      <c r="K48" s="382">
        <v>117.82</v>
      </c>
      <c r="L48" s="382">
        <v>113.88</v>
      </c>
      <c r="M48" s="382">
        <v>11.67</v>
      </c>
      <c r="N48" s="382">
        <v>124.46</v>
      </c>
      <c r="O48" s="385">
        <v>13340</v>
      </c>
      <c r="P48" s="382">
        <v>111.8</v>
      </c>
      <c r="Q48" s="382">
        <v>101.98</v>
      </c>
      <c r="R48" s="382">
        <v>45.9</v>
      </c>
      <c r="S48" s="382">
        <v>155.34</v>
      </c>
      <c r="T48" s="385">
        <v>2080</v>
      </c>
      <c r="U48" s="382">
        <v>181.37</v>
      </c>
      <c r="V48" s="385">
        <v>1854</v>
      </c>
      <c r="W48" s="382">
        <v>0</v>
      </c>
      <c r="X48" s="385">
        <v>0</v>
      </c>
      <c r="Y48" s="382">
        <v>7</v>
      </c>
      <c r="Z48" s="382">
        <v>5</v>
      </c>
      <c r="AA48" s="382">
        <v>24</v>
      </c>
      <c r="AB48" s="382">
        <v>28</v>
      </c>
      <c r="AC48" s="382">
        <v>46</v>
      </c>
      <c r="AD48" s="382">
        <v>15386</v>
      </c>
      <c r="AE48" s="382">
        <v>167</v>
      </c>
      <c r="AF48" s="382">
        <v>89</v>
      </c>
      <c r="AG48" s="382">
        <v>256</v>
      </c>
    </row>
    <row r="49" spans="1:33" x14ac:dyDescent="0.3">
      <c r="A49" s="381" t="s">
        <v>160</v>
      </c>
      <c r="B49" s="381" t="s">
        <v>161</v>
      </c>
      <c r="C49" s="382">
        <v>3480</v>
      </c>
      <c r="D49" s="382">
        <v>0</v>
      </c>
      <c r="E49" s="382">
        <v>79</v>
      </c>
      <c r="F49" s="382">
        <v>1006</v>
      </c>
      <c r="G49" s="382">
        <v>450</v>
      </c>
      <c r="H49" s="382">
        <v>5015</v>
      </c>
      <c r="I49" s="382">
        <v>4565</v>
      </c>
      <c r="J49" s="382">
        <v>0</v>
      </c>
      <c r="K49" s="382">
        <v>94.22</v>
      </c>
      <c r="L49" s="382">
        <v>94.03</v>
      </c>
      <c r="M49" s="382">
        <v>4.87</v>
      </c>
      <c r="N49" s="382">
        <v>97.33</v>
      </c>
      <c r="O49" s="385">
        <v>3094</v>
      </c>
      <c r="P49" s="382">
        <v>86.46</v>
      </c>
      <c r="Q49" s="382">
        <v>86.69</v>
      </c>
      <c r="R49" s="382">
        <v>26.66</v>
      </c>
      <c r="S49" s="382">
        <v>113.1</v>
      </c>
      <c r="T49" s="385">
        <v>1043</v>
      </c>
      <c r="U49" s="382">
        <v>118.86</v>
      </c>
      <c r="V49" s="385">
        <v>347</v>
      </c>
      <c r="W49" s="382">
        <v>0</v>
      </c>
      <c r="X49" s="385">
        <v>0</v>
      </c>
      <c r="Y49" s="382">
        <v>0</v>
      </c>
      <c r="Z49" s="382">
        <v>9</v>
      </c>
      <c r="AA49" s="382">
        <v>3</v>
      </c>
      <c r="AB49" s="382">
        <v>15</v>
      </c>
      <c r="AC49" s="382">
        <v>10</v>
      </c>
      <c r="AD49" s="382">
        <v>3480</v>
      </c>
      <c r="AE49" s="382">
        <v>21</v>
      </c>
      <c r="AF49" s="382">
        <v>6</v>
      </c>
      <c r="AG49" s="382">
        <v>27</v>
      </c>
    </row>
    <row r="50" spans="1:33" x14ac:dyDescent="0.3">
      <c r="A50" s="381" t="s">
        <v>162</v>
      </c>
      <c r="B50" s="381" t="s">
        <v>163</v>
      </c>
      <c r="C50" s="382">
        <v>4831</v>
      </c>
      <c r="D50" s="382">
        <v>0</v>
      </c>
      <c r="E50" s="382">
        <v>107</v>
      </c>
      <c r="F50" s="382">
        <v>378</v>
      </c>
      <c r="G50" s="382">
        <v>399</v>
      </c>
      <c r="H50" s="382">
        <v>5715</v>
      </c>
      <c r="I50" s="382">
        <v>5316</v>
      </c>
      <c r="J50" s="382">
        <v>0</v>
      </c>
      <c r="K50" s="382">
        <v>116.17</v>
      </c>
      <c r="L50" s="382">
        <v>113.33</v>
      </c>
      <c r="M50" s="382">
        <v>9.07</v>
      </c>
      <c r="N50" s="382">
        <v>121.77</v>
      </c>
      <c r="O50" s="385">
        <v>3952</v>
      </c>
      <c r="P50" s="382">
        <v>103.66</v>
      </c>
      <c r="Q50" s="382">
        <v>93.25</v>
      </c>
      <c r="R50" s="382">
        <v>35.39</v>
      </c>
      <c r="S50" s="382">
        <v>138.46</v>
      </c>
      <c r="T50" s="385">
        <v>481</v>
      </c>
      <c r="U50" s="382">
        <v>177.08</v>
      </c>
      <c r="V50" s="385">
        <v>856</v>
      </c>
      <c r="W50" s="382">
        <v>0</v>
      </c>
      <c r="X50" s="385">
        <v>0</v>
      </c>
      <c r="Y50" s="382">
        <v>0</v>
      </c>
      <c r="Z50" s="382">
        <v>8</v>
      </c>
      <c r="AA50" s="382">
        <v>0</v>
      </c>
      <c r="AB50" s="382">
        <v>16</v>
      </c>
      <c r="AC50" s="382">
        <v>10</v>
      </c>
      <c r="AD50" s="382">
        <v>4831</v>
      </c>
      <c r="AE50" s="382">
        <v>45</v>
      </c>
      <c r="AF50" s="382">
        <v>7</v>
      </c>
      <c r="AG50" s="382">
        <v>52</v>
      </c>
    </row>
    <row r="51" spans="1:33" x14ac:dyDescent="0.3">
      <c r="A51" s="381" t="s">
        <v>164</v>
      </c>
      <c r="B51" s="381" t="s">
        <v>165</v>
      </c>
      <c r="C51" s="382">
        <v>1135</v>
      </c>
      <c r="D51" s="382">
        <v>0</v>
      </c>
      <c r="E51" s="382">
        <v>123</v>
      </c>
      <c r="F51" s="382">
        <v>108</v>
      </c>
      <c r="G51" s="382">
        <v>103</v>
      </c>
      <c r="H51" s="382">
        <v>1469</v>
      </c>
      <c r="I51" s="382">
        <v>1366</v>
      </c>
      <c r="J51" s="382">
        <v>5</v>
      </c>
      <c r="K51" s="382">
        <v>82.55</v>
      </c>
      <c r="L51" s="382">
        <v>79.98</v>
      </c>
      <c r="M51" s="382">
        <v>7.58</v>
      </c>
      <c r="N51" s="382">
        <v>88.96</v>
      </c>
      <c r="O51" s="385">
        <v>930</v>
      </c>
      <c r="P51" s="382">
        <v>101.49</v>
      </c>
      <c r="Q51" s="382">
        <v>73.27</v>
      </c>
      <c r="R51" s="382">
        <v>65.709999999999994</v>
      </c>
      <c r="S51" s="382">
        <v>166.88</v>
      </c>
      <c r="T51" s="385">
        <v>204</v>
      </c>
      <c r="U51" s="382">
        <v>100.46</v>
      </c>
      <c r="V51" s="385">
        <v>180</v>
      </c>
      <c r="W51" s="382">
        <v>204.71</v>
      </c>
      <c r="X51" s="385">
        <v>27</v>
      </c>
      <c r="Y51" s="382">
        <v>0</v>
      </c>
      <c r="Z51" s="382">
        <v>0</v>
      </c>
      <c r="AA51" s="382">
        <v>1</v>
      </c>
      <c r="AB51" s="382">
        <v>8</v>
      </c>
      <c r="AC51" s="382">
        <v>1</v>
      </c>
      <c r="AD51" s="382">
        <v>1135</v>
      </c>
      <c r="AE51" s="382">
        <v>7</v>
      </c>
      <c r="AF51" s="382">
        <v>2</v>
      </c>
      <c r="AG51" s="382">
        <v>9</v>
      </c>
    </row>
    <row r="52" spans="1:33" x14ac:dyDescent="0.3">
      <c r="A52" s="381" t="s">
        <v>779</v>
      </c>
      <c r="B52" s="381" t="s">
        <v>774</v>
      </c>
      <c r="C52" s="382">
        <v>25615</v>
      </c>
      <c r="D52" s="382">
        <v>3</v>
      </c>
      <c r="E52" s="382">
        <v>974</v>
      </c>
      <c r="F52" s="382">
        <v>3265</v>
      </c>
      <c r="G52" s="382">
        <v>2634</v>
      </c>
      <c r="H52" s="382">
        <v>32491</v>
      </c>
      <c r="I52" s="382">
        <v>29857</v>
      </c>
      <c r="J52" s="382">
        <v>142</v>
      </c>
      <c r="K52" s="382">
        <v>113.66</v>
      </c>
      <c r="L52" s="382">
        <v>113.19</v>
      </c>
      <c r="M52" s="382">
        <v>5.17</v>
      </c>
      <c r="N52" s="382">
        <v>117.12</v>
      </c>
      <c r="O52" s="385">
        <v>20837</v>
      </c>
      <c r="P52" s="382">
        <v>107.58</v>
      </c>
      <c r="Q52" s="382">
        <v>97.09</v>
      </c>
      <c r="R52" s="382">
        <v>29.98</v>
      </c>
      <c r="S52" s="382">
        <v>135.56</v>
      </c>
      <c r="T52" s="385">
        <v>3823</v>
      </c>
      <c r="U52" s="382">
        <v>172.48</v>
      </c>
      <c r="V52" s="385">
        <v>4170</v>
      </c>
      <c r="W52" s="382">
        <v>170.89</v>
      </c>
      <c r="X52" s="385">
        <v>70</v>
      </c>
      <c r="Y52" s="382">
        <v>15</v>
      </c>
      <c r="Z52" s="382">
        <v>46</v>
      </c>
      <c r="AA52" s="382">
        <v>30</v>
      </c>
      <c r="AB52" s="382">
        <v>155</v>
      </c>
      <c r="AC52" s="382">
        <v>55</v>
      </c>
      <c r="AD52" s="382">
        <v>25257</v>
      </c>
      <c r="AE52" s="382">
        <v>196</v>
      </c>
      <c r="AF52" s="382">
        <v>242</v>
      </c>
      <c r="AG52" s="382">
        <v>438</v>
      </c>
    </row>
    <row r="53" spans="1:33" x14ac:dyDescent="0.3">
      <c r="A53" s="381" t="s">
        <v>166</v>
      </c>
      <c r="B53" s="381" t="s">
        <v>167</v>
      </c>
      <c r="C53" s="382">
        <v>4651</v>
      </c>
      <c r="D53" s="382">
        <v>0</v>
      </c>
      <c r="E53" s="382">
        <v>360</v>
      </c>
      <c r="F53" s="382">
        <v>1452</v>
      </c>
      <c r="G53" s="382">
        <v>62</v>
      </c>
      <c r="H53" s="382">
        <v>6525</v>
      </c>
      <c r="I53" s="382">
        <v>6463</v>
      </c>
      <c r="J53" s="382">
        <v>3</v>
      </c>
      <c r="K53" s="382">
        <v>82.54</v>
      </c>
      <c r="L53" s="382">
        <v>79.069999999999993</v>
      </c>
      <c r="M53" s="382">
        <v>2.8</v>
      </c>
      <c r="N53" s="382">
        <v>85.15</v>
      </c>
      <c r="O53" s="385">
        <v>3799</v>
      </c>
      <c r="P53" s="382">
        <v>81.36</v>
      </c>
      <c r="Q53" s="382">
        <v>70.36</v>
      </c>
      <c r="R53" s="382">
        <v>37.35</v>
      </c>
      <c r="S53" s="382">
        <v>118.35</v>
      </c>
      <c r="T53" s="385">
        <v>1616</v>
      </c>
      <c r="U53" s="382">
        <v>98.92</v>
      </c>
      <c r="V53" s="385">
        <v>817</v>
      </c>
      <c r="W53" s="382">
        <v>265.08</v>
      </c>
      <c r="X53" s="385">
        <v>123</v>
      </c>
      <c r="Y53" s="382">
        <v>0</v>
      </c>
      <c r="Z53" s="382">
        <v>33</v>
      </c>
      <c r="AA53" s="382">
        <v>0</v>
      </c>
      <c r="AB53" s="382">
        <v>0</v>
      </c>
      <c r="AC53" s="382">
        <v>1</v>
      </c>
      <c r="AD53" s="382">
        <v>4618</v>
      </c>
      <c r="AE53" s="382">
        <v>45</v>
      </c>
      <c r="AF53" s="382">
        <v>11</v>
      </c>
      <c r="AG53" s="382">
        <v>56</v>
      </c>
    </row>
    <row r="54" spans="1:33" x14ac:dyDescent="0.3">
      <c r="A54" s="381" t="s">
        <v>168</v>
      </c>
      <c r="B54" s="381" t="s">
        <v>169</v>
      </c>
      <c r="C54" s="382">
        <v>3922</v>
      </c>
      <c r="D54" s="382">
        <v>12</v>
      </c>
      <c r="E54" s="382">
        <v>528</v>
      </c>
      <c r="F54" s="382">
        <v>588</v>
      </c>
      <c r="G54" s="382">
        <v>186</v>
      </c>
      <c r="H54" s="382">
        <v>5236</v>
      </c>
      <c r="I54" s="382">
        <v>5050</v>
      </c>
      <c r="J54" s="382">
        <v>1</v>
      </c>
      <c r="K54" s="382">
        <v>84.27</v>
      </c>
      <c r="L54" s="382">
        <v>82.88</v>
      </c>
      <c r="M54" s="382">
        <v>4.7300000000000004</v>
      </c>
      <c r="N54" s="382">
        <v>87.96</v>
      </c>
      <c r="O54" s="385">
        <v>3079</v>
      </c>
      <c r="P54" s="382">
        <v>91.58</v>
      </c>
      <c r="Q54" s="382">
        <v>77.849999999999994</v>
      </c>
      <c r="R54" s="382">
        <v>48.06</v>
      </c>
      <c r="S54" s="382">
        <v>135.5</v>
      </c>
      <c r="T54" s="385">
        <v>813</v>
      </c>
      <c r="U54" s="382">
        <v>107.24</v>
      </c>
      <c r="V54" s="385">
        <v>640</v>
      </c>
      <c r="W54" s="382">
        <v>127.86</v>
      </c>
      <c r="X54" s="385">
        <v>17</v>
      </c>
      <c r="Y54" s="382">
        <v>3</v>
      </c>
      <c r="Z54" s="382">
        <v>4</v>
      </c>
      <c r="AA54" s="382">
        <v>0</v>
      </c>
      <c r="AB54" s="382">
        <v>33</v>
      </c>
      <c r="AC54" s="382">
        <v>1</v>
      </c>
      <c r="AD54" s="382">
        <v>3634</v>
      </c>
      <c r="AE54" s="382">
        <v>28</v>
      </c>
      <c r="AF54" s="382">
        <v>15</v>
      </c>
      <c r="AG54" s="382">
        <v>43</v>
      </c>
    </row>
    <row r="55" spans="1:33" x14ac:dyDescent="0.3">
      <c r="A55" s="381" t="s">
        <v>170</v>
      </c>
      <c r="B55" s="381" t="s">
        <v>171</v>
      </c>
      <c r="C55" s="382">
        <v>12457</v>
      </c>
      <c r="D55" s="382">
        <v>0</v>
      </c>
      <c r="E55" s="382">
        <v>430</v>
      </c>
      <c r="F55" s="382">
        <v>1103</v>
      </c>
      <c r="G55" s="382">
        <v>274</v>
      </c>
      <c r="H55" s="382">
        <v>14264</v>
      </c>
      <c r="I55" s="382">
        <v>13990</v>
      </c>
      <c r="J55" s="382">
        <v>25</v>
      </c>
      <c r="K55" s="382">
        <v>80.13</v>
      </c>
      <c r="L55" s="382">
        <v>78.430000000000007</v>
      </c>
      <c r="M55" s="382">
        <v>5.66</v>
      </c>
      <c r="N55" s="382">
        <v>85.53</v>
      </c>
      <c r="O55" s="385">
        <v>11597</v>
      </c>
      <c r="P55" s="382">
        <v>88.82</v>
      </c>
      <c r="Q55" s="382">
        <v>75.790000000000006</v>
      </c>
      <c r="R55" s="382">
        <v>39.229999999999997</v>
      </c>
      <c r="S55" s="382">
        <v>127.76</v>
      </c>
      <c r="T55" s="385">
        <v>1325</v>
      </c>
      <c r="U55" s="382">
        <v>103.34</v>
      </c>
      <c r="V55" s="385">
        <v>786</v>
      </c>
      <c r="W55" s="382">
        <v>84.68</v>
      </c>
      <c r="X55" s="385">
        <v>6</v>
      </c>
      <c r="Y55" s="382">
        <v>0</v>
      </c>
      <c r="Z55" s="382">
        <v>36</v>
      </c>
      <c r="AA55" s="382">
        <v>5</v>
      </c>
      <c r="AB55" s="382">
        <v>46</v>
      </c>
      <c r="AC55" s="382">
        <v>3</v>
      </c>
      <c r="AD55" s="382">
        <v>12428</v>
      </c>
      <c r="AE55" s="382">
        <v>82</v>
      </c>
      <c r="AF55" s="382">
        <v>180</v>
      </c>
      <c r="AG55" s="382">
        <v>262</v>
      </c>
    </row>
    <row r="56" spans="1:33" x14ac:dyDescent="0.3">
      <c r="A56" s="381" t="s">
        <v>172</v>
      </c>
      <c r="B56" s="381" t="s">
        <v>173</v>
      </c>
      <c r="C56" s="382">
        <v>3860</v>
      </c>
      <c r="D56" s="382">
        <v>595</v>
      </c>
      <c r="E56" s="382">
        <v>467</v>
      </c>
      <c r="F56" s="382">
        <v>495</v>
      </c>
      <c r="G56" s="382">
        <v>695</v>
      </c>
      <c r="H56" s="382">
        <v>6112</v>
      </c>
      <c r="I56" s="382">
        <v>5417</v>
      </c>
      <c r="J56" s="382">
        <v>4</v>
      </c>
      <c r="K56" s="382">
        <v>111.15</v>
      </c>
      <c r="L56" s="382">
        <v>111.3</v>
      </c>
      <c r="M56" s="382">
        <v>9.68</v>
      </c>
      <c r="N56" s="382">
        <v>117.8</v>
      </c>
      <c r="O56" s="385">
        <v>2667</v>
      </c>
      <c r="P56" s="382">
        <v>99.09</v>
      </c>
      <c r="Q56" s="382">
        <v>92.26</v>
      </c>
      <c r="R56" s="382">
        <v>70.08</v>
      </c>
      <c r="S56" s="382">
        <v>168.52</v>
      </c>
      <c r="T56" s="385">
        <v>866</v>
      </c>
      <c r="U56" s="382">
        <v>158.65</v>
      </c>
      <c r="V56" s="385">
        <v>947</v>
      </c>
      <c r="W56" s="382">
        <v>281.39</v>
      </c>
      <c r="X56" s="385">
        <v>2</v>
      </c>
      <c r="Y56" s="382">
        <v>0</v>
      </c>
      <c r="Z56" s="382">
        <v>0</v>
      </c>
      <c r="AA56" s="382">
        <v>4</v>
      </c>
      <c r="AB56" s="382">
        <v>30</v>
      </c>
      <c r="AC56" s="382">
        <v>51</v>
      </c>
      <c r="AD56" s="382">
        <v>3843</v>
      </c>
      <c r="AE56" s="382">
        <v>74</v>
      </c>
      <c r="AF56" s="382">
        <v>7</v>
      </c>
      <c r="AG56" s="382">
        <v>81</v>
      </c>
    </row>
    <row r="57" spans="1:33" x14ac:dyDescent="0.3">
      <c r="A57" s="381" t="s">
        <v>174</v>
      </c>
      <c r="B57" s="381" t="s">
        <v>175</v>
      </c>
      <c r="C57" s="382">
        <v>8350</v>
      </c>
      <c r="D57" s="382">
        <v>992</v>
      </c>
      <c r="E57" s="382">
        <v>1509</v>
      </c>
      <c r="F57" s="382">
        <v>902</v>
      </c>
      <c r="G57" s="382">
        <v>553</v>
      </c>
      <c r="H57" s="382">
        <v>12306</v>
      </c>
      <c r="I57" s="382">
        <v>11753</v>
      </c>
      <c r="J57" s="382">
        <v>18</v>
      </c>
      <c r="K57" s="382">
        <v>136.88</v>
      </c>
      <c r="L57" s="382">
        <v>146.4</v>
      </c>
      <c r="M57" s="382">
        <v>15.46</v>
      </c>
      <c r="N57" s="382">
        <v>150.9</v>
      </c>
      <c r="O57" s="385">
        <v>6124</v>
      </c>
      <c r="P57" s="382">
        <v>114.37</v>
      </c>
      <c r="Q57" s="382">
        <v>115.03</v>
      </c>
      <c r="R57" s="382">
        <v>84.11</v>
      </c>
      <c r="S57" s="382">
        <v>197.1</v>
      </c>
      <c r="T57" s="385">
        <v>2207</v>
      </c>
      <c r="U57" s="382">
        <v>224.19</v>
      </c>
      <c r="V57" s="385">
        <v>520</v>
      </c>
      <c r="W57" s="382">
        <v>257.67</v>
      </c>
      <c r="X57" s="385">
        <v>60</v>
      </c>
      <c r="Y57" s="382">
        <v>1</v>
      </c>
      <c r="Z57" s="382">
        <v>0</v>
      </c>
      <c r="AA57" s="382">
        <v>8</v>
      </c>
      <c r="AB57" s="382">
        <v>15</v>
      </c>
      <c r="AC57" s="382">
        <v>18</v>
      </c>
      <c r="AD57" s="382">
        <v>6945</v>
      </c>
      <c r="AE57" s="382">
        <v>72</v>
      </c>
      <c r="AF57" s="382">
        <v>63</v>
      </c>
      <c r="AG57" s="382">
        <v>135</v>
      </c>
    </row>
    <row r="58" spans="1:33" x14ac:dyDescent="0.3">
      <c r="A58" s="381" t="s">
        <v>176</v>
      </c>
      <c r="B58" s="381" t="s">
        <v>177</v>
      </c>
      <c r="C58" s="382">
        <v>1947</v>
      </c>
      <c r="D58" s="382">
        <v>2</v>
      </c>
      <c r="E58" s="382">
        <v>241</v>
      </c>
      <c r="F58" s="382">
        <v>271</v>
      </c>
      <c r="G58" s="382">
        <v>297</v>
      </c>
      <c r="H58" s="382">
        <v>2758</v>
      </c>
      <c r="I58" s="382">
        <v>2461</v>
      </c>
      <c r="J58" s="382">
        <v>0</v>
      </c>
      <c r="K58" s="382">
        <v>93.5</v>
      </c>
      <c r="L58" s="382">
        <v>91.48</v>
      </c>
      <c r="M58" s="382">
        <v>5.22</v>
      </c>
      <c r="N58" s="382">
        <v>96.87</v>
      </c>
      <c r="O58" s="385">
        <v>1402</v>
      </c>
      <c r="P58" s="382">
        <v>102.69</v>
      </c>
      <c r="Q58" s="382">
        <v>81.62</v>
      </c>
      <c r="R58" s="382">
        <v>68.260000000000005</v>
      </c>
      <c r="S58" s="382">
        <v>170.76</v>
      </c>
      <c r="T58" s="385">
        <v>364</v>
      </c>
      <c r="U58" s="382">
        <v>120.64</v>
      </c>
      <c r="V58" s="385">
        <v>499</v>
      </c>
      <c r="W58" s="382">
        <v>225.81</v>
      </c>
      <c r="X58" s="385">
        <v>69</v>
      </c>
      <c r="Y58" s="382">
        <v>0</v>
      </c>
      <c r="Z58" s="382">
        <v>0</v>
      </c>
      <c r="AA58" s="382">
        <v>4</v>
      </c>
      <c r="AB58" s="382">
        <v>32</v>
      </c>
      <c r="AC58" s="382">
        <v>6</v>
      </c>
      <c r="AD58" s="382">
        <v>1924</v>
      </c>
      <c r="AE58" s="382">
        <v>34</v>
      </c>
      <c r="AF58" s="382">
        <v>7</v>
      </c>
      <c r="AG58" s="382">
        <v>41</v>
      </c>
    </row>
    <row r="59" spans="1:33" x14ac:dyDescent="0.3">
      <c r="A59" s="381" t="s">
        <v>178</v>
      </c>
      <c r="B59" s="381" t="s">
        <v>179</v>
      </c>
      <c r="C59" s="382">
        <v>2154</v>
      </c>
      <c r="D59" s="382">
        <v>0</v>
      </c>
      <c r="E59" s="382">
        <v>184</v>
      </c>
      <c r="F59" s="382">
        <v>380</v>
      </c>
      <c r="G59" s="382">
        <v>548</v>
      </c>
      <c r="H59" s="382">
        <v>3266</v>
      </c>
      <c r="I59" s="382">
        <v>2718</v>
      </c>
      <c r="J59" s="382">
        <v>0</v>
      </c>
      <c r="K59" s="382">
        <v>105.76</v>
      </c>
      <c r="L59" s="382">
        <v>104.71</v>
      </c>
      <c r="M59" s="382">
        <v>8.1</v>
      </c>
      <c r="N59" s="382">
        <v>112.57</v>
      </c>
      <c r="O59" s="385">
        <v>1380</v>
      </c>
      <c r="P59" s="382">
        <v>92.52</v>
      </c>
      <c r="Q59" s="382">
        <v>81.040000000000006</v>
      </c>
      <c r="R59" s="382">
        <v>53.31</v>
      </c>
      <c r="S59" s="382">
        <v>140.57</v>
      </c>
      <c r="T59" s="385">
        <v>537</v>
      </c>
      <c r="U59" s="382">
        <v>153</v>
      </c>
      <c r="V59" s="385">
        <v>479</v>
      </c>
      <c r="W59" s="382">
        <v>122.03</v>
      </c>
      <c r="X59" s="385">
        <v>6</v>
      </c>
      <c r="Y59" s="382">
        <v>0</v>
      </c>
      <c r="Z59" s="382">
        <v>0</v>
      </c>
      <c r="AA59" s="382">
        <v>1</v>
      </c>
      <c r="AB59" s="382">
        <v>29</v>
      </c>
      <c r="AC59" s="382">
        <v>7</v>
      </c>
      <c r="AD59" s="382">
        <v>1968</v>
      </c>
      <c r="AE59" s="382">
        <v>30</v>
      </c>
      <c r="AF59" s="382">
        <v>13</v>
      </c>
      <c r="AG59" s="382">
        <v>43</v>
      </c>
    </row>
    <row r="60" spans="1:33" x14ac:dyDescent="0.3">
      <c r="A60" s="381" t="s">
        <v>180</v>
      </c>
      <c r="B60" s="381" t="s">
        <v>181</v>
      </c>
      <c r="C60" s="382">
        <v>7272</v>
      </c>
      <c r="D60" s="382">
        <v>0</v>
      </c>
      <c r="E60" s="382">
        <v>302</v>
      </c>
      <c r="F60" s="382">
        <v>337</v>
      </c>
      <c r="G60" s="382">
        <v>302</v>
      </c>
      <c r="H60" s="382">
        <v>8213</v>
      </c>
      <c r="I60" s="382">
        <v>7911</v>
      </c>
      <c r="J60" s="382">
        <v>12</v>
      </c>
      <c r="K60" s="382">
        <v>83.93</v>
      </c>
      <c r="L60" s="382">
        <v>80.41</v>
      </c>
      <c r="M60" s="382">
        <v>4.38</v>
      </c>
      <c r="N60" s="382">
        <v>87.21</v>
      </c>
      <c r="O60" s="385">
        <v>5686</v>
      </c>
      <c r="P60" s="382">
        <v>100.31</v>
      </c>
      <c r="Q60" s="382">
        <v>78.45</v>
      </c>
      <c r="R60" s="382">
        <v>58.96</v>
      </c>
      <c r="S60" s="382">
        <v>156.36000000000001</v>
      </c>
      <c r="T60" s="385">
        <v>546</v>
      </c>
      <c r="U60" s="382">
        <v>95.28</v>
      </c>
      <c r="V60" s="385">
        <v>1556</v>
      </c>
      <c r="W60" s="382">
        <v>0</v>
      </c>
      <c r="X60" s="385">
        <v>0</v>
      </c>
      <c r="Y60" s="382">
        <v>0</v>
      </c>
      <c r="Z60" s="382">
        <v>29</v>
      </c>
      <c r="AA60" s="382">
        <v>6</v>
      </c>
      <c r="AB60" s="382">
        <v>11</v>
      </c>
      <c r="AC60" s="382">
        <v>2</v>
      </c>
      <c r="AD60" s="382">
        <v>7257</v>
      </c>
      <c r="AE60" s="382">
        <v>75</v>
      </c>
      <c r="AF60" s="382">
        <v>38</v>
      </c>
      <c r="AG60" s="382">
        <v>113</v>
      </c>
    </row>
    <row r="61" spans="1:33" x14ac:dyDescent="0.3">
      <c r="A61" s="381" t="s">
        <v>182</v>
      </c>
      <c r="B61" s="381" t="s">
        <v>183</v>
      </c>
      <c r="C61" s="382">
        <v>458</v>
      </c>
      <c r="D61" s="382">
        <v>0</v>
      </c>
      <c r="E61" s="382">
        <v>72</v>
      </c>
      <c r="F61" s="382">
        <v>73</v>
      </c>
      <c r="G61" s="382">
        <v>93</v>
      </c>
      <c r="H61" s="382">
        <v>696</v>
      </c>
      <c r="I61" s="382">
        <v>603</v>
      </c>
      <c r="J61" s="382">
        <v>8</v>
      </c>
      <c r="K61" s="382">
        <v>109.9</v>
      </c>
      <c r="L61" s="382">
        <v>107.72</v>
      </c>
      <c r="M61" s="382">
        <v>8.48</v>
      </c>
      <c r="N61" s="382">
        <v>114.76</v>
      </c>
      <c r="O61" s="385">
        <v>366</v>
      </c>
      <c r="P61" s="382">
        <v>94.64</v>
      </c>
      <c r="Q61" s="382">
        <v>84.12</v>
      </c>
      <c r="R61" s="382">
        <v>71.58</v>
      </c>
      <c r="S61" s="382">
        <v>164.52</v>
      </c>
      <c r="T61" s="385">
        <v>126</v>
      </c>
      <c r="U61" s="382">
        <v>153.46</v>
      </c>
      <c r="V61" s="385">
        <v>76</v>
      </c>
      <c r="W61" s="382">
        <v>0</v>
      </c>
      <c r="X61" s="385">
        <v>0</v>
      </c>
      <c r="Y61" s="382">
        <v>0</v>
      </c>
      <c r="Z61" s="382">
        <v>0</v>
      </c>
      <c r="AA61" s="382">
        <v>0</v>
      </c>
      <c r="AB61" s="382">
        <v>0</v>
      </c>
      <c r="AC61" s="382">
        <v>1</v>
      </c>
      <c r="AD61" s="382">
        <v>458</v>
      </c>
      <c r="AE61" s="382">
        <v>1</v>
      </c>
      <c r="AF61" s="382">
        <v>0</v>
      </c>
      <c r="AG61" s="382">
        <v>1</v>
      </c>
    </row>
    <row r="62" spans="1:33" x14ac:dyDescent="0.3">
      <c r="A62" s="381" t="s">
        <v>184</v>
      </c>
      <c r="B62" s="381" t="s">
        <v>185</v>
      </c>
      <c r="C62" s="382">
        <v>10551</v>
      </c>
      <c r="D62" s="382">
        <v>0</v>
      </c>
      <c r="E62" s="382">
        <v>285</v>
      </c>
      <c r="F62" s="382">
        <v>813</v>
      </c>
      <c r="G62" s="382">
        <v>2353</v>
      </c>
      <c r="H62" s="382">
        <v>14002</v>
      </c>
      <c r="I62" s="382">
        <v>11649</v>
      </c>
      <c r="J62" s="382">
        <v>23</v>
      </c>
      <c r="K62" s="382">
        <v>104.75</v>
      </c>
      <c r="L62" s="382">
        <v>105.14</v>
      </c>
      <c r="M62" s="382">
        <v>4.8</v>
      </c>
      <c r="N62" s="382">
        <v>106.16</v>
      </c>
      <c r="O62" s="385">
        <v>8392</v>
      </c>
      <c r="P62" s="382">
        <v>99.7</v>
      </c>
      <c r="Q62" s="382">
        <v>87.12</v>
      </c>
      <c r="R62" s="382">
        <v>34.520000000000003</v>
      </c>
      <c r="S62" s="382">
        <v>130.1</v>
      </c>
      <c r="T62" s="385">
        <v>1022</v>
      </c>
      <c r="U62" s="382">
        <v>157.38999999999999</v>
      </c>
      <c r="V62" s="385">
        <v>2086</v>
      </c>
      <c r="W62" s="382">
        <v>126.04</v>
      </c>
      <c r="X62" s="385">
        <v>50</v>
      </c>
      <c r="Y62" s="382">
        <v>76</v>
      </c>
      <c r="Z62" s="382">
        <v>7</v>
      </c>
      <c r="AA62" s="382">
        <v>2</v>
      </c>
      <c r="AB62" s="382">
        <v>312</v>
      </c>
      <c r="AC62" s="382">
        <v>39</v>
      </c>
      <c r="AD62" s="382">
        <v>10550</v>
      </c>
      <c r="AE62" s="382">
        <v>125</v>
      </c>
      <c r="AF62" s="382">
        <v>30</v>
      </c>
      <c r="AG62" s="382">
        <v>155</v>
      </c>
    </row>
    <row r="63" spans="1:33" x14ac:dyDescent="0.3">
      <c r="A63" s="381" t="s">
        <v>186</v>
      </c>
      <c r="B63" s="381" t="s">
        <v>187</v>
      </c>
      <c r="C63" s="382">
        <v>3297</v>
      </c>
      <c r="D63" s="382">
        <v>0</v>
      </c>
      <c r="E63" s="382">
        <v>402</v>
      </c>
      <c r="F63" s="382">
        <v>254</v>
      </c>
      <c r="G63" s="382">
        <v>696</v>
      </c>
      <c r="H63" s="382">
        <v>4649</v>
      </c>
      <c r="I63" s="382">
        <v>3953</v>
      </c>
      <c r="J63" s="382">
        <v>3</v>
      </c>
      <c r="K63" s="382">
        <v>94.08</v>
      </c>
      <c r="L63" s="382">
        <v>91.48</v>
      </c>
      <c r="M63" s="382">
        <v>6.81</v>
      </c>
      <c r="N63" s="382">
        <v>99.38</v>
      </c>
      <c r="O63" s="385">
        <v>2238</v>
      </c>
      <c r="P63" s="382">
        <v>106.76</v>
      </c>
      <c r="Q63" s="382">
        <v>83.33</v>
      </c>
      <c r="R63" s="382">
        <v>67.08</v>
      </c>
      <c r="S63" s="382">
        <v>171.5</v>
      </c>
      <c r="T63" s="385">
        <v>489</v>
      </c>
      <c r="U63" s="382">
        <v>115.19</v>
      </c>
      <c r="V63" s="385">
        <v>954</v>
      </c>
      <c r="W63" s="382">
        <v>119.58</v>
      </c>
      <c r="X63" s="385">
        <v>69</v>
      </c>
      <c r="Y63" s="382">
        <v>4</v>
      </c>
      <c r="Z63" s="382">
        <v>1</v>
      </c>
      <c r="AA63" s="382">
        <v>0</v>
      </c>
      <c r="AB63" s="382">
        <v>21</v>
      </c>
      <c r="AC63" s="382">
        <v>29</v>
      </c>
      <c r="AD63" s="382">
        <v>3297</v>
      </c>
      <c r="AE63" s="382">
        <v>16</v>
      </c>
      <c r="AF63" s="382">
        <v>31</v>
      </c>
      <c r="AG63" s="382">
        <v>47</v>
      </c>
    </row>
    <row r="64" spans="1:33" x14ac:dyDescent="0.3">
      <c r="A64" s="381" t="s">
        <v>188</v>
      </c>
      <c r="B64" s="381" t="s">
        <v>189</v>
      </c>
      <c r="C64" s="382">
        <v>9901</v>
      </c>
      <c r="D64" s="382">
        <v>250</v>
      </c>
      <c r="E64" s="382">
        <v>348</v>
      </c>
      <c r="F64" s="382">
        <v>288</v>
      </c>
      <c r="G64" s="382">
        <v>875</v>
      </c>
      <c r="H64" s="382">
        <v>11662</v>
      </c>
      <c r="I64" s="382">
        <v>10787</v>
      </c>
      <c r="J64" s="382">
        <v>7</v>
      </c>
      <c r="K64" s="382">
        <v>104.34</v>
      </c>
      <c r="L64" s="382">
        <v>102.3</v>
      </c>
      <c r="M64" s="382">
        <v>11.21</v>
      </c>
      <c r="N64" s="382">
        <v>109.69</v>
      </c>
      <c r="O64" s="385">
        <v>8611</v>
      </c>
      <c r="P64" s="382">
        <v>98.4</v>
      </c>
      <c r="Q64" s="382">
        <v>91.99</v>
      </c>
      <c r="R64" s="382">
        <v>87.73</v>
      </c>
      <c r="S64" s="382">
        <v>181.96</v>
      </c>
      <c r="T64" s="385">
        <v>526</v>
      </c>
      <c r="U64" s="382">
        <v>154.25</v>
      </c>
      <c r="V64" s="385">
        <v>1152</v>
      </c>
      <c r="W64" s="382">
        <v>0</v>
      </c>
      <c r="X64" s="385">
        <v>0</v>
      </c>
      <c r="Y64" s="382">
        <v>52</v>
      </c>
      <c r="Z64" s="382">
        <v>4</v>
      </c>
      <c r="AA64" s="382">
        <v>0</v>
      </c>
      <c r="AB64" s="382">
        <v>101</v>
      </c>
      <c r="AC64" s="382">
        <v>19</v>
      </c>
      <c r="AD64" s="382">
        <v>9871</v>
      </c>
      <c r="AE64" s="382">
        <v>122</v>
      </c>
      <c r="AF64" s="382">
        <v>67</v>
      </c>
      <c r="AG64" s="382">
        <v>189</v>
      </c>
    </row>
    <row r="65" spans="1:33" x14ac:dyDescent="0.3">
      <c r="A65" s="381" t="s">
        <v>190</v>
      </c>
      <c r="B65" s="381" t="s">
        <v>191</v>
      </c>
      <c r="C65" s="382">
        <v>1872</v>
      </c>
      <c r="D65" s="382">
        <v>0</v>
      </c>
      <c r="E65" s="382">
        <v>414</v>
      </c>
      <c r="F65" s="382">
        <v>199</v>
      </c>
      <c r="G65" s="382">
        <v>368</v>
      </c>
      <c r="H65" s="382">
        <v>2853</v>
      </c>
      <c r="I65" s="382">
        <v>2485</v>
      </c>
      <c r="J65" s="382">
        <v>0</v>
      </c>
      <c r="K65" s="382">
        <v>97.93</v>
      </c>
      <c r="L65" s="382">
        <v>93.68</v>
      </c>
      <c r="M65" s="382">
        <v>6.31</v>
      </c>
      <c r="N65" s="382">
        <v>102.98</v>
      </c>
      <c r="O65" s="385">
        <v>1457</v>
      </c>
      <c r="P65" s="382">
        <v>87.93</v>
      </c>
      <c r="Q65" s="382">
        <v>84.37</v>
      </c>
      <c r="R65" s="382">
        <v>65.34</v>
      </c>
      <c r="S65" s="382">
        <v>146.69</v>
      </c>
      <c r="T65" s="385">
        <v>456</v>
      </c>
      <c r="U65" s="382">
        <v>137.63</v>
      </c>
      <c r="V65" s="385">
        <v>328</v>
      </c>
      <c r="W65" s="382">
        <v>242.36</v>
      </c>
      <c r="X65" s="385">
        <v>110</v>
      </c>
      <c r="Y65" s="382">
        <v>0</v>
      </c>
      <c r="Z65" s="382">
        <v>0</v>
      </c>
      <c r="AA65" s="382">
        <v>30</v>
      </c>
      <c r="AB65" s="382">
        <v>2</v>
      </c>
      <c r="AC65" s="382">
        <v>10</v>
      </c>
      <c r="AD65" s="382">
        <v>1715</v>
      </c>
      <c r="AE65" s="382">
        <v>26</v>
      </c>
      <c r="AF65" s="382">
        <v>53</v>
      </c>
      <c r="AG65" s="382">
        <v>79</v>
      </c>
    </row>
    <row r="66" spans="1:33" x14ac:dyDescent="0.3">
      <c r="A66" s="381" t="s">
        <v>192</v>
      </c>
      <c r="B66" s="381" t="s">
        <v>193</v>
      </c>
      <c r="C66" s="382">
        <v>7194</v>
      </c>
      <c r="D66" s="382">
        <v>7</v>
      </c>
      <c r="E66" s="382">
        <v>228</v>
      </c>
      <c r="F66" s="382">
        <v>1510</v>
      </c>
      <c r="G66" s="382">
        <v>1117</v>
      </c>
      <c r="H66" s="382">
        <v>10056</v>
      </c>
      <c r="I66" s="382">
        <v>8939</v>
      </c>
      <c r="J66" s="382">
        <v>10</v>
      </c>
      <c r="K66" s="382">
        <v>107.82</v>
      </c>
      <c r="L66" s="382">
        <v>107.71</v>
      </c>
      <c r="M66" s="382">
        <v>6.35</v>
      </c>
      <c r="N66" s="382">
        <v>109.89</v>
      </c>
      <c r="O66" s="385">
        <v>5081</v>
      </c>
      <c r="P66" s="382">
        <v>100.03</v>
      </c>
      <c r="Q66" s="382">
        <v>99.25</v>
      </c>
      <c r="R66" s="382">
        <v>26.23</v>
      </c>
      <c r="S66" s="382">
        <v>125.3</v>
      </c>
      <c r="T66" s="385">
        <v>1626</v>
      </c>
      <c r="U66" s="382">
        <v>166.28</v>
      </c>
      <c r="V66" s="385">
        <v>2026</v>
      </c>
      <c r="W66" s="382">
        <v>153.37</v>
      </c>
      <c r="X66" s="385">
        <v>73</v>
      </c>
      <c r="Y66" s="382">
        <v>18</v>
      </c>
      <c r="Z66" s="382">
        <v>13</v>
      </c>
      <c r="AA66" s="382">
        <v>2</v>
      </c>
      <c r="AB66" s="382">
        <v>69</v>
      </c>
      <c r="AC66" s="382">
        <v>31</v>
      </c>
      <c r="AD66" s="382">
        <v>7042</v>
      </c>
      <c r="AE66" s="382">
        <v>28</v>
      </c>
      <c r="AF66" s="382">
        <v>52</v>
      </c>
      <c r="AG66" s="382">
        <v>80</v>
      </c>
    </row>
    <row r="67" spans="1:33" x14ac:dyDescent="0.3">
      <c r="A67" s="381" t="s">
        <v>194</v>
      </c>
      <c r="B67" s="381" t="s">
        <v>195</v>
      </c>
      <c r="C67" s="382">
        <v>17876</v>
      </c>
      <c r="D67" s="382">
        <v>0</v>
      </c>
      <c r="E67" s="382">
        <v>858</v>
      </c>
      <c r="F67" s="382">
        <v>2824</v>
      </c>
      <c r="G67" s="382">
        <v>1849</v>
      </c>
      <c r="H67" s="382">
        <v>23407</v>
      </c>
      <c r="I67" s="382">
        <v>21558</v>
      </c>
      <c r="J67" s="382">
        <v>18</v>
      </c>
      <c r="K67" s="382">
        <v>91.59</v>
      </c>
      <c r="L67" s="382">
        <v>90.46</v>
      </c>
      <c r="M67" s="382">
        <v>6.11</v>
      </c>
      <c r="N67" s="382">
        <v>94.72</v>
      </c>
      <c r="O67" s="385">
        <v>13302</v>
      </c>
      <c r="P67" s="382">
        <v>92.09</v>
      </c>
      <c r="Q67" s="382">
        <v>82.89</v>
      </c>
      <c r="R67" s="382">
        <v>31.81</v>
      </c>
      <c r="S67" s="382">
        <v>116.01</v>
      </c>
      <c r="T67" s="385">
        <v>3211</v>
      </c>
      <c r="U67" s="382">
        <v>113.77</v>
      </c>
      <c r="V67" s="385">
        <v>4429</v>
      </c>
      <c r="W67" s="382">
        <v>109.43</v>
      </c>
      <c r="X67" s="385">
        <v>163</v>
      </c>
      <c r="Y67" s="382">
        <v>79</v>
      </c>
      <c r="Z67" s="382">
        <v>36</v>
      </c>
      <c r="AA67" s="382">
        <v>7</v>
      </c>
      <c r="AB67" s="382">
        <v>276</v>
      </c>
      <c r="AC67" s="382">
        <v>37</v>
      </c>
      <c r="AD67" s="382">
        <v>17781</v>
      </c>
      <c r="AE67" s="382">
        <v>124</v>
      </c>
      <c r="AF67" s="382">
        <v>83</v>
      </c>
      <c r="AG67" s="382">
        <v>207</v>
      </c>
    </row>
    <row r="68" spans="1:33" x14ac:dyDescent="0.3">
      <c r="A68" s="381" t="s">
        <v>196</v>
      </c>
      <c r="B68" s="381" t="s">
        <v>197</v>
      </c>
      <c r="C68" s="382">
        <v>14958</v>
      </c>
      <c r="D68" s="382">
        <v>5</v>
      </c>
      <c r="E68" s="382">
        <v>836</v>
      </c>
      <c r="F68" s="382">
        <v>2896</v>
      </c>
      <c r="G68" s="382">
        <v>2001</v>
      </c>
      <c r="H68" s="382">
        <v>20696</v>
      </c>
      <c r="I68" s="382">
        <v>18695</v>
      </c>
      <c r="J68" s="382">
        <v>6</v>
      </c>
      <c r="K68" s="382">
        <v>94.75</v>
      </c>
      <c r="L68" s="382">
        <v>96.52</v>
      </c>
      <c r="M68" s="382">
        <v>4.84</v>
      </c>
      <c r="N68" s="382">
        <v>96.63</v>
      </c>
      <c r="O68" s="385">
        <v>12023</v>
      </c>
      <c r="P68" s="382">
        <v>94.76</v>
      </c>
      <c r="Q68" s="382">
        <v>90.22</v>
      </c>
      <c r="R68" s="382">
        <v>37.08</v>
      </c>
      <c r="S68" s="382">
        <v>121.66</v>
      </c>
      <c r="T68" s="385">
        <v>3016</v>
      </c>
      <c r="U68" s="382">
        <v>116.65</v>
      </c>
      <c r="V68" s="385">
        <v>2603</v>
      </c>
      <c r="W68" s="382">
        <v>160.44999999999999</v>
      </c>
      <c r="X68" s="385">
        <v>431</v>
      </c>
      <c r="Y68" s="382">
        <v>14</v>
      </c>
      <c r="Z68" s="382">
        <v>32</v>
      </c>
      <c r="AA68" s="382">
        <v>12</v>
      </c>
      <c r="AB68" s="382">
        <v>125</v>
      </c>
      <c r="AC68" s="382">
        <v>40</v>
      </c>
      <c r="AD68" s="382">
        <v>14778</v>
      </c>
      <c r="AE68" s="382">
        <v>90</v>
      </c>
      <c r="AF68" s="382">
        <v>120</v>
      </c>
      <c r="AG68" s="382">
        <v>210</v>
      </c>
    </row>
    <row r="69" spans="1:33" x14ac:dyDescent="0.3">
      <c r="A69" s="381" t="s">
        <v>198</v>
      </c>
      <c r="B69" s="381" t="s">
        <v>199</v>
      </c>
      <c r="C69" s="382">
        <v>870</v>
      </c>
      <c r="D69" s="382">
        <v>10</v>
      </c>
      <c r="E69" s="382">
        <v>178</v>
      </c>
      <c r="F69" s="382">
        <v>496</v>
      </c>
      <c r="G69" s="382">
        <v>126</v>
      </c>
      <c r="H69" s="382">
        <v>1680</v>
      </c>
      <c r="I69" s="382">
        <v>1554</v>
      </c>
      <c r="J69" s="382">
        <v>0</v>
      </c>
      <c r="K69" s="382">
        <v>89.36</v>
      </c>
      <c r="L69" s="382">
        <v>86.28</v>
      </c>
      <c r="M69" s="382">
        <v>5.38</v>
      </c>
      <c r="N69" s="382">
        <v>91.74</v>
      </c>
      <c r="O69" s="385">
        <v>639</v>
      </c>
      <c r="P69" s="382">
        <v>95.83</v>
      </c>
      <c r="Q69" s="382">
        <v>83.31</v>
      </c>
      <c r="R69" s="382">
        <v>26.82</v>
      </c>
      <c r="S69" s="382">
        <v>121.97</v>
      </c>
      <c r="T69" s="385">
        <v>591</v>
      </c>
      <c r="U69" s="382">
        <v>111.46</v>
      </c>
      <c r="V69" s="385">
        <v>128</v>
      </c>
      <c r="W69" s="382">
        <v>303.77</v>
      </c>
      <c r="X69" s="385">
        <v>25</v>
      </c>
      <c r="Y69" s="382">
        <v>117</v>
      </c>
      <c r="Z69" s="382">
        <v>0</v>
      </c>
      <c r="AA69" s="382">
        <v>8</v>
      </c>
      <c r="AB69" s="382">
        <v>22</v>
      </c>
      <c r="AC69" s="382">
        <v>3</v>
      </c>
      <c r="AD69" s="382">
        <v>766</v>
      </c>
      <c r="AE69" s="382">
        <v>4</v>
      </c>
      <c r="AF69" s="382">
        <v>2</v>
      </c>
      <c r="AG69" s="382">
        <v>6</v>
      </c>
    </row>
    <row r="70" spans="1:33" x14ac:dyDescent="0.3">
      <c r="A70" s="381" t="s">
        <v>200</v>
      </c>
      <c r="B70" s="381" t="s">
        <v>201</v>
      </c>
      <c r="C70" s="382">
        <v>7532</v>
      </c>
      <c r="D70" s="382">
        <v>0</v>
      </c>
      <c r="E70" s="382">
        <v>165</v>
      </c>
      <c r="F70" s="382">
        <v>767</v>
      </c>
      <c r="G70" s="382">
        <v>819</v>
      </c>
      <c r="H70" s="382">
        <v>9283</v>
      </c>
      <c r="I70" s="382">
        <v>8464</v>
      </c>
      <c r="J70" s="382">
        <v>20</v>
      </c>
      <c r="K70" s="382">
        <v>108.43</v>
      </c>
      <c r="L70" s="382">
        <v>108.78</v>
      </c>
      <c r="M70" s="382">
        <v>7.69</v>
      </c>
      <c r="N70" s="382">
        <v>112.04</v>
      </c>
      <c r="O70" s="385">
        <v>6250</v>
      </c>
      <c r="P70" s="382">
        <v>97.56</v>
      </c>
      <c r="Q70" s="382">
        <v>90.9</v>
      </c>
      <c r="R70" s="382">
        <v>32.799999999999997</v>
      </c>
      <c r="S70" s="382">
        <v>128.54</v>
      </c>
      <c r="T70" s="385">
        <v>703</v>
      </c>
      <c r="U70" s="382">
        <v>169.87</v>
      </c>
      <c r="V70" s="385">
        <v>1231</v>
      </c>
      <c r="W70" s="382">
        <v>152.06</v>
      </c>
      <c r="X70" s="385">
        <v>4</v>
      </c>
      <c r="Y70" s="382">
        <v>27</v>
      </c>
      <c r="Z70" s="382">
        <v>7</v>
      </c>
      <c r="AA70" s="382">
        <v>6</v>
      </c>
      <c r="AB70" s="382">
        <v>101</v>
      </c>
      <c r="AC70" s="382">
        <v>22</v>
      </c>
      <c r="AD70" s="382">
        <v>7510</v>
      </c>
      <c r="AE70" s="382">
        <v>70</v>
      </c>
      <c r="AF70" s="382">
        <v>9</v>
      </c>
      <c r="AG70" s="382">
        <v>79</v>
      </c>
    </row>
    <row r="71" spans="1:33" x14ac:dyDescent="0.3">
      <c r="A71" s="381" t="s">
        <v>202</v>
      </c>
      <c r="B71" s="381" t="s">
        <v>203</v>
      </c>
      <c r="C71" s="382">
        <v>6079</v>
      </c>
      <c r="D71" s="382">
        <v>0</v>
      </c>
      <c r="E71" s="382">
        <v>375</v>
      </c>
      <c r="F71" s="382">
        <v>654</v>
      </c>
      <c r="G71" s="382">
        <v>308</v>
      </c>
      <c r="H71" s="382">
        <v>7416</v>
      </c>
      <c r="I71" s="382">
        <v>7108</v>
      </c>
      <c r="J71" s="382">
        <v>84</v>
      </c>
      <c r="K71" s="382">
        <v>82.94</v>
      </c>
      <c r="L71" s="382">
        <v>80.150000000000006</v>
      </c>
      <c r="M71" s="382">
        <v>5.96</v>
      </c>
      <c r="N71" s="382">
        <v>87.34</v>
      </c>
      <c r="O71" s="385">
        <v>5074</v>
      </c>
      <c r="P71" s="382">
        <v>87.43</v>
      </c>
      <c r="Q71" s="382">
        <v>71.44</v>
      </c>
      <c r="R71" s="382">
        <v>31.01</v>
      </c>
      <c r="S71" s="382">
        <v>116.65</v>
      </c>
      <c r="T71" s="385">
        <v>866</v>
      </c>
      <c r="U71" s="382">
        <v>105.81</v>
      </c>
      <c r="V71" s="385">
        <v>965</v>
      </c>
      <c r="W71" s="382">
        <v>0</v>
      </c>
      <c r="X71" s="385">
        <v>0</v>
      </c>
      <c r="Y71" s="382">
        <v>6</v>
      </c>
      <c r="Z71" s="382">
        <v>6</v>
      </c>
      <c r="AA71" s="382">
        <v>0</v>
      </c>
      <c r="AB71" s="382">
        <v>10</v>
      </c>
      <c r="AC71" s="382">
        <v>4</v>
      </c>
      <c r="AD71" s="382">
        <v>6004</v>
      </c>
      <c r="AE71" s="382">
        <v>48</v>
      </c>
      <c r="AF71" s="382">
        <v>5</v>
      </c>
      <c r="AG71" s="382">
        <v>53</v>
      </c>
    </row>
    <row r="72" spans="1:33" x14ac:dyDescent="0.3">
      <c r="A72" s="381" t="s">
        <v>204</v>
      </c>
      <c r="B72" s="381" t="s">
        <v>205</v>
      </c>
      <c r="C72" s="382">
        <v>194</v>
      </c>
      <c r="D72" s="382">
        <v>0</v>
      </c>
      <c r="E72" s="382">
        <v>17</v>
      </c>
      <c r="F72" s="382">
        <v>19</v>
      </c>
      <c r="G72" s="382">
        <v>0</v>
      </c>
      <c r="H72" s="382">
        <v>230</v>
      </c>
      <c r="I72" s="382">
        <v>230</v>
      </c>
      <c r="J72" s="382">
        <v>0</v>
      </c>
      <c r="K72" s="382">
        <v>130.65</v>
      </c>
      <c r="L72" s="382">
        <v>132.4</v>
      </c>
      <c r="M72" s="382">
        <v>10.19</v>
      </c>
      <c r="N72" s="382">
        <v>140.83000000000001</v>
      </c>
      <c r="O72" s="385">
        <v>160</v>
      </c>
      <c r="P72" s="382">
        <v>118.51</v>
      </c>
      <c r="Q72" s="382">
        <v>115.42</v>
      </c>
      <c r="R72" s="382">
        <v>184.12</v>
      </c>
      <c r="S72" s="382">
        <v>302.63</v>
      </c>
      <c r="T72" s="385">
        <v>36</v>
      </c>
      <c r="U72" s="382">
        <v>213.55</v>
      </c>
      <c r="V72" s="385">
        <v>34</v>
      </c>
      <c r="W72" s="382">
        <v>0</v>
      </c>
      <c r="X72" s="385">
        <v>0</v>
      </c>
      <c r="Y72" s="382">
        <v>0</v>
      </c>
      <c r="Z72" s="382">
        <v>0</v>
      </c>
      <c r="AA72" s="382">
        <v>0</v>
      </c>
      <c r="AB72" s="382">
        <v>0</v>
      </c>
      <c r="AC72" s="382">
        <v>0</v>
      </c>
      <c r="AD72" s="382">
        <v>194</v>
      </c>
      <c r="AE72" s="382">
        <v>2</v>
      </c>
      <c r="AF72" s="382">
        <v>0</v>
      </c>
      <c r="AG72" s="382">
        <v>2</v>
      </c>
    </row>
    <row r="73" spans="1:33" x14ac:dyDescent="0.3">
      <c r="A73" s="381" t="s">
        <v>206</v>
      </c>
      <c r="B73" s="381" t="s">
        <v>207</v>
      </c>
      <c r="C73" s="382">
        <v>4320</v>
      </c>
      <c r="D73" s="382">
        <v>135</v>
      </c>
      <c r="E73" s="382">
        <v>588</v>
      </c>
      <c r="F73" s="382">
        <v>357</v>
      </c>
      <c r="G73" s="382">
        <v>365</v>
      </c>
      <c r="H73" s="382">
        <v>5765</v>
      </c>
      <c r="I73" s="382">
        <v>5400</v>
      </c>
      <c r="J73" s="382">
        <v>8</v>
      </c>
      <c r="K73" s="382">
        <v>105.96</v>
      </c>
      <c r="L73" s="382">
        <v>103.91</v>
      </c>
      <c r="M73" s="382">
        <v>6.23</v>
      </c>
      <c r="N73" s="382">
        <v>110.97</v>
      </c>
      <c r="O73" s="385">
        <v>2731</v>
      </c>
      <c r="P73" s="382">
        <v>106.31</v>
      </c>
      <c r="Q73" s="382">
        <v>87.84</v>
      </c>
      <c r="R73" s="382">
        <v>48.43</v>
      </c>
      <c r="S73" s="382">
        <v>149.69999999999999</v>
      </c>
      <c r="T73" s="385">
        <v>644</v>
      </c>
      <c r="U73" s="382">
        <v>141.66</v>
      </c>
      <c r="V73" s="385">
        <v>1201</v>
      </c>
      <c r="W73" s="382">
        <v>150.36000000000001</v>
      </c>
      <c r="X73" s="385">
        <v>34</v>
      </c>
      <c r="Y73" s="382">
        <v>0</v>
      </c>
      <c r="Z73" s="382">
        <v>1</v>
      </c>
      <c r="AA73" s="382">
        <v>13</v>
      </c>
      <c r="AB73" s="382">
        <v>9</v>
      </c>
      <c r="AC73" s="382">
        <v>6</v>
      </c>
      <c r="AD73" s="382">
        <v>4253</v>
      </c>
      <c r="AE73" s="382">
        <v>43</v>
      </c>
      <c r="AF73" s="382">
        <v>42</v>
      </c>
      <c r="AG73" s="382">
        <v>85</v>
      </c>
    </row>
    <row r="74" spans="1:33" x14ac:dyDescent="0.3">
      <c r="A74" s="381" t="s">
        <v>208</v>
      </c>
      <c r="B74" s="381" t="s">
        <v>209</v>
      </c>
      <c r="C74" s="382">
        <v>5495</v>
      </c>
      <c r="D74" s="382">
        <v>0</v>
      </c>
      <c r="E74" s="382">
        <v>131</v>
      </c>
      <c r="F74" s="382">
        <v>309</v>
      </c>
      <c r="G74" s="382">
        <v>11</v>
      </c>
      <c r="H74" s="382">
        <v>5946</v>
      </c>
      <c r="I74" s="382">
        <v>5935</v>
      </c>
      <c r="J74" s="382">
        <v>7</v>
      </c>
      <c r="K74" s="382">
        <v>88.28</v>
      </c>
      <c r="L74" s="382">
        <v>84.93</v>
      </c>
      <c r="M74" s="382">
        <v>1.47</v>
      </c>
      <c r="N74" s="382">
        <v>89.63</v>
      </c>
      <c r="O74" s="385">
        <v>5157</v>
      </c>
      <c r="P74" s="382">
        <v>79.650000000000006</v>
      </c>
      <c r="Q74" s="382">
        <v>74.52</v>
      </c>
      <c r="R74" s="382">
        <v>46.56</v>
      </c>
      <c r="S74" s="382">
        <v>121.01</v>
      </c>
      <c r="T74" s="385">
        <v>430</v>
      </c>
      <c r="U74" s="382">
        <v>94.52</v>
      </c>
      <c r="V74" s="385">
        <v>305</v>
      </c>
      <c r="W74" s="382">
        <v>0</v>
      </c>
      <c r="X74" s="385">
        <v>0</v>
      </c>
      <c r="Y74" s="382">
        <v>0</v>
      </c>
      <c r="Z74" s="382">
        <v>20</v>
      </c>
      <c r="AA74" s="382">
        <v>14</v>
      </c>
      <c r="AB74" s="382">
        <v>0</v>
      </c>
      <c r="AC74" s="382">
        <v>0</v>
      </c>
      <c r="AD74" s="382">
        <v>5462</v>
      </c>
      <c r="AE74" s="382">
        <v>117</v>
      </c>
      <c r="AF74" s="382">
        <v>18</v>
      </c>
      <c r="AG74" s="382">
        <v>135</v>
      </c>
    </row>
    <row r="75" spans="1:33" x14ac:dyDescent="0.3">
      <c r="A75" s="381" t="s">
        <v>210</v>
      </c>
      <c r="B75" s="381" t="s">
        <v>211</v>
      </c>
      <c r="C75" s="382">
        <v>19284</v>
      </c>
      <c r="D75" s="382">
        <v>0</v>
      </c>
      <c r="E75" s="382">
        <v>853</v>
      </c>
      <c r="F75" s="382">
        <v>2545</v>
      </c>
      <c r="G75" s="382">
        <v>2737</v>
      </c>
      <c r="H75" s="382">
        <v>25419</v>
      </c>
      <c r="I75" s="382">
        <v>22682</v>
      </c>
      <c r="J75" s="382">
        <v>11</v>
      </c>
      <c r="K75" s="382">
        <v>85.04</v>
      </c>
      <c r="L75" s="382">
        <v>81.22</v>
      </c>
      <c r="M75" s="382">
        <v>3.73</v>
      </c>
      <c r="N75" s="382">
        <v>88.15</v>
      </c>
      <c r="O75" s="385">
        <v>13891</v>
      </c>
      <c r="P75" s="382">
        <v>84.67</v>
      </c>
      <c r="Q75" s="382">
        <v>71.709999999999994</v>
      </c>
      <c r="R75" s="382">
        <v>47.35</v>
      </c>
      <c r="S75" s="382">
        <v>130.52000000000001</v>
      </c>
      <c r="T75" s="385">
        <v>3060</v>
      </c>
      <c r="U75" s="382">
        <v>125.61</v>
      </c>
      <c r="V75" s="385">
        <v>3809</v>
      </c>
      <c r="W75" s="382">
        <v>121.35</v>
      </c>
      <c r="X75" s="385">
        <v>180</v>
      </c>
      <c r="Y75" s="382">
        <v>8</v>
      </c>
      <c r="Z75" s="382">
        <v>13</v>
      </c>
      <c r="AA75" s="382">
        <v>81</v>
      </c>
      <c r="AB75" s="382">
        <v>216</v>
      </c>
      <c r="AC75" s="382">
        <v>63</v>
      </c>
      <c r="AD75" s="382">
        <v>18847</v>
      </c>
      <c r="AE75" s="382">
        <v>55</v>
      </c>
      <c r="AF75" s="382">
        <v>71</v>
      </c>
      <c r="AG75" s="382">
        <v>126</v>
      </c>
    </row>
    <row r="76" spans="1:33" x14ac:dyDescent="0.3">
      <c r="A76" s="381" t="s">
        <v>212</v>
      </c>
      <c r="B76" s="381" t="s">
        <v>213</v>
      </c>
      <c r="C76" s="382">
        <v>5581</v>
      </c>
      <c r="D76" s="382">
        <v>0</v>
      </c>
      <c r="E76" s="382">
        <v>55</v>
      </c>
      <c r="F76" s="382">
        <v>544</v>
      </c>
      <c r="G76" s="382">
        <v>811</v>
      </c>
      <c r="H76" s="382">
        <v>6991</v>
      </c>
      <c r="I76" s="382">
        <v>6180</v>
      </c>
      <c r="J76" s="382">
        <v>0</v>
      </c>
      <c r="K76" s="382">
        <v>106.75</v>
      </c>
      <c r="L76" s="382">
        <v>101.88</v>
      </c>
      <c r="M76" s="382">
        <v>4.25</v>
      </c>
      <c r="N76" s="382">
        <v>108.58</v>
      </c>
      <c r="O76" s="385">
        <v>4407</v>
      </c>
      <c r="P76" s="382">
        <v>101.14</v>
      </c>
      <c r="Q76" s="382">
        <v>92.4</v>
      </c>
      <c r="R76" s="382">
        <v>25.81</v>
      </c>
      <c r="S76" s="382">
        <v>126.59</v>
      </c>
      <c r="T76" s="385">
        <v>584</v>
      </c>
      <c r="U76" s="382">
        <v>141.6</v>
      </c>
      <c r="V76" s="385">
        <v>953</v>
      </c>
      <c r="W76" s="382">
        <v>0</v>
      </c>
      <c r="X76" s="385">
        <v>0</v>
      </c>
      <c r="Y76" s="382">
        <v>0</v>
      </c>
      <c r="Z76" s="382">
        <v>7</v>
      </c>
      <c r="AA76" s="382">
        <v>7</v>
      </c>
      <c r="AB76" s="382">
        <v>24</v>
      </c>
      <c r="AC76" s="382">
        <v>17</v>
      </c>
      <c r="AD76" s="382">
        <v>5355</v>
      </c>
      <c r="AE76" s="382">
        <v>71</v>
      </c>
      <c r="AF76" s="382">
        <v>67</v>
      </c>
      <c r="AG76" s="382">
        <v>138</v>
      </c>
    </row>
    <row r="77" spans="1:33" x14ac:dyDescent="0.3">
      <c r="A77" s="381" t="s">
        <v>214</v>
      </c>
      <c r="B77" s="381" t="s">
        <v>215</v>
      </c>
      <c r="C77" s="382">
        <v>46066</v>
      </c>
      <c r="D77" s="382">
        <v>12</v>
      </c>
      <c r="E77" s="382">
        <v>1014</v>
      </c>
      <c r="F77" s="382">
        <v>1516</v>
      </c>
      <c r="G77" s="382">
        <v>410</v>
      </c>
      <c r="H77" s="382">
        <v>49018</v>
      </c>
      <c r="I77" s="382">
        <v>48608</v>
      </c>
      <c r="J77" s="382">
        <v>108</v>
      </c>
      <c r="K77" s="382">
        <v>74.62</v>
      </c>
      <c r="L77" s="382">
        <v>74.930000000000007</v>
      </c>
      <c r="M77" s="382">
        <v>3.61</v>
      </c>
      <c r="N77" s="382">
        <v>75.180000000000007</v>
      </c>
      <c r="O77" s="385">
        <v>41079</v>
      </c>
      <c r="P77" s="382">
        <v>106.13</v>
      </c>
      <c r="Q77" s="382">
        <v>79.17</v>
      </c>
      <c r="R77" s="382">
        <v>59.88</v>
      </c>
      <c r="S77" s="382">
        <v>164.62</v>
      </c>
      <c r="T77" s="385">
        <v>2068</v>
      </c>
      <c r="U77" s="382">
        <v>94.55</v>
      </c>
      <c r="V77" s="385">
        <v>4405</v>
      </c>
      <c r="W77" s="382">
        <v>151.84</v>
      </c>
      <c r="X77" s="385">
        <v>171</v>
      </c>
      <c r="Y77" s="382">
        <v>11</v>
      </c>
      <c r="Z77" s="382">
        <v>209</v>
      </c>
      <c r="AA77" s="382">
        <v>30</v>
      </c>
      <c r="AB77" s="382">
        <v>25</v>
      </c>
      <c r="AC77" s="382">
        <v>9</v>
      </c>
      <c r="AD77" s="382">
        <v>46014</v>
      </c>
      <c r="AE77" s="382">
        <v>433</v>
      </c>
      <c r="AF77" s="382">
        <v>481</v>
      </c>
      <c r="AG77" s="382">
        <v>914</v>
      </c>
    </row>
    <row r="78" spans="1:33" x14ac:dyDescent="0.3">
      <c r="A78" s="381" t="s">
        <v>216</v>
      </c>
      <c r="B78" s="381" t="s">
        <v>217</v>
      </c>
      <c r="C78" s="382">
        <v>22354</v>
      </c>
      <c r="D78" s="382">
        <v>0</v>
      </c>
      <c r="E78" s="382">
        <v>906</v>
      </c>
      <c r="F78" s="382">
        <v>1713</v>
      </c>
      <c r="G78" s="382">
        <v>615</v>
      </c>
      <c r="H78" s="382">
        <v>25588</v>
      </c>
      <c r="I78" s="382">
        <v>24973</v>
      </c>
      <c r="J78" s="382">
        <v>4</v>
      </c>
      <c r="K78" s="382">
        <v>87.52</v>
      </c>
      <c r="L78" s="382">
        <v>87.02</v>
      </c>
      <c r="M78" s="382">
        <v>5.79</v>
      </c>
      <c r="N78" s="382">
        <v>92.88</v>
      </c>
      <c r="O78" s="385">
        <v>19694</v>
      </c>
      <c r="P78" s="382">
        <v>93.4</v>
      </c>
      <c r="Q78" s="382">
        <v>85.65</v>
      </c>
      <c r="R78" s="382">
        <v>58.58</v>
      </c>
      <c r="S78" s="382">
        <v>151.59</v>
      </c>
      <c r="T78" s="385">
        <v>2084</v>
      </c>
      <c r="U78" s="382">
        <v>117.6</v>
      </c>
      <c r="V78" s="385">
        <v>2354</v>
      </c>
      <c r="W78" s="382">
        <v>119.73</v>
      </c>
      <c r="X78" s="385">
        <v>5</v>
      </c>
      <c r="Y78" s="382">
        <v>88</v>
      </c>
      <c r="Z78" s="382">
        <v>68</v>
      </c>
      <c r="AA78" s="382">
        <v>23</v>
      </c>
      <c r="AB78" s="382">
        <v>23</v>
      </c>
      <c r="AC78" s="382">
        <v>18</v>
      </c>
      <c r="AD78" s="382">
        <v>22221</v>
      </c>
      <c r="AE78" s="382">
        <v>174</v>
      </c>
      <c r="AF78" s="382">
        <v>342</v>
      </c>
      <c r="AG78" s="382">
        <v>516</v>
      </c>
    </row>
    <row r="79" spans="1:33" x14ac:dyDescent="0.3">
      <c r="A79" s="381" t="s">
        <v>218</v>
      </c>
      <c r="B79" s="381" t="s">
        <v>219</v>
      </c>
      <c r="C79" s="382">
        <v>2258</v>
      </c>
      <c r="D79" s="382">
        <v>0</v>
      </c>
      <c r="E79" s="382">
        <v>71</v>
      </c>
      <c r="F79" s="382">
        <v>241</v>
      </c>
      <c r="G79" s="382">
        <v>174</v>
      </c>
      <c r="H79" s="382">
        <v>2744</v>
      </c>
      <c r="I79" s="382">
        <v>2570</v>
      </c>
      <c r="J79" s="382">
        <v>3</v>
      </c>
      <c r="K79" s="382">
        <v>87.69</v>
      </c>
      <c r="L79" s="382">
        <v>90.76</v>
      </c>
      <c r="M79" s="382">
        <v>6.49</v>
      </c>
      <c r="N79" s="382">
        <v>91.79</v>
      </c>
      <c r="O79" s="385">
        <v>1528</v>
      </c>
      <c r="P79" s="382">
        <v>92.18</v>
      </c>
      <c r="Q79" s="382">
        <v>83.23</v>
      </c>
      <c r="R79" s="382">
        <v>40.200000000000003</v>
      </c>
      <c r="S79" s="382">
        <v>132.38</v>
      </c>
      <c r="T79" s="385">
        <v>286</v>
      </c>
      <c r="U79" s="382">
        <v>98.18</v>
      </c>
      <c r="V79" s="385">
        <v>676</v>
      </c>
      <c r="W79" s="382">
        <v>0</v>
      </c>
      <c r="X79" s="385">
        <v>0</v>
      </c>
      <c r="Y79" s="382">
        <v>31</v>
      </c>
      <c r="Z79" s="382">
        <v>4</v>
      </c>
      <c r="AA79" s="382">
        <v>5</v>
      </c>
      <c r="AB79" s="382">
        <v>37</v>
      </c>
      <c r="AC79" s="382">
        <v>4</v>
      </c>
      <c r="AD79" s="382">
        <v>2227</v>
      </c>
      <c r="AE79" s="382">
        <v>16</v>
      </c>
      <c r="AF79" s="382">
        <v>3</v>
      </c>
      <c r="AG79" s="382">
        <v>19</v>
      </c>
    </row>
    <row r="80" spans="1:33" x14ac:dyDescent="0.3">
      <c r="A80" s="381" t="s">
        <v>220</v>
      </c>
      <c r="B80" s="381" t="s">
        <v>221</v>
      </c>
      <c r="C80" s="382">
        <v>2193</v>
      </c>
      <c r="D80" s="382">
        <v>0</v>
      </c>
      <c r="E80" s="382">
        <v>153</v>
      </c>
      <c r="F80" s="382">
        <v>286</v>
      </c>
      <c r="G80" s="382">
        <v>454</v>
      </c>
      <c r="H80" s="382">
        <v>3086</v>
      </c>
      <c r="I80" s="382">
        <v>2632</v>
      </c>
      <c r="J80" s="382">
        <v>5</v>
      </c>
      <c r="K80" s="382">
        <v>114.45</v>
      </c>
      <c r="L80" s="382">
        <v>107.63</v>
      </c>
      <c r="M80" s="382">
        <v>10.37</v>
      </c>
      <c r="N80" s="382">
        <v>123.77</v>
      </c>
      <c r="O80" s="385">
        <v>1609</v>
      </c>
      <c r="P80" s="382">
        <v>113.63</v>
      </c>
      <c r="Q80" s="382">
        <v>102.55</v>
      </c>
      <c r="R80" s="382">
        <v>43.24</v>
      </c>
      <c r="S80" s="382">
        <v>156.69999999999999</v>
      </c>
      <c r="T80" s="385">
        <v>263</v>
      </c>
      <c r="U80" s="382">
        <v>167.78</v>
      </c>
      <c r="V80" s="385">
        <v>482</v>
      </c>
      <c r="W80" s="382">
        <v>0</v>
      </c>
      <c r="X80" s="385">
        <v>0</v>
      </c>
      <c r="Y80" s="382">
        <v>0</v>
      </c>
      <c r="Z80" s="382">
        <v>1</v>
      </c>
      <c r="AA80" s="382">
        <v>1</v>
      </c>
      <c r="AB80" s="382">
        <v>35</v>
      </c>
      <c r="AC80" s="382">
        <v>12</v>
      </c>
      <c r="AD80" s="382">
        <v>2164</v>
      </c>
      <c r="AE80" s="382">
        <v>29</v>
      </c>
      <c r="AF80" s="382">
        <v>0</v>
      </c>
      <c r="AG80" s="382">
        <v>29</v>
      </c>
    </row>
    <row r="81" spans="1:33" x14ac:dyDescent="0.3">
      <c r="A81" s="381" t="s">
        <v>222</v>
      </c>
      <c r="B81" s="381" t="s">
        <v>223</v>
      </c>
      <c r="C81" s="382">
        <v>11544</v>
      </c>
      <c r="D81" s="382">
        <v>76</v>
      </c>
      <c r="E81" s="382">
        <v>1085</v>
      </c>
      <c r="F81" s="382">
        <v>845</v>
      </c>
      <c r="G81" s="382">
        <v>2447</v>
      </c>
      <c r="H81" s="382">
        <v>15997</v>
      </c>
      <c r="I81" s="382">
        <v>13550</v>
      </c>
      <c r="J81" s="382">
        <v>47</v>
      </c>
      <c r="K81" s="382">
        <v>125.79</v>
      </c>
      <c r="L81" s="382">
        <v>124.54</v>
      </c>
      <c r="M81" s="382">
        <v>11.55</v>
      </c>
      <c r="N81" s="382">
        <v>133.62</v>
      </c>
      <c r="O81" s="385">
        <v>8743</v>
      </c>
      <c r="P81" s="382">
        <v>104.63</v>
      </c>
      <c r="Q81" s="382">
        <v>97.67</v>
      </c>
      <c r="R81" s="382">
        <v>61.08</v>
      </c>
      <c r="S81" s="382">
        <v>162.16999999999999</v>
      </c>
      <c r="T81" s="385">
        <v>1122</v>
      </c>
      <c r="U81" s="382">
        <v>192.21</v>
      </c>
      <c r="V81" s="385">
        <v>2112</v>
      </c>
      <c r="W81" s="382">
        <v>149.88</v>
      </c>
      <c r="X81" s="385">
        <v>39</v>
      </c>
      <c r="Y81" s="382">
        <v>0</v>
      </c>
      <c r="Z81" s="382">
        <v>5</v>
      </c>
      <c r="AA81" s="382">
        <v>8</v>
      </c>
      <c r="AB81" s="382">
        <v>72</v>
      </c>
      <c r="AC81" s="382">
        <v>63</v>
      </c>
      <c r="AD81" s="382">
        <v>11262</v>
      </c>
      <c r="AE81" s="382">
        <v>95</v>
      </c>
      <c r="AF81" s="382">
        <v>59</v>
      </c>
      <c r="AG81" s="382">
        <v>154</v>
      </c>
    </row>
    <row r="82" spans="1:33" x14ac:dyDescent="0.3">
      <c r="A82" s="381" t="s">
        <v>224</v>
      </c>
      <c r="B82" s="381" t="s">
        <v>225</v>
      </c>
      <c r="C82" s="382">
        <v>3210</v>
      </c>
      <c r="D82" s="382">
        <v>0</v>
      </c>
      <c r="E82" s="382">
        <v>249</v>
      </c>
      <c r="F82" s="382">
        <v>275</v>
      </c>
      <c r="G82" s="382">
        <v>409</v>
      </c>
      <c r="H82" s="382">
        <v>4143</v>
      </c>
      <c r="I82" s="382">
        <v>3734</v>
      </c>
      <c r="J82" s="382">
        <v>0</v>
      </c>
      <c r="K82" s="382">
        <v>119.84</v>
      </c>
      <c r="L82" s="382">
        <v>116.1</v>
      </c>
      <c r="M82" s="382">
        <v>8.2100000000000009</v>
      </c>
      <c r="N82" s="382">
        <v>126.86</v>
      </c>
      <c r="O82" s="385">
        <v>1967</v>
      </c>
      <c r="P82" s="382">
        <v>122.19</v>
      </c>
      <c r="Q82" s="382">
        <v>100.55</v>
      </c>
      <c r="R82" s="382">
        <v>31.17</v>
      </c>
      <c r="S82" s="382">
        <v>152.32</v>
      </c>
      <c r="T82" s="385">
        <v>392</v>
      </c>
      <c r="U82" s="382">
        <v>183.93</v>
      </c>
      <c r="V82" s="385">
        <v>1001</v>
      </c>
      <c r="W82" s="382">
        <v>161.34</v>
      </c>
      <c r="X82" s="385">
        <v>13</v>
      </c>
      <c r="Y82" s="382">
        <v>22</v>
      </c>
      <c r="Z82" s="382">
        <v>0</v>
      </c>
      <c r="AA82" s="382">
        <v>1</v>
      </c>
      <c r="AB82" s="382">
        <v>61</v>
      </c>
      <c r="AC82" s="382">
        <v>14</v>
      </c>
      <c r="AD82" s="382">
        <v>3159</v>
      </c>
      <c r="AE82" s="382">
        <v>30</v>
      </c>
      <c r="AF82" s="382">
        <v>33</v>
      </c>
      <c r="AG82" s="382">
        <v>63</v>
      </c>
    </row>
    <row r="83" spans="1:33" x14ac:dyDescent="0.3">
      <c r="A83" s="381" t="s">
        <v>226</v>
      </c>
      <c r="B83" s="381" t="s">
        <v>227</v>
      </c>
      <c r="C83" s="382">
        <v>2197</v>
      </c>
      <c r="D83" s="382">
        <v>4</v>
      </c>
      <c r="E83" s="382">
        <v>332</v>
      </c>
      <c r="F83" s="382">
        <v>530</v>
      </c>
      <c r="G83" s="382">
        <v>139</v>
      </c>
      <c r="H83" s="382">
        <v>3202</v>
      </c>
      <c r="I83" s="382">
        <v>3063</v>
      </c>
      <c r="J83" s="382">
        <v>0</v>
      </c>
      <c r="K83" s="382">
        <v>81.150000000000006</v>
      </c>
      <c r="L83" s="382">
        <v>78.760000000000005</v>
      </c>
      <c r="M83" s="382">
        <v>4.47</v>
      </c>
      <c r="N83" s="382">
        <v>83.98</v>
      </c>
      <c r="O83" s="385">
        <v>1344</v>
      </c>
      <c r="P83" s="382">
        <v>95.26</v>
      </c>
      <c r="Q83" s="382">
        <v>79.06</v>
      </c>
      <c r="R83" s="382">
        <v>57.02</v>
      </c>
      <c r="S83" s="382">
        <v>151.99</v>
      </c>
      <c r="T83" s="385">
        <v>595</v>
      </c>
      <c r="U83" s="382">
        <v>103.12</v>
      </c>
      <c r="V83" s="385">
        <v>704</v>
      </c>
      <c r="W83" s="382">
        <v>112.13</v>
      </c>
      <c r="X83" s="385">
        <v>41</v>
      </c>
      <c r="Y83" s="382">
        <v>0</v>
      </c>
      <c r="Z83" s="382">
        <v>3</v>
      </c>
      <c r="AA83" s="382">
        <v>20</v>
      </c>
      <c r="AB83" s="382">
        <v>1</v>
      </c>
      <c r="AC83" s="382">
        <v>8</v>
      </c>
      <c r="AD83" s="382">
        <v>2176</v>
      </c>
      <c r="AE83" s="382">
        <v>11</v>
      </c>
      <c r="AF83" s="382">
        <v>28</v>
      </c>
      <c r="AG83" s="382">
        <v>39</v>
      </c>
    </row>
    <row r="84" spans="1:33" x14ac:dyDescent="0.3">
      <c r="A84" s="381" t="s">
        <v>228</v>
      </c>
      <c r="B84" s="381" t="s">
        <v>229</v>
      </c>
      <c r="C84" s="382">
        <v>1812</v>
      </c>
      <c r="D84" s="382">
        <v>12</v>
      </c>
      <c r="E84" s="382">
        <v>146</v>
      </c>
      <c r="F84" s="382">
        <v>107</v>
      </c>
      <c r="G84" s="382">
        <v>1289</v>
      </c>
      <c r="H84" s="382">
        <v>3366</v>
      </c>
      <c r="I84" s="382">
        <v>2077</v>
      </c>
      <c r="J84" s="382">
        <v>1</v>
      </c>
      <c r="K84" s="382">
        <v>110.79</v>
      </c>
      <c r="L84" s="382">
        <v>106.96</v>
      </c>
      <c r="M84" s="382">
        <v>7.44</v>
      </c>
      <c r="N84" s="382">
        <v>117.64</v>
      </c>
      <c r="O84" s="385">
        <v>857</v>
      </c>
      <c r="P84" s="382">
        <v>136.26</v>
      </c>
      <c r="Q84" s="382">
        <v>88.15</v>
      </c>
      <c r="R84" s="382">
        <v>41.57</v>
      </c>
      <c r="S84" s="382">
        <v>169.63</v>
      </c>
      <c r="T84" s="385">
        <v>142</v>
      </c>
      <c r="U84" s="382">
        <v>168.28</v>
      </c>
      <c r="V84" s="385">
        <v>524</v>
      </c>
      <c r="W84" s="382">
        <v>0</v>
      </c>
      <c r="X84" s="385">
        <v>0</v>
      </c>
      <c r="Y84" s="382">
        <v>0</v>
      </c>
      <c r="Z84" s="382">
        <v>0</v>
      </c>
      <c r="AA84" s="382">
        <v>0</v>
      </c>
      <c r="AB84" s="382">
        <v>252</v>
      </c>
      <c r="AC84" s="382">
        <v>35</v>
      </c>
      <c r="AD84" s="382">
        <v>1433</v>
      </c>
      <c r="AE84" s="382">
        <v>15</v>
      </c>
      <c r="AF84" s="382">
        <v>0</v>
      </c>
      <c r="AG84" s="382">
        <v>15</v>
      </c>
    </row>
    <row r="85" spans="1:33" x14ac:dyDescent="0.3">
      <c r="A85" s="381" t="s">
        <v>230</v>
      </c>
      <c r="B85" s="381" t="s">
        <v>231</v>
      </c>
      <c r="C85" s="382">
        <v>6183</v>
      </c>
      <c r="D85" s="382">
        <v>102</v>
      </c>
      <c r="E85" s="382">
        <v>682</v>
      </c>
      <c r="F85" s="382">
        <v>1363</v>
      </c>
      <c r="G85" s="382">
        <v>575</v>
      </c>
      <c r="H85" s="382">
        <v>8905</v>
      </c>
      <c r="I85" s="382">
        <v>8330</v>
      </c>
      <c r="J85" s="382">
        <v>2</v>
      </c>
      <c r="K85" s="382">
        <v>91.41</v>
      </c>
      <c r="L85" s="382">
        <v>89.16</v>
      </c>
      <c r="M85" s="382">
        <v>6.63</v>
      </c>
      <c r="N85" s="382">
        <v>96.15</v>
      </c>
      <c r="O85" s="385">
        <v>5391</v>
      </c>
      <c r="P85" s="382">
        <v>89.38</v>
      </c>
      <c r="Q85" s="382">
        <v>83.04</v>
      </c>
      <c r="R85" s="382">
        <v>54.17</v>
      </c>
      <c r="S85" s="382">
        <v>142.94</v>
      </c>
      <c r="T85" s="385">
        <v>1596</v>
      </c>
      <c r="U85" s="382">
        <v>110.26</v>
      </c>
      <c r="V85" s="385">
        <v>616</v>
      </c>
      <c r="W85" s="382">
        <v>195.52</v>
      </c>
      <c r="X85" s="385">
        <v>2</v>
      </c>
      <c r="Y85" s="382">
        <v>378</v>
      </c>
      <c r="Z85" s="382">
        <v>3</v>
      </c>
      <c r="AA85" s="382">
        <v>2</v>
      </c>
      <c r="AB85" s="382">
        <v>23</v>
      </c>
      <c r="AC85" s="382">
        <v>24</v>
      </c>
      <c r="AD85" s="382">
        <v>5976</v>
      </c>
      <c r="AE85" s="382">
        <v>33</v>
      </c>
      <c r="AF85" s="382">
        <v>28</v>
      </c>
      <c r="AG85" s="382">
        <v>61</v>
      </c>
    </row>
    <row r="86" spans="1:33" x14ac:dyDescent="0.3">
      <c r="A86" s="381" t="s">
        <v>232</v>
      </c>
      <c r="B86" s="381" t="s">
        <v>233</v>
      </c>
      <c r="C86" s="382">
        <v>3909</v>
      </c>
      <c r="D86" s="382">
        <v>0</v>
      </c>
      <c r="E86" s="382">
        <v>68</v>
      </c>
      <c r="F86" s="382">
        <v>270</v>
      </c>
      <c r="G86" s="382">
        <v>246</v>
      </c>
      <c r="H86" s="382">
        <v>4493</v>
      </c>
      <c r="I86" s="382">
        <v>4247</v>
      </c>
      <c r="J86" s="382">
        <v>0</v>
      </c>
      <c r="K86" s="382">
        <v>94.71</v>
      </c>
      <c r="L86" s="382">
        <v>96.5</v>
      </c>
      <c r="M86" s="382">
        <v>3.03</v>
      </c>
      <c r="N86" s="382">
        <v>97.38</v>
      </c>
      <c r="O86" s="385">
        <v>3366</v>
      </c>
      <c r="P86" s="382">
        <v>88.88</v>
      </c>
      <c r="Q86" s="382">
        <v>85.34</v>
      </c>
      <c r="R86" s="382">
        <v>30.54</v>
      </c>
      <c r="S86" s="382">
        <v>118.76</v>
      </c>
      <c r="T86" s="385">
        <v>324</v>
      </c>
      <c r="U86" s="382">
        <v>116.38</v>
      </c>
      <c r="V86" s="385">
        <v>412</v>
      </c>
      <c r="W86" s="382">
        <v>197.73</v>
      </c>
      <c r="X86" s="385">
        <v>2</v>
      </c>
      <c r="Y86" s="382">
        <v>0</v>
      </c>
      <c r="Z86" s="382">
        <v>10</v>
      </c>
      <c r="AA86" s="382">
        <v>3</v>
      </c>
      <c r="AB86" s="382">
        <v>20</v>
      </c>
      <c r="AC86" s="382">
        <v>5</v>
      </c>
      <c r="AD86" s="382">
        <v>3762</v>
      </c>
      <c r="AE86" s="382">
        <v>65</v>
      </c>
      <c r="AF86" s="382">
        <v>11</v>
      </c>
      <c r="AG86" s="382">
        <v>76</v>
      </c>
    </row>
    <row r="87" spans="1:33" x14ac:dyDescent="0.3">
      <c r="A87" s="381" t="s">
        <v>234</v>
      </c>
      <c r="B87" s="381" t="s">
        <v>235</v>
      </c>
      <c r="C87" s="382">
        <v>2645</v>
      </c>
      <c r="D87" s="382">
        <v>3</v>
      </c>
      <c r="E87" s="382">
        <v>832</v>
      </c>
      <c r="F87" s="382">
        <v>924</v>
      </c>
      <c r="G87" s="382">
        <v>467</v>
      </c>
      <c r="H87" s="382">
        <v>4871</v>
      </c>
      <c r="I87" s="382">
        <v>4404</v>
      </c>
      <c r="J87" s="382">
        <v>0</v>
      </c>
      <c r="K87" s="382">
        <v>83.82</v>
      </c>
      <c r="L87" s="382">
        <v>80.59</v>
      </c>
      <c r="M87" s="382">
        <v>5.55</v>
      </c>
      <c r="N87" s="382">
        <v>86.96</v>
      </c>
      <c r="O87" s="385">
        <v>1694</v>
      </c>
      <c r="P87" s="382">
        <v>104.82</v>
      </c>
      <c r="Q87" s="382">
        <v>82.16</v>
      </c>
      <c r="R87" s="382">
        <v>45.65</v>
      </c>
      <c r="S87" s="382">
        <v>149.97999999999999</v>
      </c>
      <c r="T87" s="385">
        <v>1550</v>
      </c>
      <c r="U87" s="382">
        <v>99.99</v>
      </c>
      <c r="V87" s="385">
        <v>844</v>
      </c>
      <c r="W87" s="382">
        <v>108.17</v>
      </c>
      <c r="X87" s="385">
        <v>9</v>
      </c>
      <c r="Y87" s="382">
        <v>16</v>
      </c>
      <c r="Z87" s="382">
        <v>1</v>
      </c>
      <c r="AA87" s="382">
        <v>9</v>
      </c>
      <c r="AB87" s="382">
        <v>66</v>
      </c>
      <c r="AC87" s="382">
        <v>2</v>
      </c>
      <c r="AD87" s="382">
        <v>2560</v>
      </c>
      <c r="AE87" s="382">
        <v>47</v>
      </c>
      <c r="AF87" s="382">
        <v>22</v>
      </c>
      <c r="AG87" s="382">
        <v>69</v>
      </c>
    </row>
    <row r="88" spans="1:33" x14ac:dyDescent="0.3">
      <c r="A88" s="381" t="s">
        <v>236</v>
      </c>
      <c r="B88" s="381" t="s">
        <v>237</v>
      </c>
      <c r="C88" s="382">
        <v>16663</v>
      </c>
      <c r="D88" s="382">
        <v>16</v>
      </c>
      <c r="E88" s="382">
        <v>780</v>
      </c>
      <c r="F88" s="382">
        <v>3986</v>
      </c>
      <c r="G88" s="382">
        <v>1467</v>
      </c>
      <c r="H88" s="382">
        <v>22912</v>
      </c>
      <c r="I88" s="382">
        <v>21445</v>
      </c>
      <c r="J88" s="382">
        <v>42</v>
      </c>
      <c r="K88" s="382">
        <v>101.67</v>
      </c>
      <c r="L88" s="382">
        <v>100.51</v>
      </c>
      <c r="M88" s="382">
        <v>4.28</v>
      </c>
      <c r="N88" s="382">
        <v>104.56</v>
      </c>
      <c r="O88" s="385">
        <v>14578</v>
      </c>
      <c r="P88" s="382">
        <v>92</v>
      </c>
      <c r="Q88" s="382">
        <v>89.3</v>
      </c>
      <c r="R88" s="382">
        <v>23.39</v>
      </c>
      <c r="S88" s="382">
        <v>114.95</v>
      </c>
      <c r="T88" s="385">
        <v>4123</v>
      </c>
      <c r="U88" s="382">
        <v>142.41999999999999</v>
      </c>
      <c r="V88" s="385">
        <v>1998</v>
      </c>
      <c r="W88" s="382">
        <v>166.95</v>
      </c>
      <c r="X88" s="385">
        <v>56</v>
      </c>
      <c r="Y88" s="382">
        <v>9</v>
      </c>
      <c r="Z88" s="382">
        <v>15</v>
      </c>
      <c r="AA88" s="382">
        <v>52</v>
      </c>
      <c r="AB88" s="382">
        <v>171</v>
      </c>
      <c r="AC88" s="382">
        <v>33</v>
      </c>
      <c r="AD88" s="382">
        <v>16582</v>
      </c>
      <c r="AE88" s="382">
        <v>77</v>
      </c>
      <c r="AF88" s="382">
        <v>83</v>
      </c>
      <c r="AG88" s="382">
        <v>160</v>
      </c>
    </row>
    <row r="89" spans="1:33" x14ac:dyDescent="0.3">
      <c r="A89" s="381" t="s">
        <v>238</v>
      </c>
      <c r="B89" s="381" t="s">
        <v>239</v>
      </c>
      <c r="C89" s="382">
        <v>2125</v>
      </c>
      <c r="D89" s="382">
        <v>4</v>
      </c>
      <c r="E89" s="382">
        <v>139</v>
      </c>
      <c r="F89" s="382">
        <v>550</v>
      </c>
      <c r="G89" s="382">
        <v>283</v>
      </c>
      <c r="H89" s="382">
        <v>3101</v>
      </c>
      <c r="I89" s="382">
        <v>2818</v>
      </c>
      <c r="J89" s="382">
        <v>22</v>
      </c>
      <c r="K89" s="382">
        <v>92.63</v>
      </c>
      <c r="L89" s="382">
        <v>90.69</v>
      </c>
      <c r="M89" s="382">
        <v>7.77</v>
      </c>
      <c r="N89" s="382">
        <v>98.56</v>
      </c>
      <c r="O89" s="385">
        <v>1703</v>
      </c>
      <c r="P89" s="382">
        <v>111.54</v>
      </c>
      <c r="Q89" s="382">
        <v>87.86</v>
      </c>
      <c r="R89" s="382">
        <v>42.97</v>
      </c>
      <c r="S89" s="382">
        <v>151.79</v>
      </c>
      <c r="T89" s="385">
        <v>680</v>
      </c>
      <c r="U89" s="382">
        <v>133.30000000000001</v>
      </c>
      <c r="V89" s="385">
        <v>314</v>
      </c>
      <c r="W89" s="382">
        <v>0</v>
      </c>
      <c r="X89" s="385">
        <v>0</v>
      </c>
      <c r="Y89" s="382">
        <v>0</v>
      </c>
      <c r="Z89" s="382">
        <v>0</v>
      </c>
      <c r="AA89" s="382">
        <v>1</v>
      </c>
      <c r="AB89" s="382">
        <v>23</v>
      </c>
      <c r="AC89" s="382">
        <v>8</v>
      </c>
      <c r="AD89" s="382">
        <v>2047</v>
      </c>
      <c r="AE89" s="382">
        <v>12</v>
      </c>
      <c r="AF89" s="382">
        <v>15</v>
      </c>
      <c r="AG89" s="382">
        <v>27</v>
      </c>
    </row>
    <row r="90" spans="1:33" x14ac:dyDescent="0.3">
      <c r="A90" s="381" t="s">
        <v>240</v>
      </c>
      <c r="B90" s="381" t="s">
        <v>241</v>
      </c>
      <c r="C90" s="382">
        <v>4035</v>
      </c>
      <c r="D90" s="382">
        <v>0</v>
      </c>
      <c r="E90" s="382">
        <v>405</v>
      </c>
      <c r="F90" s="382">
        <v>790</v>
      </c>
      <c r="G90" s="382">
        <v>749</v>
      </c>
      <c r="H90" s="382">
        <v>5979</v>
      </c>
      <c r="I90" s="382">
        <v>5230</v>
      </c>
      <c r="J90" s="382">
        <v>0</v>
      </c>
      <c r="K90" s="382">
        <v>95.6</v>
      </c>
      <c r="L90" s="382">
        <v>93.09</v>
      </c>
      <c r="M90" s="382">
        <v>6.63</v>
      </c>
      <c r="N90" s="382">
        <v>101.2</v>
      </c>
      <c r="O90" s="385">
        <v>3216</v>
      </c>
      <c r="P90" s="382">
        <v>112.91</v>
      </c>
      <c r="Q90" s="382">
        <v>96.43</v>
      </c>
      <c r="R90" s="382">
        <v>58.99</v>
      </c>
      <c r="S90" s="382">
        <v>169.63</v>
      </c>
      <c r="T90" s="385">
        <v>935</v>
      </c>
      <c r="U90" s="382">
        <v>117.12</v>
      </c>
      <c r="V90" s="385">
        <v>731</v>
      </c>
      <c r="W90" s="382">
        <v>108.61</v>
      </c>
      <c r="X90" s="385">
        <v>12</v>
      </c>
      <c r="Y90" s="382">
        <v>12</v>
      </c>
      <c r="Z90" s="382">
        <v>6</v>
      </c>
      <c r="AA90" s="382">
        <v>4</v>
      </c>
      <c r="AB90" s="382">
        <v>21</v>
      </c>
      <c r="AC90" s="382">
        <v>22</v>
      </c>
      <c r="AD90" s="382">
        <v>4035</v>
      </c>
      <c r="AE90" s="382">
        <v>52</v>
      </c>
      <c r="AF90" s="382">
        <v>6</v>
      </c>
      <c r="AG90" s="382">
        <v>58</v>
      </c>
    </row>
    <row r="91" spans="1:33" x14ac:dyDescent="0.3">
      <c r="A91" s="381" t="s">
        <v>242</v>
      </c>
      <c r="B91" s="381" t="s">
        <v>243</v>
      </c>
      <c r="C91" s="382">
        <v>10920</v>
      </c>
      <c r="D91" s="382">
        <v>379</v>
      </c>
      <c r="E91" s="382">
        <v>995</v>
      </c>
      <c r="F91" s="382">
        <v>742</v>
      </c>
      <c r="G91" s="382">
        <v>3196</v>
      </c>
      <c r="H91" s="382">
        <v>16232</v>
      </c>
      <c r="I91" s="382">
        <v>13036</v>
      </c>
      <c r="J91" s="382">
        <v>48</v>
      </c>
      <c r="K91" s="382">
        <v>131.18</v>
      </c>
      <c r="L91" s="382">
        <v>129.47</v>
      </c>
      <c r="M91" s="382">
        <v>11.44</v>
      </c>
      <c r="N91" s="382">
        <v>139.5</v>
      </c>
      <c r="O91" s="385">
        <v>8287</v>
      </c>
      <c r="P91" s="382">
        <v>123.72</v>
      </c>
      <c r="Q91" s="382">
        <v>114.91</v>
      </c>
      <c r="R91" s="382">
        <v>52.23</v>
      </c>
      <c r="S91" s="382">
        <v>169.79</v>
      </c>
      <c r="T91" s="385">
        <v>1077</v>
      </c>
      <c r="U91" s="382">
        <v>203.85</v>
      </c>
      <c r="V91" s="385">
        <v>1732</v>
      </c>
      <c r="W91" s="382">
        <v>199.53</v>
      </c>
      <c r="X91" s="385">
        <v>44</v>
      </c>
      <c r="Y91" s="382">
        <v>0</v>
      </c>
      <c r="Z91" s="382">
        <v>5</v>
      </c>
      <c r="AA91" s="382">
        <v>1</v>
      </c>
      <c r="AB91" s="382">
        <v>259</v>
      </c>
      <c r="AC91" s="382">
        <v>73</v>
      </c>
      <c r="AD91" s="382">
        <v>10428</v>
      </c>
      <c r="AE91" s="382">
        <v>58</v>
      </c>
      <c r="AF91" s="382">
        <v>115</v>
      </c>
      <c r="AG91" s="382">
        <v>173</v>
      </c>
    </row>
    <row r="92" spans="1:33" x14ac:dyDescent="0.3">
      <c r="A92" s="381" t="s">
        <v>244</v>
      </c>
      <c r="B92" s="381" t="s">
        <v>245</v>
      </c>
      <c r="C92" s="382">
        <v>4281</v>
      </c>
      <c r="D92" s="382">
        <v>5</v>
      </c>
      <c r="E92" s="382">
        <v>115</v>
      </c>
      <c r="F92" s="382">
        <v>1022</v>
      </c>
      <c r="G92" s="382">
        <v>523</v>
      </c>
      <c r="H92" s="382">
        <v>5946</v>
      </c>
      <c r="I92" s="382">
        <v>5423</v>
      </c>
      <c r="J92" s="382">
        <v>11</v>
      </c>
      <c r="K92" s="382">
        <v>104.61</v>
      </c>
      <c r="L92" s="382">
        <v>104.45</v>
      </c>
      <c r="M92" s="382">
        <v>3.25</v>
      </c>
      <c r="N92" s="382">
        <v>105.88</v>
      </c>
      <c r="O92" s="385">
        <v>3670</v>
      </c>
      <c r="P92" s="382">
        <v>98.25</v>
      </c>
      <c r="Q92" s="382">
        <v>96.88</v>
      </c>
      <c r="R92" s="382">
        <v>29.34</v>
      </c>
      <c r="S92" s="382">
        <v>127.44</v>
      </c>
      <c r="T92" s="385">
        <v>1120</v>
      </c>
      <c r="U92" s="382">
        <v>140.6</v>
      </c>
      <c r="V92" s="385">
        <v>523</v>
      </c>
      <c r="W92" s="382">
        <v>0</v>
      </c>
      <c r="X92" s="385">
        <v>0</v>
      </c>
      <c r="Y92" s="382">
        <v>17</v>
      </c>
      <c r="Z92" s="382">
        <v>2</v>
      </c>
      <c r="AA92" s="382">
        <v>2</v>
      </c>
      <c r="AB92" s="382">
        <v>58</v>
      </c>
      <c r="AC92" s="382">
        <v>11</v>
      </c>
      <c r="AD92" s="382">
        <v>4273</v>
      </c>
      <c r="AE92" s="382">
        <v>39</v>
      </c>
      <c r="AF92" s="382">
        <v>105</v>
      </c>
      <c r="AG92" s="382">
        <v>144</v>
      </c>
    </row>
    <row r="93" spans="1:33" x14ac:dyDescent="0.3">
      <c r="A93" s="381" t="s">
        <v>246</v>
      </c>
      <c r="B93" s="381" t="s">
        <v>247</v>
      </c>
      <c r="C93" s="382">
        <v>2650</v>
      </c>
      <c r="D93" s="382">
        <v>1</v>
      </c>
      <c r="E93" s="382">
        <v>193</v>
      </c>
      <c r="F93" s="382">
        <v>145</v>
      </c>
      <c r="G93" s="382">
        <v>945</v>
      </c>
      <c r="H93" s="382">
        <v>3934</v>
      </c>
      <c r="I93" s="382">
        <v>2989</v>
      </c>
      <c r="J93" s="382">
        <v>0</v>
      </c>
      <c r="K93" s="382">
        <v>95.8</v>
      </c>
      <c r="L93" s="382">
        <v>92.01</v>
      </c>
      <c r="M93" s="382">
        <v>4.09</v>
      </c>
      <c r="N93" s="382">
        <v>98.68</v>
      </c>
      <c r="O93" s="385">
        <v>1605</v>
      </c>
      <c r="P93" s="382">
        <v>107.35</v>
      </c>
      <c r="Q93" s="382">
        <v>76.56</v>
      </c>
      <c r="R93" s="382">
        <v>56.21</v>
      </c>
      <c r="S93" s="382">
        <v>161.91</v>
      </c>
      <c r="T93" s="385">
        <v>239</v>
      </c>
      <c r="U93" s="382">
        <v>136.85</v>
      </c>
      <c r="V93" s="385">
        <v>824</v>
      </c>
      <c r="W93" s="382">
        <v>0</v>
      </c>
      <c r="X93" s="385">
        <v>0</v>
      </c>
      <c r="Y93" s="382">
        <v>0</v>
      </c>
      <c r="Z93" s="382">
        <v>0</v>
      </c>
      <c r="AA93" s="382">
        <v>0</v>
      </c>
      <c r="AB93" s="382">
        <v>114</v>
      </c>
      <c r="AC93" s="382">
        <v>16</v>
      </c>
      <c r="AD93" s="382">
        <v>2605</v>
      </c>
      <c r="AE93" s="382">
        <v>14</v>
      </c>
      <c r="AF93" s="382">
        <v>8</v>
      </c>
      <c r="AG93" s="382">
        <v>22</v>
      </c>
    </row>
    <row r="94" spans="1:33" x14ac:dyDescent="0.3">
      <c r="A94" s="381" t="s">
        <v>248</v>
      </c>
      <c r="B94" s="381" t="s">
        <v>249</v>
      </c>
      <c r="C94" s="382">
        <v>5882</v>
      </c>
      <c r="D94" s="382">
        <v>0</v>
      </c>
      <c r="E94" s="382">
        <v>119</v>
      </c>
      <c r="F94" s="382">
        <v>784</v>
      </c>
      <c r="G94" s="382">
        <v>728</v>
      </c>
      <c r="H94" s="382">
        <v>7513</v>
      </c>
      <c r="I94" s="382">
        <v>6785</v>
      </c>
      <c r="J94" s="382">
        <v>0</v>
      </c>
      <c r="K94" s="382">
        <v>117.78</v>
      </c>
      <c r="L94" s="382">
        <v>115.33</v>
      </c>
      <c r="M94" s="382">
        <v>4.1100000000000003</v>
      </c>
      <c r="N94" s="382">
        <v>119.27</v>
      </c>
      <c r="O94" s="385">
        <v>4268</v>
      </c>
      <c r="P94" s="382">
        <v>100.25</v>
      </c>
      <c r="Q94" s="382">
        <v>95.57</v>
      </c>
      <c r="R94" s="382">
        <v>18.579999999999998</v>
      </c>
      <c r="S94" s="382">
        <v>118.33</v>
      </c>
      <c r="T94" s="385">
        <v>884</v>
      </c>
      <c r="U94" s="382">
        <v>162.80000000000001</v>
      </c>
      <c r="V94" s="385">
        <v>1234</v>
      </c>
      <c r="W94" s="382">
        <v>0</v>
      </c>
      <c r="X94" s="385">
        <v>0</v>
      </c>
      <c r="Y94" s="382">
        <v>0</v>
      </c>
      <c r="Z94" s="382">
        <v>5</v>
      </c>
      <c r="AA94" s="382">
        <v>0</v>
      </c>
      <c r="AB94" s="382">
        <v>47</v>
      </c>
      <c r="AC94" s="382">
        <v>24</v>
      </c>
      <c r="AD94" s="382">
        <v>5608</v>
      </c>
      <c r="AE94" s="382">
        <v>22</v>
      </c>
      <c r="AF94" s="382">
        <v>19</v>
      </c>
      <c r="AG94" s="382">
        <v>41</v>
      </c>
    </row>
    <row r="95" spans="1:33" x14ac:dyDescent="0.3">
      <c r="A95" s="381" t="s">
        <v>250</v>
      </c>
      <c r="B95" s="381" t="s">
        <v>251</v>
      </c>
      <c r="C95" s="382">
        <v>7281</v>
      </c>
      <c r="D95" s="382">
        <v>0</v>
      </c>
      <c r="E95" s="382">
        <v>175</v>
      </c>
      <c r="F95" s="382">
        <v>1055</v>
      </c>
      <c r="G95" s="382">
        <v>1014</v>
      </c>
      <c r="H95" s="382">
        <v>9525</v>
      </c>
      <c r="I95" s="382">
        <v>8511</v>
      </c>
      <c r="J95" s="382">
        <v>138</v>
      </c>
      <c r="K95" s="382">
        <v>119.01</v>
      </c>
      <c r="L95" s="382">
        <v>118.01</v>
      </c>
      <c r="M95" s="382">
        <v>5.4</v>
      </c>
      <c r="N95" s="382">
        <v>121.32</v>
      </c>
      <c r="O95" s="385">
        <v>5126</v>
      </c>
      <c r="P95" s="382">
        <v>109.02</v>
      </c>
      <c r="Q95" s="382">
        <v>100.68</v>
      </c>
      <c r="R95" s="382">
        <v>33.229999999999997</v>
      </c>
      <c r="S95" s="382">
        <v>141.05000000000001</v>
      </c>
      <c r="T95" s="385">
        <v>1188</v>
      </c>
      <c r="U95" s="382">
        <v>172.54</v>
      </c>
      <c r="V95" s="385">
        <v>2040</v>
      </c>
      <c r="W95" s="382">
        <v>0</v>
      </c>
      <c r="X95" s="385">
        <v>0</v>
      </c>
      <c r="Y95" s="382">
        <v>55</v>
      </c>
      <c r="Z95" s="382">
        <v>4</v>
      </c>
      <c r="AA95" s="382">
        <v>1</v>
      </c>
      <c r="AB95" s="382">
        <v>73</v>
      </c>
      <c r="AC95" s="382">
        <v>26</v>
      </c>
      <c r="AD95" s="382">
        <v>7257</v>
      </c>
      <c r="AE95" s="382">
        <v>71</v>
      </c>
      <c r="AF95" s="382">
        <v>21</v>
      </c>
      <c r="AG95" s="382">
        <v>92</v>
      </c>
    </row>
    <row r="96" spans="1:33" x14ac:dyDescent="0.3">
      <c r="A96" s="381" t="s">
        <v>252</v>
      </c>
      <c r="B96" s="381" t="s">
        <v>253</v>
      </c>
      <c r="C96" s="382">
        <v>6896</v>
      </c>
      <c r="D96" s="382">
        <v>8</v>
      </c>
      <c r="E96" s="382">
        <v>247</v>
      </c>
      <c r="F96" s="382">
        <v>577</v>
      </c>
      <c r="G96" s="382">
        <v>642</v>
      </c>
      <c r="H96" s="382">
        <v>8370</v>
      </c>
      <c r="I96" s="382">
        <v>7728</v>
      </c>
      <c r="J96" s="382">
        <v>1</v>
      </c>
      <c r="K96" s="382">
        <v>85.05</v>
      </c>
      <c r="L96" s="382">
        <v>84.52</v>
      </c>
      <c r="M96" s="382">
        <v>3.14</v>
      </c>
      <c r="N96" s="382">
        <v>87.59</v>
      </c>
      <c r="O96" s="385">
        <v>5147</v>
      </c>
      <c r="P96" s="382">
        <v>88.76</v>
      </c>
      <c r="Q96" s="382">
        <v>78.5</v>
      </c>
      <c r="R96" s="382">
        <v>47.91</v>
      </c>
      <c r="S96" s="382">
        <v>135.31</v>
      </c>
      <c r="T96" s="385">
        <v>776</v>
      </c>
      <c r="U96" s="382">
        <v>96.28</v>
      </c>
      <c r="V96" s="385">
        <v>1518</v>
      </c>
      <c r="W96" s="382">
        <v>152.62</v>
      </c>
      <c r="X96" s="385">
        <v>42</v>
      </c>
      <c r="Y96" s="382">
        <v>0</v>
      </c>
      <c r="Z96" s="382">
        <v>15</v>
      </c>
      <c r="AA96" s="382">
        <v>3</v>
      </c>
      <c r="AB96" s="382">
        <v>21</v>
      </c>
      <c r="AC96" s="382">
        <v>13</v>
      </c>
      <c r="AD96" s="382">
        <v>6739</v>
      </c>
      <c r="AE96" s="382">
        <v>74</v>
      </c>
      <c r="AF96" s="382">
        <v>51</v>
      </c>
      <c r="AG96" s="382">
        <v>125</v>
      </c>
    </row>
    <row r="97" spans="1:33" x14ac:dyDescent="0.3">
      <c r="A97" s="381" t="s">
        <v>254</v>
      </c>
      <c r="B97" s="381" t="s">
        <v>255</v>
      </c>
      <c r="C97" s="382">
        <v>2469</v>
      </c>
      <c r="D97" s="382">
        <v>0</v>
      </c>
      <c r="E97" s="382">
        <v>305</v>
      </c>
      <c r="F97" s="382">
        <v>618</v>
      </c>
      <c r="G97" s="382">
        <v>473</v>
      </c>
      <c r="H97" s="382">
        <v>3865</v>
      </c>
      <c r="I97" s="382">
        <v>3392</v>
      </c>
      <c r="J97" s="382">
        <v>2</v>
      </c>
      <c r="K97" s="382">
        <v>91.69</v>
      </c>
      <c r="L97" s="382">
        <v>89.05</v>
      </c>
      <c r="M97" s="382">
        <v>5.04</v>
      </c>
      <c r="N97" s="382">
        <v>94.66</v>
      </c>
      <c r="O97" s="385">
        <v>1271</v>
      </c>
      <c r="P97" s="382">
        <v>96.15</v>
      </c>
      <c r="Q97" s="382">
        <v>84.08</v>
      </c>
      <c r="R97" s="382">
        <v>54.54</v>
      </c>
      <c r="S97" s="382">
        <v>147.83000000000001</v>
      </c>
      <c r="T97" s="385">
        <v>801</v>
      </c>
      <c r="U97" s="382">
        <v>106.11</v>
      </c>
      <c r="V97" s="385">
        <v>902</v>
      </c>
      <c r="W97" s="382">
        <v>117.53</v>
      </c>
      <c r="X97" s="385">
        <v>12</v>
      </c>
      <c r="Y97" s="382">
        <v>2</v>
      </c>
      <c r="Z97" s="382">
        <v>0</v>
      </c>
      <c r="AA97" s="382">
        <v>3</v>
      </c>
      <c r="AB97" s="382">
        <v>100</v>
      </c>
      <c r="AC97" s="382">
        <v>4</v>
      </c>
      <c r="AD97" s="382">
        <v>2243</v>
      </c>
      <c r="AE97" s="382">
        <v>18</v>
      </c>
      <c r="AF97" s="382">
        <v>10</v>
      </c>
      <c r="AG97" s="382">
        <v>28</v>
      </c>
    </row>
    <row r="98" spans="1:33" x14ac:dyDescent="0.3">
      <c r="A98" s="381" t="s">
        <v>256</v>
      </c>
      <c r="B98" s="381" t="s">
        <v>257</v>
      </c>
      <c r="C98" s="382">
        <v>6461</v>
      </c>
      <c r="D98" s="382">
        <v>0</v>
      </c>
      <c r="E98" s="382">
        <v>135</v>
      </c>
      <c r="F98" s="382">
        <v>381</v>
      </c>
      <c r="G98" s="382">
        <v>344</v>
      </c>
      <c r="H98" s="382">
        <v>7321</v>
      </c>
      <c r="I98" s="382">
        <v>6977</v>
      </c>
      <c r="J98" s="382">
        <v>0</v>
      </c>
      <c r="K98" s="382">
        <v>84.04</v>
      </c>
      <c r="L98" s="382">
        <v>81.099999999999994</v>
      </c>
      <c r="M98" s="382">
        <v>6.19</v>
      </c>
      <c r="N98" s="382">
        <v>86.65</v>
      </c>
      <c r="O98" s="385">
        <v>5110</v>
      </c>
      <c r="P98" s="382">
        <v>83.29</v>
      </c>
      <c r="Q98" s="382">
        <v>76.66</v>
      </c>
      <c r="R98" s="382">
        <v>59.88</v>
      </c>
      <c r="S98" s="382">
        <v>142.34</v>
      </c>
      <c r="T98" s="385">
        <v>512</v>
      </c>
      <c r="U98" s="382">
        <v>101.74</v>
      </c>
      <c r="V98" s="385">
        <v>1330</v>
      </c>
      <c r="W98" s="382">
        <v>0</v>
      </c>
      <c r="X98" s="385">
        <v>0</v>
      </c>
      <c r="Y98" s="382">
        <v>538</v>
      </c>
      <c r="Z98" s="382">
        <v>20</v>
      </c>
      <c r="AA98" s="382">
        <v>5</v>
      </c>
      <c r="AB98" s="382">
        <v>24</v>
      </c>
      <c r="AC98" s="382">
        <v>8</v>
      </c>
      <c r="AD98" s="382">
        <v>6461</v>
      </c>
      <c r="AE98" s="382">
        <v>54</v>
      </c>
      <c r="AF98" s="382">
        <v>11</v>
      </c>
      <c r="AG98" s="382">
        <v>65</v>
      </c>
    </row>
    <row r="99" spans="1:33" x14ac:dyDescent="0.3">
      <c r="A99" s="381" t="s">
        <v>258</v>
      </c>
      <c r="B99" s="381" t="s">
        <v>259</v>
      </c>
      <c r="C99" s="382">
        <v>8506</v>
      </c>
      <c r="D99" s="382">
        <v>0</v>
      </c>
      <c r="E99" s="382">
        <v>386</v>
      </c>
      <c r="F99" s="382">
        <v>1375</v>
      </c>
      <c r="G99" s="382">
        <v>283</v>
      </c>
      <c r="H99" s="382">
        <v>10550</v>
      </c>
      <c r="I99" s="382">
        <v>10267</v>
      </c>
      <c r="J99" s="382">
        <v>3</v>
      </c>
      <c r="K99" s="382">
        <v>94.16</v>
      </c>
      <c r="L99" s="382">
        <v>91.1</v>
      </c>
      <c r="M99" s="382">
        <v>3.34</v>
      </c>
      <c r="N99" s="382">
        <v>95.83</v>
      </c>
      <c r="O99" s="385">
        <v>7020</v>
      </c>
      <c r="P99" s="382">
        <v>85.09</v>
      </c>
      <c r="Q99" s="382">
        <v>79.25</v>
      </c>
      <c r="R99" s="382">
        <v>38.200000000000003</v>
      </c>
      <c r="S99" s="382">
        <v>122.52</v>
      </c>
      <c r="T99" s="385">
        <v>1631</v>
      </c>
      <c r="U99" s="382">
        <v>110.27</v>
      </c>
      <c r="V99" s="385">
        <v>1277</v>
      </c>
      <c r="W99" s="382">
        <v>116.85</v>
      </c>
      <c r="X99" s="385">
        <v>19</v>
      </c>
      <c r="Y99" s="382">
        <v>4</v>
      </c>
      <c r="Z99" s="382">
        <v>4</v>
      </c>
      <c r="AA99" s="382">
        <v>29</v>
      </c>
      <c r="AB99" s="382">
        <v>14</v>
      </c>
      <c r="AC99" s="382">
        <v>7</v>
      </c>
      <c r="AD99" s="382">
        <v>8479</v>
      </c>
      <c r="AE99" s="382">
        <v>39</v>
      </c>
      <c r="AF99" s="382">
        <v>62</v>
      </c>
      <c r="AG99" s="382">
        <v>101</v>
      </c>
    </row>
    <row r="100" spans="1:33" x14ac:dyDescent="0.3">
      <c r="A100" s="381" t="s">
        <v>260</v>
      </c>
      <c r="B100" s="381" t="s">
        <v>261</v>
      </c>
      <c r="C100" s="382">
        <v>1711</v>
      </c>
      <c r="D100" s="382">
        <v>0</v>
      </c>
      <c r="E100" s="382">
        <v>236</v>
      </c>
      <c r="F100" s="382">
        <v>632</v>
      </c>
      <c r="G100" s="382">
        <v>169</v>
      </c>
      <c r="H100" s="382">
        <v>2748</v>
      </c>
      <c r="I100" s="382">
        <v>2579</v>
      </c>
      <c r="J100" s="382">
        <v>7</v>
      </c>
      <c r="K100" s="382">
        <v>97.51</v>
      </c>
      <c r="L100" s="382">
        <v>93.79</v>
      </c>
      <c r="M100" s="382">
        <v>8.61</v>
      </c>
      <c r="N100" s="382">
        <v>104.75</v>
      </c>
      <c r="O100" s="385">
        <v>1469</v>
      </c>
      <c r="P100" s="382">
        <v>83.04</v>
      </c>
      <c r="Q100" s="382">
        <v>74.709999999999994</v>
      </c>
      <c r="R100" s="382">
        <v>45.03</v>
      </c>
      <c r="S100" s="382">
        <v>127.47</v>
      </c>
      <c r="T100" s="385">
        <v>684</v>
      </c>
      <c r="U100" s="382">
        <v>139.51</v>
      </c>
      <c r="V100" s="385">
        <v>219</v>
      </c>
      <c r="W100" s="382">
        <v>142.71</v>
      </c>
      <c r="X100" s="385">
        <v>18</v>
      </c>
      <c r="Y100" s="382">
        <v>0</v>
      </c>
      <c r="Z100" s="382">
        <v>0</v>
      </c>
      <c r="AA100" s="382">
        <v>1</v>
      </c>
      <c r="AB100" s="382">
        <v>0</v>
      </c>
      <c r="AC100" s="382">
        <v>8</v>
      </c>
      <c r="AD100" s="382">
        <v>1710</v>
      </c>
      <c r="AE100" s="382">
        <v>5</v>
      </c>
      <c r="AF100" s="382">
        <v>4</v>
      </c>
      <c r="AG100" s="382">
        <v>9</v>
      </c>
    </row>
    <row r="101" spans="1:33" x14ac:dyDescent="0.3">
      <c r="A101" s="381" t="s">
        <v>262</v>
      </c>
      <c r="B101" s="381" t="s">
        <v>263</v>
      </c>
      <c r="C101" s="382">
        <v>6793</v>
      </c>
      <c r="D101" s="382">
        <v>0</v>
      </c>
      <c r="E101" s="382">
        <v>169</v>
      </c>
      <c r="F101" s="382">
        <v>714</v>
      </c>
      <c r="G101" s="382">
        <v>1229</v>
      </c>
      <c r="H101" s="382">
        <v>8905</v>
      </c>
      <c r="I101" s="382">
        <v>7676</v>
      </c>
      <c r="J101" s="382">
        <v>0</v>
      </c>
      <c r="K101" s="382">
        <v>110.87</v>
      </c>
      <c r="L101" s="382">
        <v>106.38</v>
      </c>
      <c r="M101" s="382">
        <v>5.31</v>
      </c>
      <c r="N101" s="382">
        <v>113.62</v>
      </c>
      <c r="O101" s="385">
        <v>4807</v>
      </c>
      <c r="P101" s="382">
        <v>102.69</v>
      </c>
      <c r="Q101" s="382">
        <v>89.13</v>
      </c>
      <c r="R101" s="382">
        <v>37.68</v>
      </c>
      <c r="S101" s="382">
        <v>140.22999999999999</v>
      </c>
      <c r="T101" s="385">
        <v>755</v>
      </c>
      <c r="U101" s="382">
        <v>156.12</v>
      </c>
      <c r="V101" s="385">
        <v>1838</v>
      </c>
      <c r="W101" s="382">
        <v>179.18</v>
      </c>
      <c r="X101" s="385">
        <v>50</v>
      </c>
      <c r="Y101" s="382">
        <v>0</v>
      </c>
      <c r="Z101" s="382">
        <v>11</v>
      </c>
      <c r="AA101" s="382">
        <v>2</v>
      </c>
      <c r="AB101" s="382">
        <v>117</v>
      </c>
      <c r="AC101" s="382">
        <v>34</v>
      </c>
      <c r="AD101" s="382">
        <v>6793</v>
      </c>
      <c r="AE101" s="382">
        <v>73</v>
      </c>
      <c r="AF101" s="382">
        <v>20</v>
      </c>
      <c r="AG101" s="382">
        <v>93</v>
      </c>
    </row>
    <row r="102" spans="1:33" x14ac:dyDescent="0.3">
      <c r="A102" s="381" t="s">
        <v>264</v>
      </c>
      <c r="B102" s="381" t="s">
        <v>265</v>
      </c>
      <c r="C102" s="382">
        <v>2199</v>
      </c>
      <c r="D102" s="382">
        <v>0</v>
      </c>
      <c r="E102" s="382">
        <v>182</v>
      </c>
      <c r="F102" s="382">
        <v>211</v>
      </c>
      <c r="G102" s="382">
        <v>205</v>
      </c>
      <c r="H102" s="382">
        <v>2797</v>
      </c>
      <c r="I102" s="382">
        <v>2592</v>
      </c>
      <c r="J102" s="382">
        <v>10</v>
      </c>
      <c r="K102" s="382">
        <v>97.9</v>
      </c>
      <c r="L102" s="382">
        <v>99.13</v>
      </c>
      <c r="M102" s="382">
        <v>5.71</v>
      </c>
      <c r="N102" s="382">
        <v>99.83</v>
      </c>
      <c r="O102" s="385">
        <v>1928</v>
      </c>
      <c r="P102" s="382">
        <v>94.46</v>
      </c>
      <c r="Q102" s="382">
        <v>84.73</v>
      </c>
      <c r="R102" s="382">
        <v>41.94</v>
      </c>
      <c r="S102" s="382">
        <v>135.18</v>
      </c>
      <c r="T102" s="385">
        <v>380</v>
      </c>
      <c r="U102" s="382">
        <v>110.38</v>
      </c>
      <c r="V102" s="385">
        <v>235</v>
      </c>
      <c r="W102" s="382">
        <v>0</v>
      </c>
      <c r="X102" s="385">
        <v>0</v>
      </c>
      <c r="Y102" s="382">
        <v>0</v>
      </c>
      <c r="Z102" s="382">
        <v>3</v>
      </c>
      <c r="AA102" s="382">
        <v>0</v>
      </c>
      <c r="AB102" s="382">
        <v>17</v>
      </c>
      <c r="AC102" s="382">
        <v>1</v>
      </c>
      <c r="AD102" s="382">
        <v>2161</v>
      </c>
      <c r="AE102" s="382">
        <v>17</v>
      </c>
      <c r="AF102" s="382">
        <v>4</v>
      </c>
      <c r="AG102" s="382">
        <v>21</v>
      </c>
    </row>
    <row r="103" spans="1:33" x14ac:dyDescent="0.3">
      <c r="A103" s="381" t="s">
        <v>266</v>
      </c>
      <c r="B103" s="381" t="s">
        <v>267</v>
      </c>
      <c r="C103" s="382">
        <v>4598</v>
      </c>
      <c r="D103" s="382">
        <v>6</v>
      </c>
      <c r="E103" s="382">
        <v>124</v>
      </c>
      <c r="F103" s="382">
        <v>884</v>
      </c>
      <c r="G103" s="382">
        <v>525</v>
      </c>
      <c r="H103" s="382">
        <v>6137</v>
      </c>
      <c r="I103" s="382">
        <v>5612</v>
      </c>
      <c r="J103" s="382">
        <v>13</v>
      </c>
      <c r="K103" s="382">
        <v>130.59</v>
      </c>
      <c r="L103" s="382">
        <v>132.05000000000001</v>
      </c>
      <c r="M103" s="382">
        <v>10.73</v>
      </c>
      <c r="N103" s="382">
        <v>135.88</v>
      </c>
      <c r="O103" s="385">
        <v>3658</v>
      </c>
      <c r="P103" s="382">
        <v>123.48</v>
      </c>
      <c r="Q103" s="382">
        <v>110.13</v>
      </c>
      <c r="R103" s="382">
        <v>23.7</v>
      </c>
      <c r="S103" s="382">
        <v>146.80000000000001</v>
      </c>
      <c r="T103" s="385">
        <v>794</v>
      </c>
      <c r="U103" s="382">
        <v>207.05</v>
      </c>
      <c r="V103" s="385">
        <v>675</v>
      </c>
      <c r="W103" s="382">
        <v>169.39</v>
      </c>
      <c r="X103" s="385">
        <v>10</v>
      </c>
      <c r="Y103" s="382">
        <v>249</v>
      </c>
      <c r="Z103" s="382">
        <v>12</v>
      </c>
      <c r="AA103" s="382">
        <v>1</v>
      </c>
      <c r="AB103" s="382">
        <v>9</v>
      </c>
      <c r="AC103" s="382">
        <v>25</v>
      </c>
      <c r="AD103" s="382">
        <v>4424</v>
      </c>
      <c r="AE103" s="382">
        <v>16</v>
      </c>
      <c r="AF103" s="382">
        <v>4</v>
      </c>
      <c r="AG103" s="382">
        <v>20</v>
      </c>
    </row>
    <row r="104" spans="1:33" x14ac:dyDescent="0.3">
      <c r="A104" s="381" t="s">
        <v>268</v>
      </c>
      <c r="B104" s="381" t="s">
        <v>269</v>
      </c>
      <c r="C104" s="382">
        <v>7102</v>
      </c>
      <c r="D104" s="382">
        <v>337</v>
      </c>
      <c r="E104" s="382">
        <v>595</v>
      </c>
      <c r="F104" s="382">
        <v>695</v>
      </c>
      <c r="G104" s="382">
        <v>1449</v>
      </c>
      <c r="H104" s="382">
        <v>10178</v>
      </c>
      <c r="I104" s="382">
        <v>8729</v>
      </c>
      <c r="J104" s="382">
        <v>8</v>
      </c>
      <c r="K104" s="382">
        <v>125.04</v>
      </c>
      <c r="L104" s="382">
        <v>124.01</v>
      </c>
      <c r="M104" s="382">
        <v>15.68</v>
      </c>
      <c r="N104" s="382">
        <v>136.61000000000001</v>
      </c>
      <c r="O104" s="385">
        <v>5775</v>
      </c>
      <c r="P104" s="382">
        <v>115.44</v>
      </c>
      <c r="Q104" s="382">
        <v>107.98</v>
      </c>
      <c r="R104" s="382">
        <v>73.5</v>
      </c>
      <c r="S104" s="382">
        <v>186.92</v>
      </c>
      <c r="T104" s="385">
        <v>1096</v>
      </c>
      <c r="U104" s="382">
        <v>200.47</v>
      </c>
      <c r="V104" s="385">
        <v>782</v>
      </c>
      <c r="W104" s="382">
        <v>196.06</v>
      </c>
      <c r="X104" s="385">
        <v>27</v>
      </c>
      <c r="Y104" s="382">
        <v>43</v>
      </c>
      <c r="Z104" s="382">
        <v>5</v>
      </c>
      <c r="AA104" s="382">
        <v>6</v>
      </c>
      <c r="AB104" s="382">
        <v>107</v>
      </c>
      <c r="AC104" s="382">
        <v>72</v>
      </c>
      <c r="AD104" s="382">
        <v>6655</v>
      </c>
      <c r="AE104" s="382">
        <v>100</v>
      </c>
      <c r="AF104" s="382">
        <v>52</v>
      </c>
      <c r="AG104" s="382">
        <v>152</v>
      </c>
    </row>
    <row r="105" spans="1:33" x14ac:dyDescent="0.3">
      <c r="A105" s="381" t="s">
        <v>270</v>
      </c>
      <c r="B105" s="381" t="s">
        <v>271</v>
      </c>
      <c r="C105" s="382">
        <v>1460</v>
      </c>
      <c r="D105" s="382">
        <v>0</v>
      </c>
      <c r="E105" s="382">
        <v>154</v>
      </c>
      <c r="F105" s="382">
        <v>227</v>
      </c>
      <c r="G105" s="382">
        <v>375</v>
      </c>
      <c r="H105" s="382">
        <v>2216</v>
      </c>
      <c r="I105" s="382">
        <v>1841</v>
      </c>
      <c r="J105" s="382">
        <v>2</v>
      </c>
      <c r="K105" s="382">
        <v>123.21</v>
      </c>
      <c r="L105" s="382">
        <v>120.93</v>
      </c>
      <c r="M105" s="382">
        <v>6.38</v>
      </c>
      <c r="N105" s="382">
        <v>128.81</v>
      </c>
      <c r="O105" s="385">
        <v>1229</v>
      </c>
      <c r="P105" s="382">
        <v>97.91</v>
      </c>
      <c r="Q105" s="382">
        <v>91.53</v>
      </c>
      <c r="R105" s="382">
        <v>59.57</v>
      </c>
      <c r="S105" s="382">
        <v>157.26</v>
      </c>
      <c r="T105" s="385">
        <v>281</v>
      </c>
      <c r="U105" s="382">
        <v>189.33</v>
      </c>
      <c r="V105" s="385">
        <v>214</v>
      </c>
      <c r="W105" s="382">
        <v>0</v>
      </c>
      <c r="X105" s="385">
        <v>0</v>
      </c>
      <c r="Y105" s="382">
        <v>0</v>
      </c>
      <c r="Z105" s="382">
        <v>0</v>
      </c>
      <c r="AA105" s="382">
        <v>0</v>
      </c>
      <c r="AB105" s="382">
        <v>0</v>
      </c>
      <c r="AC105" s="382">
        <v>12</v>
      </c>
      <c r="AD105" s="382">
        <v>1460</v>
      </c>
      <c r="AE105" s="382">
        <v>16</v>
      </c>
      <c r="AF105" s="382">
        <v>4</v>
      </c>
      <c r="AG105" s="382">
        <v>20</v>
      </c>
    </row>
    <row r="106" spans="1:33" x14ac:dyDescent="0.3">
      <c r="A106" s="381" t="s">
        <v>272</v>
      </c>
      <c r="B106" s="381" t="s">
        <v>273</v>
      </c>
      <c r="C106" s="382">
        <v>2238</v>
      </c>
      <c r="D106" s="382">
        <v>0</v>
      </c>
      <c r="E106" s="382">
        <v>139</v>
      </c>
      <c r="F106" s="382">
        <v>416</v>
      </c>
      <c r="G106" s="382">
        <v>348</v>
      </c>
      <c r="H106" s="382">
        <v>3141</v>
      </c>
      <c r="I106" s="382">
        <v>2793</v>
      </c>
      <c r="J106" s="382">
        <v>0</v>
      </c>
      <c r="K106" s="382">
        <v>125.24</v>
      </c>
      <c r="L106" s="382">
        <v>117.59</v>
      </c>
      <c r="M106" s="382">
        <v>10.99</v>
      </c>
      <c r="N106" s="382">
        <v>131.29</v>
      </c>
      <c r="O106" s="385">
        <v>1946</v>
      </c>
      <c r="P106" s="382">
        <v>110.25</v>
      </c>
      <c r="Q106" s="382">
        <v>102.72</v>
      </c>
      <c r="R106" s="382">
        <v>29.13</v>
      </c>
      <c r="S106" s="382">
        <v>135.19</v>
      </c>
      <c r="T106" s="385">
        <v>327</v>
      </c>
      <c r="U106" s="382">
        <v>205.37</v>
      </c>
      <c r="V106" s="385">
        <v>269</v>
      </c>
      <c r="W106" s="382">
        <v>269.39999999999998</v>
      </c>
      <c r="X106" s="385">
        <v>56</v>
      </c>
      <c r="Y106" s="382">
        <v>0</v>
      </c>
      <c r="Z106" s="382">
        <v>0</v>
      </c>
      <c r="AA106" s="382">
        <v>0</v>
      </c>
      <c r="AB106" s="382">
        <v>0</v>
      </c>
      <c r="AC106" s="382">
        <v>11</v>
      </c>
      <c r="AD106" s="382">
        <v>2235</v>
      </c>
      <c r="AE106" s="382">
        <v>6</v>
      </c>
      <c r="AF106" s="382">
        <v>4</v>
      </c>
      <c r="AG106" s="382">
        <v>10</v>
      </c>
    </row>
    <row r="107" spans="1:33" x14ac:dyDescent="0.3">
      <c r="A107" s="381" t="s">
        <v>274</v>
      </c>
      <c r="B107" s="381" t="s">
        <v>275</v>
      </c>
      <c r="C107" s="382">
        <v>4692</v>
      </c>
      <c r="D107" s="382">
        <v>0</v>
      </c>
      <c r="E107" s="382">
        <v>121</v>
      </c>
      <c r="F107" s="382">
        <v>1938</v>
      </c>
      <c r="G107" s="382">
        <v>209</v>
      </c>
      <c r="H107" s="382">
        <v>6960</v>
      </c>
      <c r="I107" s="382">
        <v>6751</v>
      </c>
      <c r="J107" s="382">
        <v>2</v>
      </c>
      <c r="K107" s="382">
        <v>92.53</v>
      </c>
      <c r="L107" s="382">
        <v>92.12</v>
      </c>
      <c r="M107" s="382">
        <v>3.54</v>
      </c>
      <c r="N107" s="382">
        <v>95.3</v>
      </c>
      <c r="O107" s="385">
        <v>4147</v>
      </c>
      <c r="P107" s="382">
        <v>83.31</v>
      </c>
      <c r="Q107" s="382">
        <v>82.07</v>
      </c>
      <c r="R107" s="382">
        <v>11.18</v>
      </c>
      <c r="S107" s="382">
        <v>94.16</v>
      </c>
      <c r="T107" s="385">
        <v>1985</v>
      </c>
      <c r="U107" s="382">
        <v>107.45</v>
      </c>
      <c r="V107" s="385">
        <v>489</v>
      </c>
      <c r="W107" s="382">
        <v>96.53</v>
      </c>
      <c r="X107" s="385">
        <v>37</v>
      </c>
      <c r="Y107" s="382">
        <v>0</v>
      </c>
      <c r="Z107" s="382">
        <v>13</v>
      </c>
      <c r="AA107" s="382">
        <v>1</v>
      </c>
      <c r="AB107" s="382">
        <v>9</v>
      </c>
      <c r="AC107" s="382">
        <v>8</v>
      </c>
      <c r="AD107" s="382">
        <v>4692</v>
      </c>
      <c r="AE107" s="382">
        <v>14</v>
      </c>
      <c r="AF107" s="382">
        <v>26</v>
      </c>
      <c r="AG107" s="382">
        <v>40</v>
      </c>
    </row>
    <row r="108" spans="1:33" x14ac:dyDescent="0.3">
      <c r="A108" s="381" t="s">
        <v>276</v>
      </c>
      <c r="B108" s="381" t="s">
        <v>277</v>
      </c>
      <c r="C108" s="382">
        <v>3690</v>
      </c>
      <c r="D108" s="382">
        <v>2</v>
      </c>
      <c r="E108" s="382">
        <v>570</v>
      </c>
      <c r="F108" s="382">
        <v>395</v>
      </c>
      <c r="G108" s="382">
        <v>514</v>
      </c>
      <c r="H108" s="382">
        <v>5171</v>
      </c>
      <c r="I108" s="382">
        <v>4657</v>
      </c>
      <c r="J108" s="382">
        <v>0</v>
      </c>
      <c r="K108" s="382">
        <v>91.05</v>
      </c>
      <c r="L108" s="382">
        <v>88.38</v>
      </c>
      <c r="M108" s="382">
        <v>7.48</v>
      </c>
      <c r="N108" s="382">
        <v>96.84</v>
      </c>
      <c r="O108" s="385">
        <v>3444</v>
      </c>
      <c r="P108" s="382">
        <v>96.32</v>
      </c>
      <c r="Q108" s="382">
        <v>69.37</v>
      </c>
      <c r="R108" s="382">
        <v>90.53</v>
      </c>
      <c r="S108" s="382">
        <v>184.18</v>
      </c>
      <c r="T108" s="385">
        <v>476</v>
      </c>
      <c r="U108" s="382">
        <v>130.63999999999999</v>
      </c>
      <c r="V108" s="385">
        <v>219</v>
      </c>
      <c r="W108" s="382">
        <v>130.22</v>
      </c>
      <c r="X108" s="385">
        <v>61</v>
      </c>
      <c r="Y108" s="382">
        <v>0</v>
      </c>
      <c r="Z108" s="382">
        <v>0</v>
      </c>
      <c r="AA108" s="382">
        <v>1</v>
      </c>
      <c r="AB108" s="382">
        <v>52</v>
      </c>
      <c r="AC108" s="382">
        <v>15</v>
      </c>
      <c r="AD108" s="382">
        <v>3668</v>
      </c>
      <c r="AE108" s="382">
        <v>13</v>
      </c>
      <c r="AF108" s="382">
        <v>31</v>
      </c>
      <c r="AG108" s="382">
        <v>44</v>
      </c>
    </row>
    <row r="109" spans="1:33" x14ac:dyDescent="0.3">
      <c r="A109" s="381" t="s">
        <v>278</v>
      </c>
      <c r="B109" s="381" t="s">
        <v>279</v>
      </c>
      <c r="C109" s="382">
        <v>1538</v>
      </c>
      <c r="D109" s="382">
        <v>0</v>
      </c>
      <c r="E109" s="382">
        <v>187</v>
      </c>
      <c r="F109" s="382">
        <v>183</v>
      </c>
      <c r="G109" s="382">
        <v>252</v>
      </c>
      <c r="H109" s="382">
        <v>2160</v>
      </c>
      <c r="I109" s="382">
        <v>1908</v>
      </c>
      <c r="J109" s="382">
        <v>3</v>
      </c>
      <c r="K109" s="382">
        <v>108.99</v>
      </c>
      <c r="L109" s="382">
        <v>105.66</v>
      </c>
      <c r="M109" s="382">
        <v>8.7799999999999994</v>
      </c>
      <c r="N109" s="382">
        <v>115.36</v>
      </c>
      <c r="O109" s="385">
        <v>1070</v>
      </c>
      <c r="P109" s="382">
        <v>111.57</v>
      </c>
      <c r="Q109" s="382">
        <v>89.31</v>
      </c>
      <c r="R109" s="382">
        <v>61.1</v>
      </c>
      <c r="S109" s="382">
        <v>171.9</v>
      </c>
      <c r="T109" s="385">
        <v>237</v>
      </c>
      <c r="U109" s="382">
        <v>152.22999999999999</v>
      </c>
      <c r="V109" s="385">
        <v>366</v>
      </c>
      <c r="W109" s="382">
        <v>0</v>
      </c>
      <c r="X109" s="385">
        <v>0</v>
      </c>
      <c r="Y109" s="382">
        <v>25</v>
      </c>
      <c r="Z109" s="382">
        <v>1</v>
      </c>
      <c r="AA109" s="382">
        <v>0</v>
      </c>
      <c r="AB109" s="382">
        <v>16</v>
      </c>
      <c r="AC109" s="382">
        <v>15</v>
      </c>
      <c r="AD109" s="382">
        <v>1526</v>
      </c>
      <c r="AE109" s="382">
        <v>10</v>
      </c>
      <c r="AF109" s="382">
        <v>2</v>
      </c>
      <c r="AG109" s="382">
        <v>12</v>
      </c>
    </row>
    <row r="110" spans="1:33" x14ac:dyDescent="0.3">
      <c r="A110" s="381" t="s">
        <v>280</v>
      </c>
      <c r="B110" s="381" t="s">
        <v>281</v>
      </c>
      <c r="C110" s="382">
        <v>4853</v>
      </c>
      <c r="D110" s="382">
        <v>0</v>
      </c>
      <c r="E110" s="382">
        <v>250</v>
      </c>
      <c r="F110" s="382">
        <v>756</v>
      </c>
      <c r="G110" s="382">
        <v>219</v>
      </c>
      <c r="H110" s="382">
        <v>6078</v>
      </c>
      <c r="I110" s="382">
        <v>5859</v>
      </c>
      <c r="J110" s="382">
        <v>3</v>
      </c>
      <c r="K110" s="382">
        <v>91.53</v>
      </c>
      <c r="L110" s="382">
        <v>88.5</v>
      </c>
      <c r="M110" s="382">
        <v>5.87</v>
      </c>
      <c r="N110" s="382">
        <v>94.32</v>
      </c>
      <c r="O110" s="385">
        <v>4373</v>
      </c>
      <c r="P110" s="382">
        <v>99.89</v>
      </c>
      <c r="Q110" s="382">
        <v>83.22</v>
      </c>
      <c r="R110" s="382">
        <v>50.34</v>
      </c>
      <c r="S110" s="382">
        <v>148.33000000000001</v>
      </c>
      <c r="T110" s="385">
        <v>898</v>
      </c>
      <c r="U110" s="382">
        <v>115.58</v>
      </c>
      <c r="V110" s="385">
        <v>429</v>
      </c>
      <c r="W110" s="382">
        <v>241.75</v>
      </c>
      <c r="X110" s="385">
        <v>60</v>
      </c>
      <c r="Y110" s="382">
        <v>0</v>
      </c>
      <c r="Z110" s="382">
        <v>9</v>
      </c>
      <c r="AA110" s="382">
        <v>0</v>
      </c>
      <c r="AB110" s="382">
        <v>49</v>
      </c>
      <c r="AC110" s="382">
        <v>4</v>
      </c>
      <c r="AD110" s="382">
        <v>4853</v>
      </c>
      <c r="AE110" s="382">
        <v>23</v>
      </c>
      <c r="AF110" s="382">
        <v>30</v>
      </c>
      <c r="AG110" s="382">
        <v>53</v>
      </c>
    </row>
    <row r="111" spans="1:33" x14ac:dyDescent="0.3">
      <c r="A111" s="381" t="s">
        <v>282</v>
      </c>
      <c r="B111" s="381" t="s">
        <v>283</v>
      </c>
      <c r="C111" s="382">
        <v>1610</v>
      </c>
      <c r="D111" s="382">
        <v>0</v>
      </c>
      <c r="E111" s="382">
        <v>168</v>
      </c>
      <c r="F111" s="382">
        <v>264</v>
      </c>
      <c r="G111" s="382">
        <v>302</v>
      </c>
      <c r="H111" s="382">
        <v>2344</v>
      </c>
      <c r="I111" s="382">
        <v>2042</v>
      </c>
      <c r="J111" s="382">
        <v>16</v>
      </c>
      <c r="K111" s="382">
        <v>96.64</v>
      </c>
      <c r="L111" s="382">
        <v>95.04</v>
      </c>
      <c r="M111" s="382">
        <v>8.6199999999999992</v>
      </c>
      <c r="N111" s="382">
        <v>102.84</v>
      </c>
      <c r="O111" s="385">
        <v>1203</v>
      </c>
      <c r="P111" s="382">
        <v>101.69</v>
      </c>
      <c r="Q111" s="382">
        <v>81.05</v>
      </c>
      <c r="R111" s="382">
        <v>51.98</v>
      </c>
      <c r="S111" s="382">
        <v>153.24</v>
      </c>
      <c r="T111" s="385">
        <v>359</v>
      </c>
      <c r="U111" s="382">
        <v>141.49</v>
      </c>
      <c r="V111" s="385">
        <v>223</v>
      </c>
      <c r="W111" s="382">
        <v>76.430000000000007</v>
      </c>
      <c r="X111" s="385">
        <v>7</v>
      </c>
      <c r="Y111" s="382">
        <v>0</v>
      </c>
      <c r="Z111" s="382">
        <v>1</v>
      </c>
      <c r="AA111" s="382">
        <v>0</v>
      </c>
      <c r="AB111" s="382">
        <v>6</v>
      </c>
      <c r="AC111" s="382">
        <v>6</v>
      </c>
      <c r="AD111" s="382">
        <v>1449</v>
      </c>
      <c r="AE111" s="382">
        <v>5</v>
      </c>
      <c r="AF111" s="382">
        <v>6</v>
      </c>
      <c r="AG111" s="382">
        <v>11</v>
      </c>
    </row>
    <row r="112" spans="1:33" x14ac:dyDescent="0.3">
      <c r="A112" s="381" t="s">
        <v>284</v>
      </c>
      <c r="B112" s="381" t="s">
        <v>285</v>
      </c>
      <c r="C112" s="382">
        <v>4342</v>
      </c>
      <c r="D112" s="382">
        <v>0</v>
      </c>
      <c r="E112" s="382">
        <v>73</v>
      </c>
      <c r="F112" s="382">
        <v>786</v>
      </c>
      <c r="G112" s="382">
        <v>332</v>
      </c>
      <c r="H112" s="382">
        <v>5533</v>
      </c>
      <c r="I112" s="382">
        <v>5201</v>
      </c>
      <c r="J112" s="382">
        <v>9</v>
      </c>
      <c r="K112" s="382">
        <v>96.22</v>
      </c>
      <c r="L112" s="382">
        <v>93</v>
      </c>
      <c r="M112" s="382">
        <v>2.0499999999999998</v>
      </c>
      <c r="N112" s="382">
        <v>98.01</v>
      </c>
      <c r="O112" s="385">
        <v>3290</v>
      </c>
      <c r="P112" s="382">
        <v>91.15</v>
      </c>
      <c r="Q112" s="382">
        <v>83.26</v>
      </c>
      <c r="R112" s="382">
        <v>23.27</v>
      </c>
      <c r="S112" s="382">
        <v>113.99</v>
      </c>
      <c r="T112" s="385">
        <v>745</v>
      </c>
      <c r="U112" s="382">
        <v>118.63</v>
      </c>
      <c r="V112" s="385">
        <v>625</v>
      </c>
      <c r="W112" s="382">
        <v>215.09</v>
      </c>
      <c r="X112" s="385">
        <v>79</v>
      </c>
      <c r="Y112" s="382">
        <v>8</v>
      </c>
      <c r="Z112" s="382">
        <v>7</v>
      </c>
      <c r="AA112" s="382">
        <v>3</v>
      </c>
      <c r="AB112" s="382">
        <v>64</v>
      </c>
      <c r="AC112" s="382">
        <v>7</v>
      </c>
      <c r="AD112" s="382">
        <v>3901</v>
      </c>
      <c r="AE112" s="382">
        <v>16</v>
      </c>
      <c r="AF112" s="382">
        <v>29</v>
      </c>
      <c r="AG112" s="382">
        <v>45</v>
      </c>
    </row>
    <row r="113" spans="1:33" x14ac:dyDescent="0.3">
      <c r="A113" s="381" t="s">
        <v>286</v>
      </c>
      <c r="B113" s="381" t="s">
        <v>287</v>
      </c>
      <c r="C113" s="382">
        <v>2533</v>
      </c>
      <c r="D113" s="382">
        <v>0</v>
      </c>
      <c r="E113" s="382">
        <v>152</v>
      </c>
      <c r="F113" s="382">
        <v>504</v>
      </c>
      <c r="G113" s="382">
        <v>249</v>
      </c>
      <c r="H113" s="382">
        <v>3438</v>
      </c>
      <c r="I113" s="382">
        <v>3189</v>
      </c>
      <c r="J113" s="382">
        <v>0</v>
      </c>
      <c r="K113" s="382">
        <v>89.19</v>
      </c>
      <c r="L113" s="382">
        <v>86.65</v>
      </c>
      <c r="M113" s="382">
        <v>3.49</v>
      </c>
      <c r="N113" s="382">
        <v>92.44</v>
      </c>
      <c r="O113" s="385">
        <v>1856</v>
      </c>
      <c r="P113" s="382">
        <v>95.17</v>
      </c>
      <c r="Q113" s="382">
        <v>80.900000000000006</v>
      </c>
      <c r="R113" s="382">
        <v>24.01</v>
      </c>
      <c r="S113" s="382">
        <v>118.54</v>
      </c>
      <c r="T113" s="385">
        <v>603</v>
      </c>
      <c r="U113" s="382">
        <v>113.72</v>
      </c>
      <c r="V113" s="385">
        <v>658</v>
      </c>
      <c r="W113" s="382">
        <v>0</v>
      </c>
      <c r="X113" s="385">
        <v>0</v>
      </c>
      <c r="Y113" s="382">
        <v>39</v>
      </c>
      <c r="Z113" s="382">
        <v>4</v>
      </c>
      <c r="AA113" s="382">
        <v>1</v>
      </c>
      <c r="AB113" s="382">
        <v>37</v>
      </c>
      <c r="AC113" s="382">
        <v>4</v>
      </c>
      <c r="AD113" s="382">
        <v>2514</v>
      </c>
      <c r="AE113" s="382">
        <v>16</v>
      </c>
      <c r="AF113" s="382">
        <v>3</v>
      </c>
      <c r="AG113" s="382">
        <v>19</v>
      </c>
    </row>
    <row r="114" spans="1:33" x14ac:dyDescent="0.3">
      <c r="A114" s="381" t="s">
        <v>288</v>
      </c>
      <c r="B114" s="381" t="s">
        <v>289</v>
      </c>
      <c r="C114" s="382">
        <v>4031</v>
      </c>
      <c r="D114" s="382">
        <v>0</v>
      </c>
      <c r="E114" s="382">
        <v>497</v>
      </c>
      <c r="F114" s="382">
        <v>1036</v>
      </c>
      <c r="G114" s="382">
        <v>303</v>
      </c>
      <c r="H114" s="382">
        <v>5867</v>
      </c>
      <c r="I114" s="382">
        <v>5564</v>
      </c>
      <c r="J114" s="382">
        <v>20</v>
      </c>
      <c r="K114" s="382">
        <v>80.89</v>
      </c>
      <c r="L114" s="382">
        <v>78.010000000000005</v>
      </c>
      <c r="M114" s="382">
        <v>7.36</v>
      </c>
      <c r="N114" s="382">
        <v>85.3</v>
      </c>
      <c r="O114" s="385">
        <v>2858</v>
      </c>
      <c r="P114" s="382">
        <v>97.26</v>
      </c>
      <c r="Q114" s="382">
        <v>79.91</v>
      </c>
      <c r="R114" s="382">
        <v>58.1</v>
      </c>
      <c r="S114" s="382">
        <v>152.83000000000001</v>
      </c>
      <c r="T114" s="385">
        <v>1351</v>
      </c>
      <c r="U114" s="382">
        <v>99.48</v>
      </c>
      <c r="V114" s="385">
        <v>1132</v>
      </c>
      <c r="W114" s="382">
        <v>188.03</v>
      </c>
      <c r="X114" s="385">
        <v>163</v>
      </c>
      <c r="Y114" s="382">
        <v>0</v>
      </c>
      <c r="Z114" s="382">
        <v>2</v>
      </c>
      <c r="AA114" s="382">
        <v>6</v>
      </c>
      <c r="AB114" s="382">
        <v>17</v>
      </c>
      <c r="AC114" s="382">
        <v>4</v>
      </c>
      <c r="AD114" s="382">
        <v>3712</v>
      </c>
      <c r="AE114" s="382">
        <v>27</v>
      </c>
      <c r="AF114" s="382">
        <v>70</v>
      </c>
      <c r="AG114" s="382">
        <v>97</v>
      </c>
    </row>
    <row r="115" spans="1:33" x14ac:dyDescent="0.3">
      <c r="A115" s="381" t="s">
        <v>290</v>
      </c>
      <c r="B115" s="381" t="s">
        <v>291</v>
      </c>
      <c r="C115" s="382">
        <v>3640</v>
      </c>
      <c r="D115" s="382">
        <v>0</v>
      </c>
      <c r="E115" s="382">
        <v>192</v>
      </c>
      <c r="F115" s="382">
        <v>1159</v>
      </c>
      <c r="G115" s="382">
        <v>211</v>
      </c>
      <c r="H115" s="382">
        <v>5202</v>
      </c>
      <c r="I115" s="382">
        <v>4991</v>
      </c>
      <c r="J115" s="382">
        <v>0</v>
      </c>
      <c r="K115" s="382">
        <v>84.62</v>
      </c>
      <c r="L115" s="382">
        <v>83.1</v>
      </c>
      <c r="M115" s="382">
        <v>5.03</v>
      </c>
      <c r="N115" s="382">
        <v>86.51</v>
      </c>
      <c r="O115" s="385">
        <v>3355</v>
      </c>
      <c r="P115" s="382">
        <v>88.29</v>
      </c>
      <c r="Q115" s="382">
        <v>75.099999999999994</v>
      </c>
      <c r="R115" s="382">
        <v>33.25</v>
      </c>
      <c r="S115" s="382">
        <v>121.26</v>
      </c>
      <c r="T115" s="385">
        <v>1323</v>
      </c>
      <c r="U115" s="382">
        <v>112.79</v>
      </c>
      <c r="V115" s="385">
        <v>270</v>
      </c>
      <c r="W115" s="382">
        <v>174.7</v>
      </c>
      <c r="X115" s="385">
        <v>19</v>
      </c>
      <c r="Y115" s="382">
        <v>0</v>
      </c>
      <c r="Z115" s="382">
        <v>23</v>
      </c>
      <c r="AA115" s="382">
        <v>13</v>
      </c>
      <c r="AB115" s="382">
        <v>17</v>
      </c>
      <c r="AC115" s="382">
        <v>9</v>
      </c>
      <c r="AD115" s="382">
        <v>3640</v>
      </c>
      <c r="AE115" s="382">
        <v>14</v>
      </c>
      <c r="AF115" s="382">
        <v>10</v>
      </c>
      <c r="AG115" s="382">
        <v>24</v>
      </c>
    </row>
    <row r="116" spans="1:33" x14ac:dyDescent="0.3">
      <c r="A116" s="381" t="s">
        <v>292</v>
      </c>
      <c r="B116" s="381" t="s">
        <v>293</v>
      </c>
      <c r="C116" s="382">
        <v>7051</v>
      </c>
      <c r="D116" s="382">
        <v>0</v>
      </c>
      <c r="E116" s="382">
        <v>589</v>
      </c>
      <c r="F116" s="382">
        <v>793</v>
      </c>
      <c r="G116" s="382">
        <v>637</v>
      </c>
      <c r="H116" s="382">
        <v>9070</v>
      </c>
      <c r="I116" s="382">
        <v>8433</v>
      </c>
      <c r="J116" s="382">
        <v>12</v>
      </c>
      <c r="K116" s="382">
        <v>87.93</v>
      </c>
      <c r="L116" s="382">
        <v>86.76</v>
      </c>
      <c r="M116" s="382">
        <v>9.0299999999999994</v>
      </c>
      <c r="N116" s="382">
        <v>92.04</v>
      </c>
      <c r="O116" s="385">
        <v>6263</v>
      </c>
      <c r="P116" s="382">
        <v>88.77</v>
      </c>
      <c r="Q116" s="382">
        <v>83.92</v>
      </c>
      <c r="R116" s="382">
        <v>55.17</v>
      </c>
      <c r="S116" s="382">
        <v>143.22999999999999</v>
      </c>
      <c r="T116" s="385">
        <v>1007</v>
      </c>
      <c r="U116" s="382">
        <v>124.41</v>
      </c>
      <c r="V116" s="385">
        <v>684</v>
      </c>
      <c r="W116" s="382">
        <v>230.71</v>
      </c>
      <c r="X116" s="385">
        <v>90</v>
      </c>
      <c r="Y116" s="382">
        <v>1</v>
      </c>
      <c r="Z116" s="382">
        <v>16</v>
      </c>
      <c r="AA116" s="382">
        <v>0</v>
      </c>
      <c r="AB116" s="382">
        <v>75</v>
      </c>
      <c r="AC116" s="382">
        <v>10</v>
      </c>
      <c r="AD116" s="382">
        <v>6992</v>
      </c>
      <c r="AE116" s="382">
        <v>71</v>
      </c>
      <c r="AF116" s="382">
        <v>8</v>
      </c>
      <c r="AG116" s="382">
        <v>79</v>
      </c>
    </row>
    <row r="117" spans="1:33" x14ac:dyDescent="0.3">
      <c r="A117" s="381" t="s">
        <v>294</v>
      </c>
      <c r="B117" s="381" t="s">
        <v>295</v>
      </c>
      <c r="C117" s="382">
        <v>2345</v>
      </c>
      <c r="D117" s="382">
        <v>0</v>
      </c>
      <c r="E117" s="382">
        <v>86</v>
      </c>
      <c r="F117" s="382">
        <v>584</v>
      </c>
      <c r="G117" s="382">
        <v>494</v>
      </c>
      <c r="H117" s="382">
        <v>3509</v>
      </c>
      <c r="I117" s="382">
        <v>3015</v>
      </c>
      <c r="J117" s="382">
        <v>39</v>
      </c>
      <c r="K117" s="382">
        <v>101.16</v>
      </c>
      <c r="L117" s="382">
        <v>96.74</v>
      </c>
      <c r="M117" s="382">
        <v>10.28</v>
      </c>
      <c r="N117" s="382">
        <v>110.06</v>
      </c>
      <c r="O117" s="385">
        <v>1915</v>
      </c>
      <c r="P117" s="382">
        <v>97.47</v>
      </c>
      <c r="Q117" s="382">
        <v>87.78</v>
      </c>
      <c r="R117" s="382">
        <v>39.6</v>
      </c>
      <c r="S117" s="382">
        <v>133.91999999999999</v>
      </c>
      <c r="T117" s="385">
        <v>389</v>
      </c>
      <c r="U117" s="382">
        <v>132.13999999999999</v>
      </c>
      <c r="V117" s="385">
        <v>298</v>
      </c>
      <c r="W117" s="382">
        <v>140.82</v>
      </c>
      <c r="X117" s="385">
        <v>26</v>
      </c>
      <c r="Y117" s="382">
        <v>0</v>
      </c>
      <c r="Z117" s="382">
        <v>1</v>
      </c>
      <c r="AA117" s="382">
        <v>0</v>
      </c>
      <c r="AB117" s="382">
        <v>56</v>
      </c>
      <c r="AC117" s="382">
        <v>9</v>
      </c>
      <c r="AD117" s="382">
        <v>2345</v>
      </c>
      <c r="AE117" s="382">
        <v>10</v>
      </c>
      <c r="AF117" s="382">
        <v>4</v>
      </c>
      <c r="AG117" s="382">
        <v>14</v>
      </c>
    </row>
    <row r="118" spans="1:33" x14ac:dyDescent="0.3">
      <c r="A118" s="381" t="s">
        <v>296</v>
      </c>
      <c r="B118" s="381" t="s">
        <v>297</v>
      </c>
      <c r="C118" s="382">
        <v>1576</v>
      </c>
      <c r="D118" s="382">
        <v>0</v>
      </c>
      <c r="E118" s="382">
        <v>90</v>
      </c>
      <c r="F118" s="382">
        <v>178</v>
      </c>
      <c r="G118" s="382">
        <v>634</v>
      </c>
      <c r="H118" s="382">
        <v>2478</v>
      </c>
      <c r="I118" s="382">
        <v>1844</v>
      </c>
      <c r="J118" s="382">
        <v>12</v>
      </c>
      <c r="K118" s="382">
        <v>108.56</v>
      </c>
      <c r="L118" s="382">
        <v>108.63</v>
      </c>
      <c r="M118" s="382">
        <v>6.58</v>
      </c>
      <c r="N118" s="382">
        <v>113.81</v>
      </c>
      <c r="O118" s="385">
        <v>744</v>
      </c>
      <c r="P118" s="382">
        <v>101.98</v>
      </c>
      <c r="Q118" s="382">
        <v>87.52</v>
      </c>
      <c r="R118" s="382">
        <v>82.34</v>
      </c>
      <c r="S118" s="382">
        <v>171.38</v>
      </c>
      <c r="T118" s="385">
        <v>70</v>
      </c>
      <c r="U118" s="382">
        <v>153.34</v>
      </c>
      <c r="V118" s="385">
        <v>435</v>
      </c>
      <c r="W118" s="382">
        <v>231.99</v>
      </c>
      <c r="X118" s="385">
        <v>57</v>
      </c>
      <c r="Y118" s="382">
        <v>20</v>
      </c>
      <c r="Z118" s="382">
        <v>1</v>
      </c>
      <c r="AA118" s="382">
        <v>0</v>
      </c>
      <c r="AB118" s="382">
        <v>173</v>
      </c>
      <c r="AC118" s="382">
        <v>11</v>
      </c>
      <c r="AD118" s="382">
        <v>1184</v>
      </c>
      <c r="AE118" s="382">
        <v>6</v>
      </c>
      <c r="AF118" s="382">
        <v>12</v>
      </c>
      <c r="AG118" s="382">
        <v>18</v>
      </c>
    </row>
    <row r="119" spans="1:33" x14ac:dyDescent="0.3">
      <c r="A119" s="381" t="s">
        <v>298</v>
      </c>
      <c r="B119" s="381" t="s">
        <v>299</v>
      </c>
      <c r="C119" s="382">
        <v>1459</v>
      </c>
      <c r="D119" s="382">
        <v>0</v>
      </c>
      <c r="E119" s="382">
        <v>259</v>
      </c>
      <c r="F119" s="382">
        <v>149</v>
      </c>
      <c r="G119" s="382">
        <v>97</v>
      </c>
      <c r="H119" s="382">
        <v>1964</v>
      </c>
      <c r="I119" s="382">
        <v>1867</v>
      </c>
      <c r="J119" s="382">
        <v>0</v>
      </c>
      <c r="K119" s="382">
        <v>89.26</v>
      </c>
      <c r="L119" s="382">
        <v>87.02</v>
      </c>
      <c r="M119" s="382">
        <v>5.85</v>
      </c>
      <c r="N119" s="382">
        <v>93.18</v>
      </c>
      <c r="O119" s="385">
        <v>1174</v>
      </c>
      <c r="P119" s="382">
        <v>100.43</v>
      </c>
      <c r="Q119" s="382">
        <v>84.25</v>
      </c>
      <c r="R119" s="382">
        <v>69.75</v>
      </c>
      <c r="S119" s="382">
        <v>169.92</v>
      </c>
      <c r="T119" s="385">
        <v>276</v>
      </c>
      <c r="U119" s="382">
        <v>106.74</v>
      </c>
      <c r="V119" s="385">
        <v>250</v>
      </c>
      <c r="W119" s="382">
        <v>0</v>
      </c>
      <c r="X119" s="385">
        <v>0</v>
      </c>
      <c r="Y119" s="382">
        <v>9</v>
      </c>
      <c r="Z119" s="382">
        <v>0</v>
      </c>
      <c r="AA119" s="382">
        <v>31</v>
      </c>
      <c r="AB119" s="382">
        <v>0</v>
      </c>
      <c r="AC119" s="382">
        <v>3</v>
      </c>
      <c r="AD119" s="382">
        <v>1459</v>
      </c>
      <c r="AE119" s="382">
        <v>24</v>
      </c>
      <c r="AF119" s="382">
        <v>19</v>
      </c>
      <c r="AG119" s="382">
        <v>43</v>
      </c>
    </row>
    <row r="120" spans="1:33" x14ac:dyDescent="0.3">
      <c r="A120" s="381" t="s">
        <v>300</v>
      </c>
      <c r="B120" s="381" t="s">
        <v>301</v>
      </c>
      <c r="C120" s="382">
        <v>13286</v>
      </c>
      <c r="D120" s="382">
        <v>160</v>
      </c>
      <c r="E120" s="382">
        <v>419</v>
      </c>
      <c r="F120" s="382">
        <v>980</v>
      </c>
      <c r="G120" s="382">
        <v>2879</v>
      </c>
      <c r="H120" s="382">
        <v>17724</v>
      </c>
      <c r="I120" s="382">
        <v>14845</v>
      </c>
      <c r="J120" s="382">
        <v>85</v>
      </c>
      <c r="K120" s="382">
        <v>122.34</v>
      </c>
      <c r="L120" s="382">
        <v>121.44</v>
      </c>
      <c r="M120" s="382">
        <v>16.64</v>
      </c>
      <c r="N120" s="382">
        <v>135.30000000000001</v>
      </c>
      <c r="O120" s="385">
        <v>10020</v>
      </c>
      <c r="P120" s="382">
        <v>117.82</v>
      </c>
      <c r="Q120" s="382">
        <v>106.48</v>
      </c>
      <c r="R120" s="382">
        <v>56.92</v>
      </c>
      <c r="S120" s="382">
        <v>173.51</v>
      </c>
      <c r="T120" s="385">
        <v>1210</v>
      </c>
      <c r="U120" s="382">
        <v>182.39</v>
      </c>
      <c r="V120" s="385">
        <v>1534</v>
      </c>
      <c r="W120" s="382">
        <v>0</v>
      </c>
      <c r="X120" s="385">
        <v>0</v>
      </c>
      <c r="Y120" s="382">
        <v>3</v>
      </c>
      <c r="Z120" s="382">
        <v>6</v>
      </c>
      <c r="AA120" s="382">
        <v>20</v>
      </c>
      <c r="AB120" s="382">
        <v>113</v>
      </c>
      <c r="AC120" s="382">
        <v>108</v>
      </c>
      <c r="AD120" s="382">
        <v>11979</v>
      </c>
      <c r="AE120" s="382">
        <v>148</v>
      </c>
      <c r="AF120" s="382">
        <v>47</v>
      </c>
      <c r="AG120" s="382">
        <v>195</v>
      </c>
    </row>
    <row r="121" spans="1:33" x14ac:dyDescent="0.3">
      <c r="A121" s="381" t="s">
        <v>302</v>
      </c>
      <c r="B121" s="381" t="s">
        <v>303</v>
      </c>
      <c r="C121" s="382">
        <v>1894</v>
      </c>
      <c r="D121" s="382">
        <v>0</v>
      </c>
      <c r="E121" s="382">
        <v>272</v>
      </c>
      <c r="F121" s="382">
        <v>215</v>
      </c>
      <c r="G121" s="382">
        <v>505</v>
      </c>
      <c r="H121" s="382">
        <v>2886</v>
      </c>
      <c r="I121" s="382">
        <v>2381</v>
      </c>
      <c r="J121" s="382">
        <v>2</v>
      </c>
      <c r="K121" s="382">
        <v>128.30000000000001</v>
      </c>
      <c r="L121" s="382">
        <v>125.8</v>
      </c>
      <c r="M121" s="382">
        <v>8.67</v>
      </c>
      <c r="N121" s="382">
        <v>135.35</v>
      </c>
      <c r="O121" s="385">
        <v>1368</v>
      </c>
      <c r="P121" s="382">
        <v>98.25</v>
      </c>
      <c r="Q121" s="382">
        <v>87.78</v>
      </c>
      <c r="R121" s="382">
        <v>85.65</v>
      </c>
      <c r="S121" s="382">
        <v>180.79</v>
      </c>
      <c r="T121" s="385">
        <v>220</v>
      </c>
      <c r="U121" s="382">
        <v>179.23</v>
      </c>
      <c r="V121" s="385">
        <v>367</v>
      </c>
      <c r="W121" s="382">
        <v>264.19</v>
      </c>
      <c r="X121" s="385">
        <v>43</v>
      </c>
      <c r="Y121" s="382">
        <v>0</v>
      </c>
      <c r="Z121" s="382">
        <v>0</v>
      </c>
      <c r="AA121" s="382">
        <v>0</v>
      </c>
      <c r="AB121" s="382">
        <v>67</v>
      </c>
      <c r="AC121" s="382">
        <v>13</v>
      </c>
      <c r="AD121" s="382">
        <v>1729</v>
      </c>
      <c r="AE121" s="382">
        <v>12</v>
      </c>
      <c r="AF121" s="382">
        <v>1</v>
      </c>
      <c r="AG121" s="382">
        <v>13</v>
      </c>
    </row>
    <row r="122" spans="1:33" x14ac:dyDescent="0.3">
      <c r="A122" s="381" t="s">
        <v>304</v>
      </c>
      <c r="B122" s="381" t="s">
        <v>305</v>
      </c>
      <c r="C122" s="382">
        <v>19910</v>
      </c>
      <c r="D122" s="382">
        <v>596</v>
      </c>
      <c r="E122" s="382">
        <v>1550</v>
      </c>
      <c r="F122" s="382">
        <v>1786</v>
      </c>
      <c r="G122" s="382">
        <v>2519</v>
      </c>
      <c r="H122" s="382">
        <v>26361</v>
      </c>
      <c r="I122" s="382">
        <v>23842</v>
      </c>
      <c r="J122" s="382">
        <v>114</v>
      </c>
      <c r="K122" s="382">
        <v>123.4</v>
      </c>
      <c r="L122" s="382">
        <v>129.11000000000001</v>
      </c>
      <c r="M122" s="382">
        <v>14.35</v>
      </c>
      <c r="N122" s="382">
        <v>134.35</v>
      </c>
      <c r="O122" s="385">
        <v>17298</v>
      </c>
      <c r="P122" s="382">
        <v>109.32</v>
      </c>
      <c r="Q122" s="382">
        <v>108.86</v>
      </c>
      <c r="R122" s="382">
        <v>63.03</v>
      </c>
      <c r="S122" s="382">
        <v>168.3</v>
      </c>
      <c r="T122" s="385">
        <v>2768</v>
      </c>
      <c r="U122" s="382">
        <v>221.6</v>
      </c>
      <c r="V122" s="385">
        <v>1079</v>
      </c>
      <c r="W122" s="382">
        <v>264.95999999999998</v>
      </c>
      <c r="X122" s="385">
        <v>53</v>
      </c>
      <c r="Y122" s="382">
        <v>54</v>
      </c>
      <c r="Z122" s="382">
        <v>31</v>
      </c>
      <c r="AA122" s="382">
        <v>13</v>
      </c>
      <c r="AB122" s="382">
        <v>88</v>
      </c>
      <c r="AC122" s="382">
        <v>70</v>
      </c>
      <c r="AD122" s="382">
        <v>18740</v>
      </c>
      <c r="AE122" s="382">
        <v>95</v>
      </c>
      <c r="AF122" s="382">
        <v>92</v>
      </c>
      <c r="AG122" s="382">
        <v>187</v>
      </c>
    </row>
    <row r="123" spans="1:33" x14ac:dyDescent="0.3">
      <c r="A123" s="381" t="s">
        <v>306</v>
      </c>
      <c r="B123" s="381" t="s">
        <v>307</v>
      </c>
      <c r="C123" s="382">
        <v>13360</v>
      </c>
      <c r="D123" s="382">
        <v>0</v>
      </c>
      <c r="E123" s="382">
        <v>494</v>
      </c>
      <c r="F123" s="382">
        <v>467</v>
      </c>
      <c r="G123" s="382">
        <v>357</v>
      </c>
      <c r="H123" s="382">
        <v>14678</v>
      </c>
      <c r="I123" s="382">
        <v>14321</v>
      </c>
      <c r="J123" s="382">
        <v>15</v>
      </c>
      <c r="K123" s="382">
        <v>85.34</v>
      </c>
      <c r="L123" s="382">
        <v>84.84</v>
      </c>
      <c r="M123" s="382">
        <v>4.63</v>
      </c>
      <c r="N123" s="382">
        <v>89.79</v>
      </c>
      <c r="O123" s="385">
        <v>11238</v>
      </c>
      <c r="P123" s="382">
        <v>91.19</v>
      </c>
      <c r="Q123" s="382">
        <v>75.8</v>
      </c>
      <c r="R123" s="382">
        <v>39.06</v>
      </c>
      <c r="S123" s="382">
        <v>129.19999999999999</v>
      </c>
      <c r="T123" s="385">
        <v>788</v>
      </c>
      <c r="U123" s="382">
        <v>102.79</v>
      </c>
      <c r="V123" s="385">
        <v>2098</v>
      </c>
      <c r="W123" s="382">
        <v>158.41</v>
      </c>
      <c r="X123" s="385">
        <v>78</v>
      </c>
      <c r="Y123" s="382">
        <v>101</v>
      </c>
      <c r="Z123" s="382">
        <v>47</v>
      </c>
      <c r="AA123" s="382">
        <v>2</v>
      </c>
      <c r="AB123" s="382">
        <v>10</v>
      </c>
      <c r="AC123" s="382">
        <v>11</v>
      </c>
      <c r="AD123" s="382">
        <v>13360</v>
      </c>
      <c r="AE123" s="382">
        <v>78</v>
      </c>
      <c r="AF123" s="382">
        <v>23</v>
      </c>
      <c r="AG123" s="382">
        <v>101</v>
      </c>
    </row>
    <row r="124" spans="1:33" x14ac:dyDescent="0.3">
      <c r="A124" s="381" t="s">
        <v>308</v>
      </c>
      <c r="B124" s="381" t="s">
        <v>309</v>
      </c>
      <c r="C124" s="382">
        <v>5296</v>
      </c>
      <c r="D124" s="382">
        <v>5</v>
      </c>
      <c r="E124" s="382">
        <v>355</v>
      </c>
      <c r="F124" s="382">
        <v>181</v>
      </c>
      <c r="G124" s="382">
        <v>373</v>
      </c>
      <c r="H124" s="382">
        <v>6210</v>
      </c>
      <c r="I124" s="382">
        <v>5837</v>
      </c>
      <c r="J124" s="382">
        <v>37</v>
      </c>
      <c r="K124" s="382">
        <v>93.79</v>
      </c>
      <c r="L124" s="382">
        <v>90.75</v>
      </c>
      <c r="M124" s="382">
        <v>1.99</v>
      </c>
      <c r="N124" s="382">
        <v>95.55</v>
      </c>
      <c r="O124" s="385">
        <v>4807</v>
      </c>
      <c r="P124" s="382">
        <v>114.11</v>
      </c>
      <c r="Q124" s="382">
        <v>87.27</v>
      </c>
      <c r="R124" s="382">
        <v>72.59</v>
      </c>
      <c r="S124" s="382">
        <v>186.7</v>
      </c>
      <c r="T124" s="385">
        <v>421</v>
      </c>
      <c r="U124" s="382">
        <v>117.32</v>
      </c>
      <c r="V124" s="385">
        <v>403</v>
      </c>
      <c r="W124" s="382">
        <v>191.96</v>
      </c>
      <c r="X124" s="385">
        <v>87</v>
      </c>
      <c r="Y124" s="382">
        <v>0</v>
      </c>
      <c r="Z124" s="382">
        <v>0</v>
      </c>
      <c r="AA124" s="382">
        <v>0</v>
      </c>
      <c r="AB124" s="382">
        <v>67</v>
      </c>
      <c r="AC124" s="382">
        <v>4</v>
      </c>
      <c r="AD124" s="382">
        <v>5282</v>
      </c>
      <c r="AE124" s="382">
        <v>29</v>
      </c>
      <c r="AF124" s="382">
        <v>101</v>
      </c>
      <c r="AG124" s="382">
        <v>130</v>
      </c>
    </row>
    <row r="125" spans="1:33" x14ac:dyDescent="0.3">
      <c r="A125" s="381" t="s">
        <v>310</v>
      </c>
      <c r="B125" s="381" t="s">
        <v>311</v>
      </c>
      <c r="C125" s="382">
        <v>11940</v>
      </c>
      <c r="D125" s="382">
        <v>78</v>
      </c>
      <c r="E125" s="382">
        <v>1158</v>
      </c>
      <c r="F125" s="382">
        <v>559</v>
      </c>
      <c r="G125" s="382">
        <v>1022</v>
      </c>
      <c r="H125" s="382">
        <v>14757</v>
      </c>
      <c r="I125" s="382">
        <v>13735</v>
      </c>
      <c r="J125" s="382">
        <v>265</v>
      </c>
      <c r="K125" s="382">
        <v>132.27000000000001</v>
      </c>
      <c r="L125" s="382">
        <v>145.35</v>
      </c>
      <c r="M125" s="382">
        <v>13.32</v>
      </c>
      <c r="N125" s="382">
        <v>139.27000000000001</v>
      </c>
      <c r="O125" s="385">
        <v>9443</v>
      </c>
      <c r="P125" s="382">
        <v>125.53</v>
      </c>
      <c r="Q125" s="382">
        <v>120.38</v>
      </c>
      <c r="R125" s="382">
        <v>62.26</v>
      </c>
      <c r="S125" s="382">
        <v>173.96</v>
      </c>
      <c r="T125" s="385">
        <v>1148</v>
      </c>
      <c r="U125" s="382">
        <v>213.14</v>
      </c>
      <c r="V125" s="385">
        <v>1290</v>
      </c>
      <c r="W125" s="382">
        <v>219.4</v>
      </c>
      <c r="X125" s="385">
        <v>84</v>
      </c>
      <c r="Y125" s="382">
        <v>14</v>
      </c>
      <c r="Z125" s="382">
        <v>0</v>
      </c>
      <c r="AA125" s="382">
        <v>16</v>
      </c>
      <c r="AB125" s="382">
        <v>49</v>
      </c>
      <c r="AC125" s="382">
        <v>40</v>
      </c>
      <c r="AD125" s="382">
        <v>11544</v>
      </c>
      <c r="AE125" s="382">
        <v>156</v>
      </c>
      <c r="AF125" s="382">
        <v>95</v>
      </c>
      <c r="AG125" s="382">
        <v>251</v>
      </c>
    </row>
    <row r="126" spans="1:33" x14ac:dyDescent="0.3">
      <c r="A126" s="381" t="s">
        <v>312</v>
      </c>
      <c r="B126" s="381" t="s">
        <v>313</v>
      </c>
      <c r="C126" s="382">
        <v>3292</v>
      </c>
      <c r="D126" s="382">
        <v>0</v>
      </c>
      <c r="E126" s="382">
        <v>109</v>
      </c>
      <c r="F126" s="382">
        <v>292</v>
      </c>
      <c r="G126" s="382">
        <v>885</v>
      </c>
      <c r="H126" s="382">
        <v>4578</v>
      </c>
      <c r="I126" s="382">
        <v>3693</v>
      </c>
      <c r="J126" s="382">
        <v>0</v>
      </c>
      <c r="K126" s="382">
        <v>92.41</v>
      </c>
      <c r="L126" s="382">
        <v>92.18</v>
      </c>
      <c r="M126" s="382">
        <v>4.4400000000000004</v>
      </c>
      <c r="N126" s="382">
        <v>95.22</v>
      </c>
      <c r="O126" s="385">
        <v>2404</v>
      </c>
      <c r="P126" s="382">
        <v>83.68</v>
      </c>
      <c r="Q126" s="382">
        <v>78.709999999999994</v>
      </c>
      <c r="R126" s="382">
        <v>45.84</v>
      </c>
      <c r="S126" s="382">
        <v>127.03</v>
      </c>
      <c r="T126" s="385">
        <v>368</v>
      </c>
      <c r="U126" s="382">
        <v>119.88</v>
      </c>
      <c r="V126" s="385">
        <v>784</v>
      </c>
      <c r="W126" s="382">
        <v>124.85</v>
      </c>
      <c r="X126" s="385">
        <v>17</v>
      </c>
      <c r="Y126" s="382">
        <v>29</v>
      </c>
      <c r="Z126" s="382">
        <v>10</v>
      </c>
      <c r="AA126" s="382">
        <v>17</v>
      </c>
      <c r="AB126" s="382">
        <v>139</v>
      </c>
      <c r="AC126" s="382">
        <v>12</v>
      </c>
      <c r="AD126" s="382">
        <v>3292</v>
      </c>
      <c r="AE126" s="382">
        <v>27</v>
      </c>
      <c r="AF126" s="382">
        <v>18</v>
      </c>
      <c r="AG126" s="382">
        <v>45</v>
      </c>
    </row>
    <row r="127" spans="1:33" x14ac:dyDescent="0.3">
      <c r="A127" s="381" t="s">
        <v>314</v>
      </c>
      <c r="B127" s="381" t="s">
        <v>315</v>
      </c>
      <c r="C127" s="382">
        <v>10050</v>
      </c>
      <c r="D127" s="382">
        <v>117</v>
      </c>
      <c r="E127" s="382">
        <v>1011</v>
      </c>
      <c r="F127" s="382">
        <v>854</v>
      </c>
      <c r="G127" s="382">
        <v>1667</v>
      </c>
      <c r="H127" s="382">
        <v>13699</v>
      </c>
      <c r="I127" s="382">
        <v>12032</v>
      </c>
      <c r="J127" s="382">
        <v>30</v>
      </c>
      <c r="K127" s="382">
        <v>121.13</v>
      </c>
      <c r="L127" s="382">
        <v>121.44</v>
      </c>
      <c r="M127" s="382">
        <v>12.04</v>
      </c>
      <c r="N127" s="382">
        <v>129.13</v>
      </c>
      <c r="O127" s="385">
        <v>8027</v>
      </c>
      <c r="P127" s="382">
        <v>116.21</v>
      </c>
      <c r="Q127" s="382">
        <v>106.46</v>
      </c>
      <c r="R127" s="382">
        <v>68.459999999999994</v>
      </c>
      <c r="S127" s="382">
        <v>181.8</v>
      </c>
      <c r="T127" s="385">
        <v>1144</v>
      </c>
      <c r="U127" s="382">
        <v>193.93</v>
      </c>
      <c r="V127" s="385">
        <v>720</v>
      </c>
      <c r="W127" s="382">
        <v>266.77</v>
      </c>
      <c r="X127" s="385">
        <v>135</v>
      </c>
      <c r="Y127" s="382">
        <v>0</v>
      </c>
      <c r="Z127" s="382">
        <v>6</v>
      </c>
      <c r="AA127" s="382">
        <v>15</v>
      </c>
      <c r="AB127" s="382">
        <v>19</v>
      </c>
      <c r="AC127" s="382">
        <v>55</v>
      </c>
      <c r="AD127" s="382">
        <v>9051</v>
      </c>
      <c r="AE127" s="382">
        <v>128</v>
      </c>
      <c r="AF127" s="382">
        <v>54</v>
      </c>
      <c r="AG127" s="382">
        <v>182</v>
      </c>
    </row>
    <row r="128" spans="1:33" x14ac:dyDescent="0.3">
      <c r="A128" s="381" t="s">
        <v>316</v>
      </c>
      <c r="B128" s="381" t="s">
        <v>317</v>
      </c>
      <c r="C128" s="382">
        <v>1720</v>
      </c>
      <c r="D128" s="382">
        <v>280</v>
      </c>
      <c r="E128" s="382">
        <v>115</v>
      </c>
      <c r="F128" s="382">
        <v>261</v>
      </c>
      <c r="G128" s="382">
        <v>524</v>
      </c>
      <c r="H128" s="382">
        <v>2900</v>
      </c>
      <c r="I128" s="382">
        <v>2376</v>
      </c>
      <c r="J128" s="382">
        <v>3</v>
      </c>
      <c r="K128" s="382">
        <v>104.07</v>
      </c>
      <c r="L128" s="382">
        <v>101.56</v>
      </c>
      <c r="M128" s="382">
        <v>8.51</v>
      </c>
      <c r="N128" s="382">
        <v>111.26</v>
      </c>
      <c r="O128" s="385">
        <v>1242</v>
      </c>
      <c r="P128" s="382">
        <v>94.58</v>
      </c>
      <c r="Q128" s="382">
        <v>87.39</v>
      </c>
      <c r="R128" s="382">
        <v>50.68</v>
      </c>
      <c r="S128" s="382">
        <v>142.01</v>
      </c>
      <c r="T128" s="385">
        <v>359</v>
      </c>
      <c r="U128" s="382">
        <v>170.06</v>
      </c>
      <c r="V128" s="385">
        <v>465</v>
      </c>
      <c r="W128" s="382">
        <v>0</v>
      </c>
      <c r="X128" s="385">
        <v>0</v>
      </c>
      <c r="Y128" s="382">
        <v>129</v>
      </c>
      <c r="Z128" s="382">
        <v>0</v>
      </c>
      <c r="AA128" s="382">
        <v>28</v>
      </c>
      <c r="AB128" s="382">
        <v>69</v>
      </c>
      <c r="AC128" s="382">
        <v>14</v>
      </c>
      <c r="AD128" s="382">
        <v>1709</v>
      </c>
      <c r="AE128" s="382">
        <v>47</v>
      </c>
      <c r="AF128" s="382">
        <v>121</v>
      </c>
      <c r="AG128" s="382">
        <v>168</v>
      </c>
    </row>
    <row r="129" spans="1:33" x14ac:dyDescent="0.3">
      <c r="A129" s="381" t="s">
        <v>318</v>
      </c>
      <c r="B129" s="381" t="s">
        <v>319</v>
      </c>
      <c r="C129" s="382">
        <v>2978</v>
      </c>
      <c r="D129" s="382">
        <v>0</v>
      </c>
      <c r="E129" s="382">
        <v>236</v>
      </c>
      <c r="F129" s="382">
        <v>392</v>
      </c>
      <c r="G129" s="382">
        <v>662</v>
      </c>
      <c r="H129" s="382">
        <v>4268</v>
      </c>
      <c r="I129" s="382">
        <v>3606</v>
      </c>
      <c r="J129" s="382">
        <v>6</v>
      </c>
      <c r="K129" s="382">
        <v>97.46</v>
      </c>
      <c r="L129" s="382">
        <v>94.11</v>
      </c>
      <c r="M129" s="382">
        <v>6.77</v>
      </c>
      <c r="N129" s="382">
        <v>101.8</v>
      </c>
      <c r="O129" s="385">
        <v>1690</v>
      </c>
      <c r="P129" s="382">
        <v>109.91</v>
      </c>
      <c r="Q129" s="382">
        <v>84.98</v>
      </c>
      <c r="R129" s="382">
        <v>56.88</v>
      </c>
      <c r="S129" s="382">
        <v>166.67</v>
      </c>
      <c r="T129" s="385">
        <v>490</v>
      </c>
      <c r="U129" s="382">
        <v>129.66</v>
      </c>
      <c r="V129" s="385">
        <v>1126</v>
      </c>
      <c r="W129" s="382">
        <v>199.77</v>
      </c>
      <c r="X129" s="385">
        <v>11</v>
      </c>
      <c r="Y129" s="382">
        <v>0</v>
      </c>
      <c r="Z129" s="382">
        <v>1</v>
      </c>
      <c r="AA129" s="382">
        <v>1</v>
      </c>
      <c r="AB129" s="382">
        <v>100</v>
      </c>
      <c r="AC129" s="382">
        <v>2</v>
      </c>
      <c r="AD129" s="382">
        <v>2722</v>
      </c>
      <c r="AE129" s="382">
        <v>22</v>
      </c>
      <c r="AF129" s="382">
        <v>13</v>
      </c>
      <c r="AG129" s="382">
        <v>35</v>
      </c>
    </row>
    <row r="130" spans="1:33" x14ac:dyDescent="0.3">
      <c r="A130" s="381" t="s">
        <v>320</v>
      </c>
      <c r="B130" s="381" t="s">
        <v>321</v>
      </c>
      <c r="C130" s="382">
        <v>3597</v>
      </c>
      <c r="D130" s="382">
        <v>0</v>
      </c>
      <c r="E130" s="382">
        <v>256</v>
      </c>
      <c r="F130" s="382">
        <v>609</v>
      </c>
      <c r="G130" s="382">
        <v>1007</v>
      </c>
      <c r="H130" s="382">
        <v>5469</v>
      </c>
      <c r="I130" s="382">
        <v>4462</v>
      </c>
      <c r="J130" s="382">
        <v>32</v>
      </c>
      <c r="K130" s="382">
        <v>135.08000000000001</v>
      </c>
      <c r="L130" s="382">
        <v>129.62</v>
      </c>
      <c r="M130" s="382">
        <v>11.46</v>
      </c>
      <c r="N130" s="382">
        <v>142.91</v>
      </c>
      <c r="O130" s="385">
        <v>2729</v>
      </c>
      <c r="P130" s="382">
        <v>110.76</v>
      </c>
      <c r="Q130" s="382">
        <v>94.57</v>
      </c>
      <c r="R130" s="382">
        <v>37.99</v>
      </c>
      <c r="S130" s="382">
        <v>146.18</v>
      </c>
      <c r="T130" s="385">
        <v>473</v>
      </c>
      <c r="U130" s="382">
        <v>192.86</v>
      </c>
      <c r="V130" s="385">
        <v>609</v>
      </c>
      <c r="W130" s="382">
        <v>200.51</v>
      </c>
      <c r="X130" s="385">
        <v>28</v>
      </c>
      <c r="Y130" s="382">
        <v>37</v>
      </c>
      <c r="Z130" s="382">
        <v>5</v>
      </c>
      <c r="AA130" s="382">
        <v>0</v>
      </c>
      <c r="AB130" s="382">
        <v>67</v>
      </c>
      <c r="AC130" s="382">
        <v>28</v>
      </c>
      <c r="AD130" s="382">
        <v>3526</v>
      </c>
      <c r="AE130" s="382">
        <v>43</v>
      </c>
      <c r="AF130" s="382">
        <v>7</v>
      </c>
      <c r="AG130" s="382">
        <v>50</v>
      </c>
    </row>
    <row r="131" spans="1:33" x14ac:dyDescent="0.3">
      <c r="A131" s="381" t="s">
        <v>322</v>
      </c>
      <c r="B131" s="381" t="s">
        <v>323</v>
      </c>
      <c r="C131" s="382">
        <v>3190</v>
      </c>
      <c r="D131" s="382">
        <v>0</v>
      </c>
      <c r="E131" s="382">
        <v>45</v>
      </c>
      <c r="F131" s="382">
        <v>322</v>
      </c>
      <c r="G131" s="382">
        <v>764</v>
      </c>
      <c r="H131" s="382">
        <v>4321</v>
      </c>
      <c r="I131" s="382">
        <v>3557</v>
      </c>
      <c r="J131" s="382">
        <v>0</v>
      </c>
      <c r="K131" s="382">
        <v>119.61</v>
      </c>
      <c r="L131" s="382">
        <v>116.18</v>
      </c>
      <c r="M131" s="382">
        <v>6.7</v>
      </c>
      <c r="N131" s="382">
        <v>122.32</v>
      </c>
      <c r="O131" s="385">
        <v>2389</v>
      </c>
      <c r="P131" s="382">
        <v>105.44</v>
      </c>
      <c r="Q131" s="382">
        <v>99.74</v>
      </c>
      <c r="R131" s="382">
        <v>38.909999999999997</v>
      </c>
      <c r="S131" s="382">
        <v>144.1</v>
      </c>
      <c r="T131" s="385">
        <v>313</v>
      </c>
      <c r="U131" s="382">
        <v>180.48</v>
      </c>
      <c r="V131" s="385">
        <v>767</v>
      </c>
      <c r="W131" s="382">
        <v>145.63999999999999</v>
      </c>
      <c r="X131" s="385">
        <v>1</v>
      </c>
      <c r="Y131" s="382">
        <v>0</v>
      </c>
      <c r="Z131" s="382">
        <v>1</v>
      </c>
      <c r="AA131" s="382">
        <v>0</v>
      </c>
      <c r="AB131" s="382">
        <v>16</v>
      </c>
      <c r="AC131" s="382">
        <v>18</v>
      </c>
      <c r="AD131" s="382">
        <v>3190</v>
      </c>
      <c r="AE131" s="382">
        <v>29</v>
      </c>
      <c r="AF131" s="382">
        <v>11</v>
      </c>
      <c r="AG131" s="382">
        <v>40</v>
      </c>
    </row>
    <row r="132" spans="1:33" x14ac:dyDescent="0.3">
      <c r="A132" s="381" t="s">
        <v>324</v>
      </c>
      <c r="B132" s="381" t="s">
        <v>325</v>
      </c>
      <c r="C132" s="382">
        <v>7645</v>
      </c>
      <c r="D132" s="382">
        <v>0</v>
      </c>
      <c r="E132" s="382">
        <v>209</v>
      </c>
      <c r="F132" s="382">
        <v>1984</v>
      </c>
      <c r="G132" s="382">
        <v>259</v>
      </c>
      <c r="H132" s="382">
        <v>10097</v>
      </c>
      <c r="I132" s="382">
        <v>9838</v>
      </c>
      <c r="J132" s="382">
        <v>1</v>
      </c>
      <c r="K132" s="382">
        <v>84.03</v>
      </c>
      <c r="L132" s="382">
        <v>85.58</v>
      </c>
      <c r="M132" s="382">
        <v>5.69</v>
      </c>
      <c r="N132" s="382">
        <v>86.34</v>
      </c>
      <c r="O132" s="385">
        <v>6459</v>
      </c>
      <c r="P132" s="382">
        <v>84.17</v>
      </c>
      <c r="Q132" s="382">
        <v>85.01</v>
      </c>
      <c r="R132" s="382">
        <v>45.09</v>
      </c>
      <c r="S132" s="382">
        <v>110.92</v>
      </c>
      <c r="T132" s="385">
        <v>2088</v>
      </c>
      <c r="U132" s="382">
        <v>97.44</v>
      </c>
      <c r="V132" s="385">
        <v>1093</v>
      </c>
      <c r="W132" s="382">
        <v>107.89</v>
      </c>
      <c r="X132" s="385">
        <v>67</v>
      </c>
      <c r="Y132" s="382">
        <v>0</v>
      </c>
      <c r="Z132" s="382">
        <v>33</v>
      </c>
      <c r="AA132" s="382">
        <v>1</v>
      </c>
      <c r="AB132" s="382">
        <v>17</v>
      </c>
      <c r="AC132" s="382">
        <v>7</v>
      </c>
      <c r="AD132" s="382">
        <v>7614</v>
      </c>
      <c r="AE132" s="382">
        <v>41</v>
      </c>
      <c r="AF132" s="382">
        <v>46</v>
      </c>
      <c r="AG132" s="382">
        <v>87</v>
      </c>
    </row>
    <row r="133" spans="1:33" x14ac:dyDescent="0.3">
      <c r="A133" s="381" t="s">
        <v>326</v>
      </c>
      <c r="B133" s="381" t="s">
        <v>327</v>
      </c>
      <c r="C133" s="382">
        <v>5126</v>
      </c>
      <c r="D133" s="382">
        <v>0</v>
      </c>
      <c r="E133" s="382">
        <v>252</v>
      </c>
      <c r="F133" s="382">
        <v>713</v>
      </c>
      <c r="G133" s="382">
        <v>206</v>
      </c>
      <c r="H133" s="382">
        <v>6297</v>
      </c>
      <c r="I133" s="382">
        <v>6091</v>
      </c>
      <c r="J133" s="382">
        <v>17</v>
      </c>
      <c r="K133" s="382">
        <v>88.19</v>
      </c>
      <c r="L133" s="382">
        <v>86.07</v>
      </c>
      <c r="M133" s="382">
        <v>6.88</v>
      </c>
      <c r="N133" s="382">
        <v>94.12</v>
      </c>
      <c r="O133" s="385">
        <v>4167</v>
      </c>
      <c r="P133" s="382">
        <v>74.3</v>
      </c>
      <c r="Q133" s="382">
        <v>69.56</v>
      </c>
      <c r="R133" s="382">
        <v>46.61</v>
      </c>
      <c r="S133" s="382">
        <v>120.91</v>
      </c>
      <c r="T133" s="385">
        <v>809</v>
      </c>
      <c r="U133" s="382">
        <v>117.3</v>
      </c>
      <c r="V133" s="385">
        <v>764</v>
      </c>
      <c r="W133" s="382">
        <v>109.65</v>
      </c>
      <c r="X133" s="385">
        <v>22</v>
      </c>
      <c r="Y133" s="382">
        <v>0</v>
      </c>
      <c r="Z133" s="382">
        <v>3</v>
      </c>
      <c r="AA133" s="382">
        <v>9</v>
      </c>
      <c r="AB133" s="382">
        <v>19</v>
      </c>
      <c r="AC133" s="382">
        <v>0</v>
      </c>
      <c r="AD133" s="382">
        <v>5057</v>
      </c>
      <c r="AE133" s="382">
        <v>13</v>
      </c>
      <c r="AF133" s="382">
        <v>57</v>
      </c>
      <c r="AG133" s="382">
        <v>70</v>
      </c>
    </row>
    <row r="134" spans="1:33" x14ac:dyDescent="0.3">
      <c r="A134" s="381" t="s">
        <v>328</v>
      </c>
      <c r="B134" s="381" t="s">
        <v>329</v>
      </c>
      <c r="C134" s="382">
        <v>4470</v>
      </c>
      <c r="D134" s="382">
        <v>0</v>
      </c>
      <c r="E134" s="382">
        <v>216</v>
      </c>
      <c r="F134" s="382">
        <v>1074</v>
      </c>
      <c r="G134" s="382">
        <v>472</v>
      </c>
      <c r="H134" s="382">
        <v>6232</v>
      </c>
      <c r="I134" s="382">
        <v>5760</v>
      </c>
      <c r="J134" s="382">
        <v>5</v>
      </c>
      <c r="K134" s="382">
        <v>108.66</v>
      </c>
      <c r="L134" s="382">
        <v>103.47</v>
      </c>
      <c r="M134" s="382">
        <v>9.74</v>
      </c>
      <c r="N134" s="382">
        <v>113.17</v>
      </c>
      <c r="O134" s="385">
        <v>3509</v>
      </c>
      <c r="P134" s="382">
        <v>100.36</v>
      </c>
      <c r="Q134" s="382">
        <v>89.86</v>
      </c>
      <c r="R134" s="382">
        <v>23.37</v>
      </c>
      <c r="S134" s="382">
        <v>121.72</v>
      </c>
      <c r="T134" s="385">
        <v>1141</v>
      </c>
      <c r="U134" s="382">
        <v>151.66999999999999</v>
      </c>
      <c r="V134" s="385">
        <v>826</v>
      </c>
      <c r="W134" s="382">
        <v>164.94</v>
      </c>
      <c r="X134" s="385">
        <v>14</v>
      </c>
      <c r="Y134" s="382">
        <v>32</v>
      </c>
      <c r="Z134" s="382">
        <v>3</v>
      </c>
      <c r="AA134" s="382">
        <v>0</v>
      </c>
      <c r="AB134" s="382">
        <v>44</v>
      </c>
      <c r="AC134" s="382">
        <v>12</v>
      </c>
      <c r="AD134" s="382">
        <v>4419</v>
      </c>
      <c r="AE134" s="382">
        <v>28</v>
      </c>
      <c r="AF134" s="382">
        <v>8</v>
      </c>
      <c r="AG134" s="382">
        <v>36</v>
      </c>
    </row>
    <row r="135" spans="1:33" x14ac:dyDescent="0.3">
      <c r="A135" s="381" t="s">
        <v>330</v>
      </c>
      <c r="B135" s="381" t="s">
        <v>331</v>
      </c>
      <c r="C135" s="382">
        <v>3679</v>
      </c>
      <c r="D135" s="382">
        <v>354</v>
      </c>
      <c r="E135" s="382">
        <v>216</v>
      </c>
      <c r="F135" s="382">
        <v>497</v>
      </c>
      <c r="G135" s="382">
        <v>960</v>
      </c>
      <c r="H135" s="382">
        <v>5706</v>
      </c>
      <c r="I135" s="382">
        <v>4746</v>
      </c>
      <c r="J135" s="382">
        <v>15</v>
      </c>
      <c r="K135" s="382">
        <v>119.55</v>
      </c>
      <c r="L135" s="382">
        <v>119.94</v>
      </c>
      <c r="M135" s="382">
        <v>12.79</v>
      </c>
      <c r="N135" s="382">
        <v>129.51</v>
      </c>
      <c r="O135" s="385">
        <v>2385</v>
      </c>
      <c r="P135" s="382">
        <v>110.89</v>
      </c>
      <c r="Q135" s="382">
        <v>100.33</v>
      </c>
      <c r="R135" s="382">
        <v>46.72</v>
      </c>
      <c r="S135" s="382">
        <v>157.18</v>
      </c>
      <c r="T135" s="385">
        <v>659</v>
      </c>
      <c r="U135" s="382">
        <v>186.79</v>
      </c>
      <c r="V135" s="385">
        <v>1080</v>
      </c>
      <c r="W135" s="382">
        <v>210.95</v>
      </c>
      <c r="X135" s="385">
        <v>3</v>
      </c>
      <c r="Y135" s="382">
        <v>0</v>
      </c>
      <c r="Z135" s="382">
        <v>2</v>
      </c>
      <c r="AA135" s="382">
        <v>3</v>
      </c>
      <c r="AB135" s="382">
        <v>54</v>
      </c>
      <c r="AC135" s="382">
        <v>31</v>
      </c>
      <c r="AD135" s="382">
        <v>3633</v>
      </c>
      <c r="AE135" s="382">
        <v>38</v>
      </c>
      <c r="AF135" s="382">
        <v>13</v>
      </c>
      <c r="AG135" s="382">
        <v>51</v>
      </c>
    </row>
    <row r="136" spans="1:33" x14ac:dyDescent="0.3">
      <c r="A136" s="381" t="s">
        <v>332</v>
      </c>
      <c r="B136" s="381" t="s">
        <v>333</v>
      </c>
      <c r="C136" s="382">
        <v>9454</v>
      </c>
      <c r="D136" s="382">
        <v>0</v>
      </c>
      <c r="E136" s="382">
        <v>316</v>
      </c>
      <c r="F136" s="382">
        <v>1631</v>
      </c>
      <c r="G136" s="382">
        <v>978</v>
      </c>
      <c r="H136" s="382">
        <v>12379</v>
      </c>
      <c r="I136" s="382">
        <v>11401</v>
      </c>
      <c r="J136" s="382">
        <v>1</v>
      </c>
      <c r="K136" s="382">
        <v>92.02</v>
      </c>
      <c r="L136" s="382">
        <v>90.93</v>
      </c>
      <c r="M136" s="382">
        <v>4.1100000000000003</v>
      </c>
      <c r="N136" s="382">
        <v>94.24</v>
      </c>
      <c r="O136" s="385">
        <v>8390</v>
      </c>
      <c r="P136" s="382">
        <v>86.17</v>
      </c>
      <c r="Q136" s="382">
        <v>83.37</v>
      </c>
      <c r="R136" s="382">
        <v>39.68</v>
      </c>
      <c r="S136" s="382">
        <v>117.25</v>
      </c>
      <c r="T136" s="385">
        <v>1909</v>
      </c>
      <c r="U136" s="382">
        <v>112.58</v>
      </c>
      <c r="V136" s="385">
        <v>980</v>
      </c>
      <c r="W136" s="382">
        <v>142.81</v>
      </c>
      <c r="X136" s="385">
        <v>10</v>
      </c>
      <c r="Y136" s="382">
        <v>11</v>
      </c>
      <c r="Z136" s="382">
        <v>27</v>
      </c>
      <c r="AA136" s="382">
        <v>5</v>
      </c>
      <c r="AB136" s="382">
        <v>122</v>
      </c>
      <c r="AC136" s="382">
        <v>14</v>
      </c>
      <c r="AD136" s="382">
        <v>9403</v>
      </c>
      <c r="AE136" s="382">
        <v>49</v>
      </c>
      <c r="AF136" s="382">
        <v>59</v>
      </c>
      <c r="AG136" s="382">
        <v>108</v>
      </c>
    </row>
    <row r="137" spans="1:33" x14ac:dyDescent="0.3">
      <c r="A137" s="381" t="s">
        <v>334</v>
      </c>
      <c r="B137" s="381" t="s">
        <v>335</v>
      </c>
      <c r="C137" s="382">
        <v>6485</v>
      </c>
      <c r="D137" s="382">
        <v>4</v>
      </c>
      <c r="E137" s="382">
        <v>190</v>
      </c>
      <c r="F137" s="382">
        <v>802</v>
      </c>
      <c r="G137" s="382">
        <v>544</v>
      </c>
      <c r="H137" s="382">
        <v>8025</v>
      </c>
      <c r="I137" s="382">
        <v>7481</v>
      </c>
      <c r="J137" s="382">
        <v>1</v>
      </c>
      <c r="K137" s="382">
        <v>123.59</v>
      </c>
      <c r="L137" s="382">
        <v>123.48</v>
      </c>
      <c r="M137" s="382">
        <v>7.56</v>
      </c>
      <c r="N137" s="382">
        <v>127.36</v>
      </c>
      <c r="O137" s="385">
        <v>5417</v>
      </c>
      <c r="P137" s="382">
        <v>113.05</v>
      </c>
      <c r="Q137" s="382">
        <v>104.88</v>
      </c>
      <c r="R137" s="382">
        <v>30.57</v>
      </c>
      <c r="S137" s="382">
        <v>142.74</v>
      </c>
      <c r="T137" s="385">
        <v>933</v>
      </c>
      <c r="U137" s="382">
        <v>190.67</v>
      </c>
      <c r="V137" s="385">
        <v>861</v>
      </c>
      <c r="W137" s="382">
        <v>217.12</v>
      </c>
      <c r="X137" s="385">
        <v>4</v>
      </c>
      <c r="Y137" s="382">
        <v>24</v>
      </c>
      <c r="Z137" s="382">
        <v>3</v>
      </c>
      <c r="AA137" s="382">
        <v>6</v>
      </c>
      <c r="AB137" s="382">
        <v>52</v>
      </c>
      <c r="AC137" s="382">
        <v>23</v>
      </c>
      <c r="AD137" s="382">
        <v>6310</v>
      </c>
      <c r="AE137" s="382">
        <v>63</v>
      </c>
      <c r="AF137" s="382">
        <v>62</v>
      </c>
      <c r="AG137" s="382">
        <v>125</v>
      </c>
    </row>
    <row r="138" spans="1:33" x14ac:dyDescent="0.3">
      <c r="A138" s="381" t="s">
        <v>336</v>
      </c>
      <c r="B138" s="381" t="s">
        <v>337</v>
      </c>
      <c r="C138" s="382">
        <v>1100</v>
      </c>
      <c r="D138" s="382">
        <v>1</v>
      </c>
      <c r="E138" s="382">
        <v>66</v>
      </c>
      <c r="F138" s="382">
        <v>318</v>
      </c>
      <c r="G138" s="382">
        <v>257</v>
      </c>
      <c r="H138" s="382">
        <v>1742</v>
      </c>
      <c r="I138" s="382">
        <v>1485</v>
      </c>
      <c r="J138" s="382">
        <v>0</v>
      </c>
      <c r="K138" s="382">
        <v>97.98</v>
      </c>
      <c r="L138" s="382">
        <v>94.89</v>
      </c>
      <c r="M138" s="382">
        <v>7.82</v>
      </c>
      <c r="N138" s="382">
        <v>102.22</v>
      </c>
      <c r="O138" s="385">
        <v>789</v>
      </c>
      <c r="P138" s="382">
        <v>93.23</v>
      </c>
      <c r="Q138" s="382">
        <v>80.650000000000006</v>
      </c>
      <c r="R138" s="382">
        <v>47.62</v>
      </c>
      <c r="S138" s="382">
        <v>139.94</v>
      </c>
      <c r="T138" s="385">
        <v>368</v>
      </c>
      <c r="U138" s="382">
        <v>117.37</v>
      </c>
      <c r="V138" s="385">
        <v>284</v>
      </c>
      <c r="W138" s="382">
        <v>0</v>
      </c>
      <c r="X138" s="385">
        <v>0</v>
      </c>
      <c r="Y138" s="382">
        <v>35</v>
      </c>
      <c r="Z138" s="382">
        <v>2</v>
      </c>
      <c r="AA138" s="382">
        <v>3</v>
      </c>
      <c r="AB138" s="382">
        <v>37</v>
      </c>
      <c r="AC138" s="382">
        <v>9</v>
      </c>
      <c r="AD138" s="382">
        <v>1082</v>
      </c>
      <c r="AE138" s="382">
        <v>10</v>
      </c>
      <c r="AF138" s="382">
        <v>3</v>
      </c>
      <c r="AG138" s="382">
        <v>13</v>
      </c>
    </row>
    <row r="139" spans="1:33" x14ac:dyDescent="0.3">
      <c r="A139" s="381" t="s">
        <v>338</v>
      </c>
      <c r="B139" s="381" t="s">
        <v>339</v>
      </c>
      <c r="C139" s="382">
        <v>6765</v>
      </c>
      <c r="D139" s="382">
        <v>0</v>
      </c>
      <c r="E139" s="382">
        <v>537</v>
      </c>
      <c r="F139" s="382">
        <v>569</v>
      </c>
      <c r="G139" s="382">
        <v>1354</v>
      </c>
      <c r="H139" s="382">
        <v>9225</v>
      </c>
      <c r="I139" s="382">
        <v>7871</v>
      </c>
      <c r="J139" s="382">
        <v>41</v>
      </c>
      <c r="K139" s="382">
        <v>126.75</v>
      </c>
      <c r="L139" s="382">
        <v>124.25</v>
      </c>
      <c r="M139" s="382">
        <v>11.11</v>
      </c>
      <c r="N139" s="382">
        <v>134.66</v>
      </c>
      <c r="O139" s="385">
        <v>5126</v>
      </c>
      <c r="P139" s="382">
        <v>105.86</v>
      </c>
      <c r="Q139" s="382">
        <v>102.35</v>
      </c>
      <c r="R139" s="382">
        <v>42.75</v>
      </c>
      <c r="S139" s="382">
        <v>139.69999999999999</v>
      </c>
      <c r="T139" s="385">
        <v>853</v>
      </c>
      <c r="U139" s="382">
        <v>193.38</v>
      </c>
      <c r="V139" s="385">
        <v>990</v>
      </c>
      <c r="W139" s="382">
        <v>168.64</v>
      </c>
      <c r="X139" s="385">
        <v>58</v>
      </c>
      <c r="Y139" s="382">
        <v>26</v>
      </c>
      <c r="Z139" s="382">
        <v>4</v>
      </c>
      <c r="AA139" s="382">
        <v>1</v>
      </c>
      <c r="AB139" s="382">
        <v>109</v>
      </c>
      <c r="AC139" s="382">
        <v>43</v>
      </c>
      <c r="AD139" s="382">
        <v>6512</v>
      </c>
      <c r="AE139" s="382">
        <v>101</v>
      </c>
      <c r="AF139" s="382">
        <v>25</v>
      </c>
      <c r="AG139" s="382">
        <v>126</v>
      </c>
    </row>
    <row r="140" spans="1:33" x14ac:dyDescent="0.3">
      <c r="A140" s="381" t="s">
        <v>340</v>
      </c>
      <c r="B140" s="381" t="s">
        <v>341</v>
      </c>
      <c r="C140" s="382">
        <v>1995</v>
      </c>
      <c r="D140" s="382">
        <v>1</v>
      </c>
      <c r="E140" s="382">
        <v>150</v>
      </c>
      <c r="F140" s="382">
        <v>125</v>
      </c>
      <c r="G140" s="382">
        <v>437</v>
      </c>
      <c r="H140" s="382">
        <v>2708</v>
      </c>
      <c r="I140" s="382">
        <v>2271</v>
      </c>
      <c r="J140" s="382">
        <v>0</v>
      </c>
      <c r="K140" s="382">
        <v>93.45</v>
      </c>
      <c r="L140" s="382">
        <v>90.48</v>
      </c>
      <c r="M140" s="382">
        <v>6.29</v>
      </c>
      <c r="N140" s="382">
        <v>96.83</v>
      </c>
      <c r="O140" s="385">
        <v>1397</v>
      </c>
      <c r="P140" s="382">
        <v>107.89</v>
      </c>
      <c r="Q140" s="382">
        <v>75.67</v>
      </c>
      <c r="R140" s="382">
        <v>61.1</v>
      </c>
      <c r="S140" s="382">
        <v>164.72</v>
      </c>
      <c r="T140" s="385">
        <v>229</v>
      </c>
      <c r="U140" s="382">
        <v>113.78</v>
      </c>
      <c r="V140" s="385">
        <v>561</v>
      </c>
      <c r="W140" s="382">
        <v>0</v>
      </c>
      <c r="X140" s="385">
        <v>0</v>
      </c>
      <c r="Y140" s="382">
        <v>0</v>
      </c>
      <c r="Z140" s="382">
        <v>0</v>
      </c>
      <c r="AA140" s="382">
        <v>7</v>
      </c>
      <c r="AB140" s="382">
        <v>30</v>
      </c>
      <c r="AC140" s="382">
        <v>10</v>
      </c>
      <c r="AD140" s="382">
        <v>1995</v>
      </c>
      <c r="AE140" s="382">
        <v>18</v>
      </c>
      <c r="AF140" s="382">
        <v>7</v>
      </c>
      <c r="AG140" s="382">
        <v>25</v>
      </c>
    </row>
    <row r="141" spans="1:33" x14ac:dyDescent="0.3">
      <c r="A141" s="381" t="s">
        <v>342</v>
      </c>
      <c r="B141" s="381" t="s">
        <v>343</v>
      </c>
      <c r="C141" s="382">
        <v>6151</v>
      </c>
      <c r="D141" s="382">
        <v>0</v>
      </c>
      <c r="E141" s="382">
        <v>104</v>
      </c>
      <c r="F141" s="382">
        <v>1067</v>
      </c>
      <c r="G141" s="382">
        <v>1098</v>
      </c>
      <c r="H141" s="382">
        <v>8420</v>
      </c>
      <c r="I141" s="382">
        <v>7322</v>
      </c>
      <c r="J141" s="382">
        <v>17</v>
      </c>
      <c r="K141" s="382">
        <v>113.7</v>
      </c>
      <c r="L141" s="382">
        <v>112.83</v>
      </c>
      <c r="M141" s="382">
        <v>5.39</v>
      </c>
      <c r="N141" s="382">
        <v>116.94</v>
      </c>
      <c r="O141" s="385">
        <v>4649</v>
      </c>
      <c r="P141" s="382">
        <v>99.55</v>
      </c>
      <c r="Q141" s="382">
        <v>96.73</v>
      </c>
      <c r="R141" s="382">
        <v>28.07</v>
      </c>
      <c r="S141" s="382">
        <v>125.84</v>
      </c>
      <c r="T141" s="385">
        <v>930</v>
      </c>
      <c r="U141" s="382">
        <v>174.63</v>
      </c>
      <c r="V141" s="385">
        <v>1469</v>
      </c>
      <c r="W141" s="382">
        <v>227.77</v>
      </c>
      <c r="X141" s="385">
        <v>117</v>
      </c>
      <c r="Y141" s="382">
        <v>556</v>
      </c>
      <c r="Z141" s="382">
        <v>5</v>
      </c>
      <c r="AA141" s="382">
        <v>9</v>
      </c>
      <c r="AB141" s="382">
        <v>59</v>
      </c>
      <c r="AC141" s="382">
        <v>19</v>
      </c>
      <c r="AD141" s="382">
        <v>6137</v>
      </c>
      <c r="AE141" s="382">
        <v>72</v>
      </c>
      <c r="AF141" s="382">
        <v>31</v>
      </c>
      <c r="AG141" s="382">
        <v>103</v>
      </c>
    </row>
    <row r="142" spans="1:33" x14ac:dyDescent="0.3">
      <c r="A142" s="381" t="s">
        <v>344</v>
      </c>
      <c r="B142" s="381" t="s">
        <v>345</v>
      </c>
      <c r="C142" s="382">
        <v>8126</v>
      </c>
      <c r="D142" s="382">
        <v>37</v>
      </c>
      <c r="E142" s="382">
        <v>392</v>
      </c>
      <c r="F142" s="382">
        <v>192</v>
      </c>
      <c r="G142" s="382">
        <v>2238</v>
      </c>
      <c r="H142" s="382">
        <v>10985</v>
      </c>
      <c r="I142" s="382">
        <v>8747</v>
      </c>
      <c r="J142" s="382">
        <v>77</v>
      </c>
      <c r="K142" s="382">
        <v>127.53</v>
      </c>
      <c r="L142" s="382">
        <v>127.31</v>
      </c>
      <c r="M142" s="382">
        <v>11.67</v>
      </c>
      <c r="N142" s="382">
        <v>136.66999999999999</v>
      </c>
      <c r="O142" s="385">
        <v>5890</v>
      </c>
      <c r="P142" s="382">
        <v>118.65</v>
      </c>
      <c r="Q142" s="382">
        <v>108.89</v>
      </c>
      <c r="R142" s="382">
        <v>120.78</v>
      </c>
      <c r="S142" s="382">
        <v>207.82</v>
      </c>
      <c r="T142" s="385">
        <v>321</v>
      </c>
      <c r="U142" s="382">
        <v>202.91</v>
      </c>
      <c r="V142" s="385">
        <v>1294</v>
      </c>
      <c r="W142" s="382">
        <v>220.12</v>
      </c>
      <c r="X142" s="385">
        <v>76</v>
      </c>
      <c r="Y142" s="382">
        <v>0</v>
      </c>
      <c r="Z142" s="382">
        <v>6</v>
      </c>
      <c r="AA142" s="382">
        <v>1</v>
      </c>
      <c r="AB142" s="382">
        <v>85</v>
      </c>
      <c r="AC142" s="382">
        <v>84</v>
      </c>
      <c r="AD142" s="382">
        <v>7576</v>
      </c>
      <c r="AE142" s="382">
        <v>55</v>
      </c>
      <c r="AF142" s="382">
        <v>45</v>
      </c>
      <c r="AG142" s="382">
        <v>100</v>
      </c>
    </row>
    <row r="143" spans="1:33" x14ac:dyDescent="0.3">
      <c r="A143" s="381" t="s">
        <v>346</v>
      </c>
      <c r="B143" s="381" t="s">
        <v>347</v>
      </c>
      <c r="C143" s="382">
        <v>8945</v>
      </c>
      <c r="D143" s="382">
        <v>0</v>
      </c>
      <c r="E143" s="382">
        <v>459</v>
      </c>
      <c r="F143" s="382">
        <v>980</v>
      </c>
      <c r="G143" s="382">
        <v>1104</v>
      </c>
      <c r="H143" s="382">
        <v>11488</v>
      </c>
      <c r="I143" s="382">
        <v>10384</v>
      </c>
      <c r="J143" s="382">
        <v>0</v>
      </c>
      <c r="K143" s="382">
        <v>97.76</v>
      </c>
      <c r="L143" s="382">
        <v>97.42</v>
      </c>
      <c r="M143" s="382">
        <v>3.52</v>
      </c>
      <c r="N143" s="382">
        <v>101.06</v>
      </c>
      <c r="O143" s="385">
        <v>7831</v>
      </c>
      <c r="P143" s="382">
        <v>97.64</v>
      </c>
      <c r="Q143" s="382">
        <v>85.19</v>
      </c>
      <c r="R143" s="382">
        <v>44.98</v>
      </c>
      <c r="S143" s="382">
        <v>140.06</v>
      </c>
      <c r="T143" s="385">
        <v>1298</v>
      </c>
      <c r="U143" s="382">
        <v>139.58000000000001</v>
      </c>
      <c r="V143" s="385">
        <v>945</v>
      </c>
      <c r="W143" s="382">
        <v>201.01</v>
      </c>
      <c r="X143" s="385">
        <v>55</v>
      </c>
      <c r="Y143" s="382">
        <v>50</v>
      </c>
      <c r="Z143" s="382">
        <v>9</v>
      </c>
      <c r="AA143" s="382">
        <v>0</v>
      </c>
      <c r="AB143" s="382">
        <v>106</v>
      </c>
      <c r="AC143" s="382">
        <v>45</v>
      </c>
      <c r="AD143" s="382">
        <v>8945</v>
      </c>
      <c r="AE143" s="382">
        <v>66</v>
      </c>
      <c r="AF143" s="382">
        <v>53</v>
      </c>
      <c r="AG143" s="382">
        <v>119</v>
      </c>
    </row>
    <row r="144" spans="1:33" x14ac:dyDescent="0.3">
      <c r="A144" s="381" t="s">
        <v>348</v>
      </c>
      <c r="B144" s="381" t="s">
        <v>349</v>
      </c>
      <c r="C144" s="382">
        <v>3063</v>
      </c>
      <c r="D144" s="382">
        <v>0</v>
      </c>
      <c r="E144" s="382">
        <v>314</v>
      </c>
      <c r="F144" s="382">
        <v>1549</v>
      </c>
      <c r="G144" s="382">
        <v>71</v>
      </c>
      <c r="H144" s="382">
        <v>4997</v>
      </c>
      <c r="I144" s="382">
        <v>4926</v>
      </c>
      <c r="J144" s="382">
        <v>92</v>
      </c>
      <c r="K144" s="382">
        <v>78.91</v>
      </c>
      <c r="L144" s="382">
        <v>78.67</v>
      </c>
      <c r="M144" s="382">
        <v>2.58</v>
      </c>
      <c r="N144" s="382">
        <v>80.239999999999995</v>
      </c>
      <c r="O144" s="385">
        <v>2889</v>
      </c>
      <c r="P144" s="382">
        <v>79.430000000000007</v>
      </c>
      <c r="Q144" s="382">
        <v>71.430000000000007</v>
      </c>
      <c r="R144" s="382">
        <v>25.94</v>
      </c>
      <c r="S144" s="382">
        <v>104.77</v>
      </c>
      <c r="T144" s="385">
        <v>1750</v>
      </c>
      <c r="U144" s="382">
        <v>99.83</v>
      </c>
      <c r="V144" s="385">
        <v>174</v>
      </c>
      <c r="W144" s="382">
        <v>252.16</v>
      </c>
      <c r="X144" s="385">
        <v>14</v>
      </c>
      <c r="Y144" s="382">
        <v>5</v>
      </c>
      <c r="Z144" s="382">
        <v>18</v>
      </c>
      <c r="AA144" s="382">
        <v>16</v>
      </c>
      <c r="AB144" s="382">
        <v>0</v>
      </c>
      <c r="AC144" s="382">
        <v>0</v>
      </c>
      <c r="AD144" s="382">
        <v>3063</v>
      </c>
      <c r="AE144" s="382">
        <v>22</v>
      </c>
      <c r="AF144" s="382">
        <v>4</v>
      </c>
      <c r="AG144" s="382">
        <v>26</v>
      </c>
    </row>
    <row r="145" spans="1:33" x14ac:dyDescent="0.3">
      <c r="A145" s="381" t="s">
        <v>350</v>
      </c>
      <c r="B145" s="381" t="s">
        <v>351</v>
      </c>
      <c r="C145" s="382">
        <v>3732</v>
      </c>
      <c r="D145" s="382">
        <v>0</v>
      </c>
      <c r="E145" s="382">
        <v>599</v>
      </c>
      <c r="F145" s="382">
        <v>711</v>
      </c>
      <c r="G145" s="382">
        <v>298</v>
      </c>
      <c r="H145" s="382">
        <v>5340</v>
      </c>
      <c r="I145" s="382">
        <v>5042</v>
      </c>
      <c r="J145" s="382">
        <v>0</v>
      </c>
      <c r="K145" s="382">
        <v>91.44</v>
      </c>
      <c r="L145" s="382">
        <v>90.55</v>
      </c>
      <c r="M145" s="382">
        <v>6.6</v>
      </c>
      <c r="N145" s="382">
        <v>96.57</v>
      </c>
      <c r="O145" s="385">
        <v>2989</v>
      </c>
      <c r="P145" s="382">
        <v>83.21</v>
      </c>
      <c r="Q145" s="382">
        <v>75.099999999999994</v>
      </c>
      <c r="R145" s="382">
        <v>65.58</v>
      </c>
      <c r="S145" s="382">
        <v>148.79</v>
      </c>
      <c r="T145" s="385">
        <v>1037</v>
      </c>
      <c r="U145" s="382">
        <v>106.53</v>
      </c>
      <c r="V145" s="385">
        <v>553</v>
      </c>
      <c r="W145" s="382">
        <v>104.67</v>
      </c>
      <c r="X145" s="385">
        <v>2</v>
      </c>
      <c r="Y145" s="382">
        <v>0</v>
      </c>
      <c r="Z145" s="382">
        <v>1</v>
      </c>
      <c r="AA145" s="382">
        <v>8</v>
      </c>
      <c r="AB145" s="382">
        <v>12</v>
      </c>
      <c r="AC145" s="382">
        <v>7</v>
      </c>
      <c r="AD145" s="382">
        <v>3603</v>
      </c>
      <c r="AE145" s="382">
        <v>12</v>
      </c>
      <c r="AF145" s="382">
        <v>71</v>
      </c>
      <c r="AG145" s="382">
        <v>83</v>
      </c>
    </row>
    <row r="146" spans="1:33" x14ac:dyDescent="0.3">
      <c r="A146" s="381" t="s">
        <v>352</v>
      </c>
      <c r="B146" s="381" t="s">
        <v>353</v>
      </c>
      <c r="C146" s="382">
        <v>6278</v>
      </c>
      <c r="D146" s="382">
        <v>0</v>
      </c>
      <c r="E146" s="382">
        <v>470</v>
      </c>
      <c r="F146" s="382">
        <v>637</v>
      </c>
      <c r="G146" s="382">
        <v>351</v>
      </c>
      <c r="H146" s="382">
        <v>7736</v>
      </c>
      <c r="I146" s="382">
        <v>7385</v>
      </c>
      <c r="J146" s="382">
        <v>102</v>
      </c>
      <c r="K146" s="382">
        <v>91.04</v>
      </c>
      <c r="L146" s="382">
        <v>90.57</v>
      </c>
      <c r="M146" s="382">
        <v>5.6</v>
      </c>
      <c r="N146" s="382">
        <v>94.45</v>
      </c>
      <c r="O146" s="385">
        <v>5445</v>
      </c>
      <c r="P146" s="382">
        <v>87.25</v>
      </c>
      <c r="Q146" s="382">
        <v>78.239999999999995</v>
      </c>
      <c r="R146" s="382">
        <v>46.34</v>
      </c>
      <c r="S146" s="382">
        <v>132.22999999999999</v>
      </c>
      <c r="T146" s="385">
        <v>1054</v>
      </c>
      <c r="U146" s="382">
        <v>125.55</v>
      </c>
      <c r="V146" s="385">
        <v>324</v>
      </c>
      <c r="W146" s="382">
        <v>96.11</v>
      </c>
      <c r="X146" s="385">
        <v>12</v>
      </c>
      <c r="Y146" s="382">
        <v>0</v>
      </c>
      <c r="Z146" s="382">
        <v>2</v>
      </c>
      <c r="AA146" s="382">
        <v>3</v>
      </c>
      <c r="AB146" s="382">
        <v>0</v>
      </c>
      <c r="AC146" s="382">
        <v>11</v>
      </c>
      <c r="AD146" s="382">
        <v>5830</v>
      </c>
      <c r="AE146" s="382">
        <v>21</v>
      </c>
      <c r="AF146" s="382">
        <v>11</v>
      </c>
      <c r="AG146" s="382">
        <v>32</v>
      </c>
    </row>
    <row r="147" spans="1:33" x14ac:dyDescent="0.3">
      <c r="A147" s="381" t="s">
        <v>354</v>
      </c>
      <c r="B147" s="381" t="s">
        <v>355</v>
      </c>
      <c r="C147" s="382">
        <v>152</v>
      </c>
      <c r="D147" s="382">
        <v>0</v>
      </c>
      <c r="E147" s="382">
        <v>0</v>
      </c>
      <c r="F147" s="382">
        <v>7</v>
      </c>
      <c r="G147" s="382">
        <v>6</v>
      </c>
      <c r="H147" s="382">
        <v>165</v>
      </c>
      <c r="I147" s="382">
        <v>159</v>
      </c>
      <c r="J147" s="382">
        <v>0</v>
      </c>
      <c r="K147" s="382">
        <v>96.06</v>
      </c>
      <c r="L147" s="382">
        <v>95.88</v>
      </c>
      <c r="M147" s="382">
        <v>7.87</v>
      </c>
      <c r="N147" s="382">
        <v>101.37</v>
      </c>
      <c r="O147" s="385">
        <v>117</v>
      </c>
      <c r="P147" s="382">
        <v>98.44</v>
      </c>
      <c r="Q147" s="382">
        <v>89.49</v>
      </c>
      <c r="R147" s="382">
        <v>26.05</v>
      </c>
      <c r="S147" s="382">
        <v>124.49</v>
      </c>
      <c r="T147" s="385">
        <v>7</v>
      </c>
      <c r="U147" s="382">
        <v>118.76</v>
      </c>
      <c r="V147" s="385">
        <v>2</v>
      </c>
      <c r="W147" s="382">
        <v>0</v>
      </c>
      <c r="X147" s="385">
        <v>0</v>
      </c>
      <c r="Y147" s="382">
        <v>0</v>
      </c>
      <c r="Z147" s="382">
        <v>0</v>
      </c>
      <c r="AA147" s="382">
        <v>0</v>
      </c>
      <c r="AB147" s="382">
        <v>0</v>
      </c>
      <c r="AC147" s="382">
        <v>1</v>
      </c>
      <c r="AD147" s="382">
        <v>125</v>
      </c>
      <c r="AE147" s="382">
        <v>0</v>
      </c>
      <c r="AF147" s="382">
        <v>0</v>
      </c>
      <c r="AG147" s="382">
        <v>0</v>
      </c>
    </row>
    <row r="148" spans="1:33" x14ac:dyDescent="0.3">
      <c r="A148" s="381" t="s">
        <v>356</v>
      </c>
      <c r="B148" s="381" t="s">
        <v>357</v>
      </c>
      <c r="C148" s="382">
        <v>13805</v>
      </c>
      <c r="D148" s="382">
        <v>165</v>
      </c>
      <c r="E148" s="382">
        <v>1485</v>
      </c>
      <c r="F148" s="382">
        <v>742</v>
      </c>
      <c r="G148" s="382">
        <v>1439</v>
      </c>
      <c r="H148" s="382">
        <v>17636</v>
      </c>
      <c r="I148" s="382">
        <v>16197</v>
      </c>
      <c r="J148" s="382">
        <v>153</v>
      </c>
      <c r="K148" s="382">
        <v>128.5</v>
      </c>
      <c r="L148" s="382">
        <v>138.32</v>
      </c>
      <c r="M148" s="382">
        <v>13.61</v>
      </c>
      <c r="N148" s="382">
        <v>139.47999999999999</v>
      </c>
      <c r="O148" s="385">
        <v>11962</v>
      </c>
      <c r="P148" s="382">
        <v>118.3</v>
      </c>
      <c r="Q148" s="382">
        <v>117.47</v>
      </c>
      <c r="R148" s="382">
        <v>85.15</v>
      </c>
      <c r="S148" s="382">
        <v>194.67</v>
      </c>
      <c r="T148" s="385">
        <v>1716</v>
      </c>
      <c r="U148" s="382">
        <v>190.81</v>
      </c>
      <c r="V148" s="385">
        <v>534</v>
      </c>
      <c r="W148" s="382">
        <v>198.12</v>
      </c>
      <c r="X148" s="385">
        <v>13</v>
      </c>
      <c r="Y148" s="382">
        <v>59</v>
      </c>
      <c r="Z148" s="382">
        <v>20</v>
      </c>
      <c r="AA148" s="382">
        <v>4</v>
      </c>
      <c r="AB148" s="382">
        <v>5</v>
      </c>
      <c r="AC148" s="382">
        <v>23</v>
      </c>
      <c r="AD148" s="382">
        <v>12795</v>
      </c>
      <c r="AE148" s="382">
        <v>84</v>
      </c>
      <c r="AF148" s="382">
        <v>86</v>
      </c>
      <c r="AG148" s="382">
        <v>170</v>
      </c>
    </row>
    <row r="149" spans="1:33" x14ac:dyDescent="0.3">
      <c r="A149" s="381" t="s">
        <v>358</v>
      </c>
      <c r="B149" s="381" t="s">
        <v>359</v>
      </c>
      <c r="C149" s="382">
        <v>10884</v>
      </c>
      <c r="D149" s="382">
        <v>142</v>
      </c>
      <c r="E149" s="382">
        <v>1032</v>
      </c>
      <c r="F149" s="382">
        <v>913</v>
      </c>
      <c r="G149" s="382">
        <v>541</v>
      </c>
      <c r="H149" s="382">
        <v>13512</v>
      </c>
      <c r="I149" s="382">
        <v>12971</v>
      </c>
      <c r="J149" s="382">
        <v>133</v>
      </c>
      <c r="K149" s="382">
        <v>130.47</v>
      </c>
      <c r="L149" s="382">
        <v>152.22</v>
      </c>
      <c r="M149" s="382">
        <v>11.93</v>
      </c>
      <c r="N149" s="382">
        <v>138.56</v>
      </c>
      <c r="O149" s="385">
        <v>9433</v>
      </c>
      <c r="P149" s="382">
        <v>117.58</v>
      </c>
      <c r="Q149" s="382">
        <v>129.34</v>
      </c>
      <c r="R149" s="382">
        <v>71.81</v>
      </c>
      <c r="S149" s="382">
        <v>173.77</v>
      </c>
      <c r="T149" s="385">
        <v>1522</v>
      </c>
      <c r="U149" s="382">
        <v>215.39</v>
      </c>
      <c r="V149" s="385">
        <v>626</v>
      </c>
      <c r="W149" s="382">
        <v>191.52</v>
      </c>
      <c r="X149" s="385">
        <v>31</v>
      </c>
      <c r="Y149" s="382">
        <v>0</v>
      </c>
      <c r="Z149" s="382">
        <v>3</v>
      </c>
      <c r="AA149" s="382">
        <v>2</v>
      </c>
      <c r="AB149" s="382">
        <v>0</v>
      </c>
      <c r="AC149" s="382">
        <v>18</v>
      </c>
      <c r="AD149" s="382">
        <v>10073</v>
      </c>
      <c r="AE149" s="382">
        <v>69</v>
      </c>
      <c r="AF149" s="382">
        <v>287</v>
      </c>
      <c r="AG149" s="382">
        <v>356</v>
      </c>
    </row>
    <row r="150" spans="1:33" x14ac:dyDescent="0.3">
      <c r="A150" s="381" t="s">
        <v>360</v>
      </c>
      <c r="B150" s="381" t="s">
        <v>361</v>
      </c>
      <c r="C150" s="382">
        <v>8488</v>
      </c>
      <c r="D150" s="382">
        <v>18</v>
      </c>
      <c r="E150" s="382">
        <v>284</v>
      </c>
      <c r="F150" s="382">
        <v>912</v>
      </c>
      <c r="G150" s="382">
        <v>219</v>
      </c>
      <c r="H150" s="382">
        <v>9921</v>
      </c>
      <c r="I150" s="382">
        <v>9702</v>
      </c>
      <c r="J150" s="382">
        <v>105</v>
      </c>
      <c r="K150" s="382">
        <v>85.81</v>
      </c>
      <c r="L150" s="382">
        <v>82.63</v>
      </c>
      <c r="M150" s="382">
        <v>6.22</v>
      </c>
      <c r="N150" s="382">
        <v>88.07</v>
      </c>
      <c r="O150" s="385">
        <v>7730</v>
      </c>
      <c r="P150" s="382">
        <v>91.68</v>
      </c>
      <c r="Q150" s="382">
        <v>78.98</v>
      </c>
      <c r="R150" s="382">
        <v>26.43</v>
      </c>
      <c r="S150" s="382">
        <v>117.95</v>
      </c>
      <c r="T150" s="385">
        <v>1129</v>
      </c>
      <c r="U150" s="382">
        <v>109.56</v>
      </c>
      <c r="V150" s="385">
        <v>733</v>
      </c>
      <c r="W150" s="382">
        <v>98.61</v>
      </c>
      <c r="X150" s="385">
        <v>17</v>
      </c>
      <c r="Y150" s="382">
        <v>0</v>
      </c>
      <c r="Z150" s="382">
        <v>31</v>
      </c>
      <c r="AA150" s="382">
        <v>2</v>
      </c>
      <c r="AB150" s="382">
        <v>7</v>
      </c>
      <c r="AC150" s="382">
        <v>6</v>
      </c>
      <c r="AD150" s="382">
        <v>8473</v>
      </c>
      <c r="AE150" s="382">
        <v>79</v>
      </c>
      <c r="AF150" s="382">
        <v>147</v>
      </c>
      <c r="AG150" s="382">
        <v>226</v>
      </c>
    </row>
    <row r="151" spans="1:33" x14ac:dyDescent="0.3">
      <c r="A151" s="381" t="s">
        <v>362</v>
      </c>
      <c r="B151" s="381" t="s">
        <v>363</v>
      </c>
      <c r="C151" s="382">
        <v>7274</v>
      </c>
      <c r="D151" s="382">
        <v>0</v>
      </c>
      <c r="E151" s="382">
        <v>983</v>
      </c>
      <c r="F151" s="382">
        <v>1261</v>
      </c>
      <c r="G151" s="382">
        <v>341</v>
      </c>
      <c r="H151" s="382">
        <v>9859</v>
      </c>
      <c r="I151" s="382">
        <v>9518</v>
      </c>
      <c r="J151" s="382">
        <v>1</v>
      </c>
      <c r="K151" s="382">
        <v>84.2</v>
      </c>
      <c r="L151" s="382">
        <v>83.84</v>
      </c>
      <c r="M151" s="382">
        <v>5.96</v>
      </c>
      <c r="N151" s="382">
        <v>88.89</v>
      </c>
      <c r="O151" s="385">
        <v>6090</v>
      </c>
      <c r="P151" s="382">
        <v>82.04</v>
      </c>
      <c r="Q151" s="382">
        <v>76.349999999999994</v>
      </c>
      <c r="R151" s="382">
        <v>57.97</v>
      </c>
      <c r="S151" s="382">
        <v>136.05000000000001</v>
      </c>
      <c r="T151" s="385">
        <v>1670</v>
      </c>
      <c r="U151" s="382">
        <v>98.69</v>
      </c>
      <c r="V151" s="385">
        <v>981</v>
      </c>
      <c r="W151" s="382">
        <v>231.92</v>
      </c>
      <c r="X151" s="385">
        <v>30</v>
      </c>
      <c r="Y151" s="382">
        <v>683</v>
      </c>
      <c r="Z151" s="382">
        <v>5</v>
      </c>
      <c r="AA151" s="382">
        <v>0</v>
      </c>
      <c r="AB151" s="382">
        <v>1</v>
      </c>
      <c r="AC151" s="382">
        <v>4</v>
      </c>
      <c r="AD151" s="382">
        <v>7032</v>
      </c>
      <c r="AE151" s="382">
        <v>39</v>
      </c>
      <c r="AF151" s="382">
        <v>58</v>
      </c>
      <c r="AG151" s="382">
        <v>97</v>
      </c>
    </row>
    <row r="152" spans="1:33" x14ac:dyDescent="0.3">
      <c r="A152" s="381" t="s">
        <v>364</v>
      </c>
      <c r="B152" s="381" t="s">
        <v>365</v>
      </c>
      <c r="C152" s="382">
        <v>2131</v>
      </c>
      <c r="D152" s="382">
        <v>93</v>
      </c>
      <c r="E152" s="382">
        <v>292</v>
      </c>
      <c r="F152" s="382">
        <v>214</v>
      </c>
      <c r="G152" s="382">
        <v>400</v>
      </c>
      <c r="H152" s="382">
        <v>3130</v>
      </c>
      <c r="I152" s="382">
        <v>2730</v>
      </c>
      <c r="J152" s="382">
        <v>6</v>
      </c>
      <c r="K152" s="382">
        <v>132.33000000000001</v>
      </c>
      <c r="L152" s="382">
        <v>133.08000000000001</v>
      </c>
      <c r="M152" s="382">
        <v>10.85</v>
      </c>
      <c r="N152" s="382">
        <v>141.79</v>
      </c>
      <c r="O152" s="385">
        <v>1516</v>
      </c>
      <c r="P152" s="382">
        <v>136.69999999999999</v>
      </c>
      <c r="Q152" s="382">
        <v>105.16</v>
      </c>
      <c r="R152" s="382">
        <v>42.59</v>
      </c>
      <c r="S152" s="382">
        <v>179.29</v>
      </c>
      <c r="T152" s="385">
        <v>319</v>
      </c>
      <c r="U152" s="382">
        <v>229.19</v>
      </c>
      <c r="V152" s="385">
        <v>351</v>
      </c>
      <c r="W152" s="382">
        <v>0</v>
      </c>
      <c r="X152" s="385">
        <v>0</v>
      </c>
      <c r="Y152" s="382">
        <v>33</v>
      </c>
      <c r="Z152" s="382">
        <v>1</v>
      </c>
      <c r="AA152" s="382">
        <v>5</v>
      </c>
      <c r="AB152" s="382">
        <v>9</v>
      </c>
      <c r="AC152" s="382">
        <v>15</v>
      </c>
      <c r="AD152" s="382">
        <v>1856</v>
      </c>
      <c r="AE152" s="382">
        <v>13</v>
      </c>
      <c r="AF152" s="382">
        <v>13</v>
      </c>
      <c r="AG152" s="382">
        <v>26</v>
      </c>
    </row>
    <row r="153" spans="1:33" x14ac:dyDescent="0.3">
      <c r="A153" s="381" t="s">
        <v>366</v>
      </c>
      <c r="B153" s="381" t="s">
        <v>367</v>
      </c>
      <c r="C153" s="382">
        <v>4282</v>
      </c>
      <c r="D153" s="382">
        <v>6</v>
      </c>
      <c r="E153" s="382">
        <v>493</v>
      </c>
      <c r="F153" s="382">
        <v>1267</v>
      </c>
      <c r="G153" s="382">
        <v>508</v>
      </c>
      <c r="H153" s="382">
        <v>6556</v>
      </c>
      <c r="I153" s="382">
        <v>6048</v>
      </c>
      <c r="J153" s="382">
        <v>6</v>
      </c>
      <c r="K153" s="382">
        <v>86.85</v>
      </c>
      <c r="L153" s="382">
        <v>84.57</v>
      </c>
      <c r="M153" s="382">
        <v>4.62</v>
      </c>
      <c r="N153" s="382">
        <v>90.37</v>
      </c>
      <c r="O153" s="385">
        <v>3557</v>
      </c>
      <c r="P153" s="382">
        <v>83.37</v>
      </c>
      <c r="Q153" s="382">
        <v>76.05</v>
      </c>
      <c r="R153" s="382">
        <v>43.79</v>
      </c>
      <c r="S153" s="382">
        <v>126.6</v>
      </c>
      <c r="T153" s="385">
        <v>1493</v>
      </c>
      <c r="U153" s="382">
        <v>99.49</v>
      </c>
      <c r="V153" s="385">
        <v>608</v>
      </c>
      <c r="W153" s="382">
        <v>110.51</v>
      </c>
      <c r="X153" s="385">
        <v>51</v>
      </c>
      <c r="Y153" s="382">
        <v>0</v>
      </c>
      <c r="Z153" s="382">
        <v>12</v>
      </c>
      <c r="AA153" s="382">
        <v>6</v>
      </c>
      <c r="AB153" s="382">
        <v>22</v>
      </c>
      <c r="AC153" s="382">
        <v>16</v>
      </c>
      <c r="AD153" s="382">
        <v>4270</v>
      </c>
      <c r="AE153" s="382">
        <v>32</v>
      </c>
      <c r="AF153" s="382">
        <v>9</v>
      </c>
      <c r="AG153" s="382">
        <v>41</v>
      </c>
    </row>
    <row r="154" spans="1:33" x14ac:dyDescent="0.3">
      <c r="A154" s="381" t="s">
        <v>368</v>
      </c>
      <c r="B154" s="381" t="s">
        <v>369</v>
      </c>
      <c r="C154" s="382">
        <v>16080</v>
      </c>
      <c r="D154" s="382">
        <v>4</v>
      </c>
      <c r="E154" s="382">
        <v>753</v>
      </c>
      <c r="F154" s="382">
        <v>1329</v>
      </c>
      <c r="G154" s="382">
        <v>528</v>
      </c>
      <c r="H154" s="382">
        <v>18694</v>
      </c>
      <c r="I154" s="382">
        <v>18166</v>
      </c>
      <c r="J154" s="382">
        <v>14</v>
      </c>
      <c r="K154" s="382">
        <v>86.15</v>
      </c>
      <c r="L154" s="382">
        <v>86.21</v>
      </c>
      <c r="M154" s="382">
        <v>11.67</v>
      </c>
      <c r="N154" s="382">
        <v>89.01</v>
      </c>
      <c r="O154" s="385">
        <v>14413</v>
      </c>
      <c r="P154" s="382">
        <v>88.14</v>
      </c>
      <c r="Q154" s="382">
        <v>76.260000000000005</v>
      </c>
      <c r="R154" s="382">
        <v>32.53</v>
      </c>
      <c r="S154" s="382">
        <v>118.96</v>
      </c>
      <c r="T154" s="385">
        <v>1518</v>
      </c>
      <c r="U154" s="382">
        <v>110.49</v>
      </c>
      <c r="V154" s="385">
        <v>1365</v>
      </c>
      <c r="W154" s="382">
        <v>156.72999999999999</v>
      </c>
      <c r="X154" s="385">
        <v>412</v>
      </c>
      <c r="Y154" s="382">
        <v>0</v>
      </c>
      <c r="Z154" s="382">
        <v>124</v>
      </c>
      <c r="AA154" s="382">
        <v>6</v>
      </c>
      <c r="AB154" s="382">
        <v>26</v>
      </c>
      <c r="AC154" s="382">
        <v>11</v>
      </c>
      <c r="AD154" s="382">
        <v>15918</v>
      </c>
      <c r="AE154" s="382">
        <v>64</v>
      </c>
      <c r="AF154" s="382">
        <v>273</v>
      </c>
      <c r="AG154" s="382">
        <v>337</v>
      </c>
    </row>
    <row r="155" spans="1:33" x14ac:dyDescent="0.3">
      <c r="A155" s="381" t="s">
        <v>370</v>
      </c>
      <c r="B155" s="381" t="s">
        <v>371</v>
      </c>
      <c r="C155" s="382">
        <v>21231</v>
      </c>
      <c r="D155" s="382">
        <v>183</v>
      </c>
      <c r="E155" s="382">
        <v>1937</v>
      </c>
      <c r="F155" s="382">
        <v>1460</v>
      </c>
      <c r="G155" s="382">
        <v>2169</v>
      </c>
      <c r="H155" s="382">
        <v>26980</v>
      </c>
      <c r="I155" s="382">
        <v>24811</v>
      </c>
      <c r="J155" s="382">
        <v>130</v>
      </c>
      <c r="K155" s="382">
        <v>121.57</v>
      </c>
      <c r="L155" s="382">
        <v>127.09</v>
      </c>
      <c r="M155" s="382">
        <v>15.64</v>
      </c>
      <c r="N155" s="382">
        <v>134.63999999999999</v>
      </c>
      <c r="O155" s="385">
        <v>18508</v>
      </c>
      <c r="P155" s="382">
        <v>113.18</v>
      </c>
      <c r="Q155" s="382">
        <v>110.23</v>
      </c>
      <c r="R155" s="382">
        <v>54.5</v>
      </c>
      <c r="S155" s="382">
        <v>162.43</v>
      </c>
      <c r="T155" s="385">
        <v>2868</v>
      </c>
      <c r="U155" s="382">
        <v>199.81</v>
      </c>
      <c r="V155" s="385">
        <v>1321</v>
      </c>
      <c r="W155" s="382">
        <v>276.57</v>
      </c>
      <c r="X155" s="385">
        <v>82</v>
      </c>
      <c r="Y155" s="382">
        <v>0</v>
      </c>
      <c r="Z155" s="382">
        <v>27</v>
      </c>
      <c r="AA155" s="382">
        <v>17</v>
      </c>
      <c r="AB155" s="382">
        <v>44</v>
      </c>
      <c r="AC155" s="382">
        <v>107</v>
      </c>
      <c r="AD155" s="382">
        <v>20042</v>
      </c>
      <c r="AE155" s="382">
        <v>166</v>
      </c>
      <c r="AF155" s="382">
        <v>89</v>
      </c>
      <c r="AG155" s="382">
        <v>255</v>
      </c>
    </row>
    <row r="156" spans="1:33" x14ac:dyDescent="0.3">
      <c r="A156" s="381" t="s">
        <v>372</v>
      </c>
      <c r="B156" s="381" t="s">
        <v>373</v>
      </c>
      <c r="C156" s="382">
        <v>2004</v>
      </c>
      <c r="D156" s="382">
        <v>0</v>
      </c>
      <c r="E156" s="382">
        <v>401</v>
      </c>
      <c r="F156" s="382">
        <v>526</v>
      </c>
      <c r="G156" s="382">
        <v>365</v>
      </c>
      <c r="H156" s="382">
        <v>3296</v>
      </c>
      <c r="I156" s="382">
        <v>2931</v>
      </c>
      <c r="J156" s="382">
        <v>3</v>
      </c>
      <c r="K156" s="382">
        <v>85.75</v>
      </c>
      <c r="L156" s="382">
        <v>82.41</v>
      </c>
      <c r="M156" s="382">
        <v>5.91</v>
      </c>
      <c r="N156" s="382">
        <v>90.76</v>
      </c>
      <c r="O156" s="385">
        <v>1269</v>
      </c>
      <c r="P156" s="382">
        <v>91.89</v>
      </c>
      <c r="Q156" s="382">
        <v>73.150000000000006</v>
      </c>
      <c r="R156" s="382">
        <v>70.58</v>
      </c>
      <c r="S156" s="382">
        <v>159.41999999999999</v>
      </c>
      <c r="T156" s="385">
        <v>764</v>
      </c>
      <c r="U156" s="382">
        <v>107.3</v>
      </c>
      <c r="V156" s="385">
        <v>664</v>
      </c>
      <c r="W156" s="382">
        <v>286.7</v>
      </c>
      <c r="X156" s="385">
        <v>32</v>
      </c>
      <c r="Y156" s="382">
        <v>17</v>
      </c>
      <c r="Z156" s="382">
        <v>3</v>
      </c>
      <c r="AA156" s="382">
        <v>0</v>
      </c>
      <c r="AB156" s="382">
        <v>10</v>
      </c>
      <c r="AC156" s="382">
        <v>11</v>
      </c>
      <c r="AD156" s="382">
        <v>1956</v>
      </c>
      <c r="AE156" s="382">
        <v>25</v>
      </c>
      <c r="AF156" s="382">
        <v>12</v>
      </c>
      <c r="AG156" s="382">
        <v>37</v>
      </c>
    </row>
    <row r="157" spans="1:33" x14ac:dyDescent="0.3">
      <c r="A157" s="381" t="s">
        <v>374</v>
      </c>
      <c r="B157" s="381" t="s">
        <v>375</v>
      </c>
      <c r="C157" s="382">
        <v>13480</v>
      </c>
      <c r="D157" s="382">
        <v>8</v>
      </c>
      <c r="E157" s="382">
        <v>1536</v>
      </c>
      <c r="F157" s="382">
        <v>2906</v>
      </c>
      <c r="G157" s="382">
        <v>1652</v>
      </c>
      <c r="H157" s="382">
        <v>19582</v>
      </c>
      <c r="I157" s="382">
        <v>17930</v>
      </c>
      <c r="J157" s="382">
        <v>45</v>
      </c>
      <c r="K157" s="382">
        <v>86.28</v>
      </c>
      <c r="L157" s="382">
        <v>84.62</v>
      </c>
      <c r="M157" s="382">
        <v>6.99</v>
      </c>
      <c r="N157" s="382">
        <v>90.7</v>
      </c>
      <c r="O157" s="385">
        <v>11134</v>
      </c>
      <c r="P157" s="382">
        <v>98.46</v>
      </c>
      <c r="Q157" s="382">
        <v>75.17</v>
      </c>
      <c r="R157" s="382">
        <v>51.71</v>
      </c>
      <c r="S157" s="382">
        <v>148.56</v>
      </c>
      <c r="T157" s="385">
        <v>3472</v>
      </c>
      <c r="U157" s="382">
        <v>110.72</v>
      </c>
      <c r="V157" s="385">
        <v>1472</v>
      </c>
      <c r="W157" s="382">
        <v>198.61</v>
      </c>
      <c r="X157" s="385">
        <v>99</v>
      </c>
      <c r="Y157" s="382">
        <v>2</v>
      </c>
      <c r="Z157" s="382">
        <v>8</v>
      </c>
      <c r="AA157" s="382">
        <v>32</v>
      </c>
      <c r="AB157" s="382">
        <v>113</v>
      </c>
      <c r="AC157" s="382">
        <v>49</v>
      </c>
      <c r="AD157" s="382">
        <v>13088</v>
      </c>
      <c r="AE157" s="382">
        <v>108</v>
      </c>
      <c r="AF157" s="382">
        <v>49</v>
      </c>
      <c r="AG157" s="382">
        <v>157</v>
      </c>
    </row>
    <row r="158" spans="1:33" x14ac:dyDescent="0.3">
      <c r="A158" s="381" t="s">
        <v>376</v>
      </c>
      <c r="B158" s="381" t="s">
        <v>377</v>
      </c>
      <c r="C158" s="382">
        <v>8984</v>
      </c>
      <c r="D158" s="382">
        <v>0</v>
      </c>
      <c r="E158" s="382">
        <v>987</v>
      </c>
      <c r="F158" s="382">
        <v>919</v>
      </c>
      <c r="G158" s="382">
        <v>561</v>
      </c>
      <c r="H158" s="382">
        <v>11451</v>
      </c>
      <c r="I158" s="382">
        <v>10890</v>
      </c>
      <c r="J158" s="382">
        <v>63</v>
      </c>
      <c r="K158" s="382">
        <v>85.95</v>
      </c>
      <c r="L158" s="382">
        <v>83.33</v>
      </c>
      <c r="M158" s="382">
        <v>8.77</v>
      </c>
      <c r="N158" s="382">
        <v>92.13</v>
      </c>
      <c r="O158" s="385">
        <v>6971</v>
      </c>
      <c r="P158" s="382">
        <v>90.13</v>
      </c>
      <c r="Q158" s="382">
        <v>76.900000000000006</v>
      </c>
      <c r="R158" s="382">
        <v>62.81</v>
      </c>
      <c r="S158" s="382">
        <v>148.22999999999999</v>
      </c>
      <c r="T158" s="385">
        <v>1535</v>
      </c>
      <c r="U158" s="382">
        <v>115.48</v>
      </c>
      <c r="V158" s="385">
        <v>1128</v>
      </c>
      <c r="W158" s="382">
        <v>137.34</v>
      </c>
      <c r="X158" s="385">
        <v>86</v>
      </c>
      <c r="Y158" s="382">
        <v>0</v>
      </c>
      <c r="Z158" s="382">
        <v>12</v>
      </c>
      <c r="AA158" s="382">
        <v>16</v>
      </c>
      <c r="AB158" s="382">
        <v>22</v>
      </c>
      <c r="AC158" s="382">
        <v>34</v>
      </c>
      <c r="AD158" s="382">
        <v>8265</v>
      </c>
      <c r="AE158" s="382">
        <v>93</v>
      </c>
      <c r="AF158" s="382">
        <v>49</v>
      </c>
      <c r="AG158" s="382">
        <v>142</v>
      </c>
    </row>
    <row r="159" spans="1:33" x14ac:dyDescent="0.3">
      <c r="A159" s="381" t="s">
        <v>378</v>
      </c>
      <c r="B159" s="381" t="s">
        <v>379</v>
      </c>
      <c r="C159" s="382">
        <v>1157</v>
      </c>
      <c r="D159" s="382">
        <v>0</v>
      </c>
      <c r="E159" s="382">
        <v>154</v>
      </c>
      <c r="F159" s="382">
        <v>442</v>
      </c>
      <c r="G159" s="382">
        <v>403</v>
      </c>
      <c r="H159" s="382">
        <v>2156</v>
      </c>
      <c r="I159" s="382">
        <v>1753</v>
      </c>
      <c r="J159" s="382">
        <v>11</v>
      </c>
      <c r="K159" s="382">
        <v>96.53</v>
      </c>
      <c r="L159" s="382">
        <v>94.99</v>
      </c>
      <c r="M159" s="382">
        <v>7.3</v>
      </c>
      <c r="N159" s="382">
        <v>102.9</v>
      </c>
      <c r="O159" s="385">
        <v>868</v>
      </c>
      <c r="P159" s="382">
        <v>85.37</v>
      </c>
      <c r="Q159" s="382">
        <v>78.88</v>
      </c>
      <c r="R159" s="382">
        <v>50.94</v>
      </c>
      <c r="S159" s="382">
        <v>135</v>
      </c>
      <c r="T159" s="385">
        <v>312</v>
      </c>
      <c r="U159" s="382">
        <v>175.58</v>
      </c>
      <c r="V159" s="385">
        <v>276</v>
      </c>
      <c r="W159" s="382">
        <v>153.1</v>
      </c>
      <c r="X159" s="385">
        <v>9</v>
      </c>
      <c r="Y159" s="382">
        <v>6</v>
      </c>
      <c r="Z159" s="382">
        <v>0</v>
      </c>
      <c r="AA159" s="382">
        <v>0</v>
      </c>
      <c r="AB159" s="382">
        <v>48</v>
      </c>
      <c r="AC159" s="382">
        <v>11</v>
      </c>
      <c r="AD159" s="382">
        <v>1157</v>
      </c>
      <c r="AE159" s="382">
        <v>15</v>
      </c>
      <c r="AF159" s="382">
        <v>11</v>
      </c>
      <c r="AG159" s="382">
        <v>26</v>
      </c>
    </row>
    <row r="160" spans="1:33" x14ac:dyDescent="0.3">
      <c r="A160" s="381" t="s">
        <v>380</v>
      </c>
      <c r="B160" s="381" t="s">
        <v>381</v>
      </c>
      <c r="C160" s="382">
        <v>20921</v>
      </c>
      <c r="D160" s="382">
        <v>149</v>
      </c>
      <c r="E160" s="382">
        <v>1518</v>
      </c>
      <c r="F160" s="382">
        <v>684</v>
      </c>
      <c r="G160" s="382">
        <v>1976</v>
      </c>
      <c r="H160" s="382">
        <v>25248</v>
      </c>
      <c r="I160" s="382">
        <v>23272</v>
      </c>
      <c r="J160" s="382">
        <v>215</v>
      </c>
      <c r="K160" s="382">
        <v>112.71</v>
      </c>
      <c r="L160" s="382">
        <v>115.03</v>
      </c>
      <c r="M160" s="382">
        <v>12.14</v>
      </c>
      <c r="N160" s="382">
        <v>119.59</v>
      </c>
      <c r="O160" s="385">
        <v>18303</v>
      </c>
      <c r="P160" s="382">
        <v>108.45</v>
      </c>
      <c r="Q160" s="382">
        <v>102.84</v>
      </c>
      <c r="R160" s="382">
        <v>86.09</v>
      </c>
      <c r="S160" s="382">
        <v>188.76</v>
      </c>
      <c r="T160" s="385">
        <v>1771</v>
      </c>
      <c r="U160" s="382">
        <v>183.29</v>
      </c>
      <c r="V160" s="385">
        <v>1671</v>
      </c>
      <c r="W160" s="382">
        <v>283.99</v>
      </c>
      <c r="X160" s="385">
        <v>119</v>
      </c>
      <c r="Y160" s="382">
        <v>1098</v>
      </c>
      <c r="Z160" s="382">
        <v>25</v>
      </c>
      <c r="AA160" s="382">
        <v>42</v>
      </c>
      <c r="AB160" s="382">
        <v>40</v>
      </c>
      <c r="AC160" s="382">
        <v>59</v>
      </c>
      <c r="AD160" s="382">
        <v>20053</v>
      </c>
      <c r="AE160" s="382">
        <v>218</v>
      </c>
      <c r="AF160" s="382">
        <v>115</v>
      </c>
      <c r="AG160" s="382">
        <v>333</v>
      </c>
    </row>
    <row r="161" spans="1:33" x14ac:dyDescent="0.3">
      <c r="A161" s="381" t="s">
        <v>382</v>
      </c>
      <c r="B161" s="381" t="s">
        <v>383</v>
      </c>
      <c r="C161" s="382">
        <v>5688</v>
      </c>
      <c r="D161" s="382">
        <v>14</v>
      </c>
      <c r="E161" s="382">
        <v>119</v>
      </c>
      <c r="F161" s="382">
        <v>298</v>
      </c>
      <c r="G161" s="382">
        <v>564</v>
      </c>
      <c r="H161" s="382">
        <v>6683</v>
      </c>
      <c r="I161" s="382">
        <v>6119</v>
      </c>
      <c r="J161" s="382">
        <v>1</v>
      </c>
      <c r="K161" s="382">
        <v>91.46</v>
      </c>
      <c r="L161" s="382">
        <v>87.79</v>
      </c>
      <c r="M161" s="382">
        <v>3.31</v>
      </c>
      <c r="N161" s="382">
        <v>93.94</v>
      </c>
      <c r="O161" s="385">
        <v>5104</v>
      </c>
      <c r="P161" s="382">
        <v>102.92</v>
      </c>
      <c r="Q161" s="382">
        <v>92.5</v>
      </c>
      <c r="R161" s="382">
        <v>35.82</v>
      </c>
      <c r="S161" s="382">
        <v>138.72999999999999</v>
      </c>
      <c r="T161" s="385">
        <v>407</v>
      </c>
      <c r="U161" s="382">
        <v>114.94</v>
      </c>
      <c r="V161" s="385">
        <v>539</v>
      </c>
      <c r="W161" s="382">
        <v>0</v>
      </c>
      <c r="X161" s="385">
        <v>0</v>
      </c>
      <c r="Y161" s="382">
        <v>0</v>
      </c>
      <c r="Z161" s="382">
        <v>7</v>
      </c>
      <c r="AA161" s="382">
        <v>8</v>
      </c>
      <c r="AB161" s="382">
        <v>114</v>
      </c>
      <c r="AC161" s="382">
        <v>10</v>
      </c>
      <c r="AD161" s="382">
        <v>5650</v>
      </c>
      <c r="AE161" s="382">
        <v>56</v>
      </c>
      <c r="AF161" s="382">
        <v>27</v>
      </c>
      <c r="AG161" s="382">
        <v>83</v>
      </c>
    </row>
    <row r="162" spans="1:33" x14ac:dyDescent="0.3">
      <c r="A162" s="381" t="s">
        <v>384</v>
      </c>
      <c r="B162" s="381" t="s">
        <v>385</v>
      </c>
      <c r="C162" s="382">
        <v>1353</v>
      </c>
      <c r="D162" s="382">
        <v>0</v>
      </c>
      <c r="E162" s="382">
        <v>457</v>
      </c>
      <c r="F162" s="382">
        <v>148</v>
      </c>
      <c r="G162" s="382">
        <v>297</v>
      </c>
      <c r="H162" s="382">
        <v>2255</v>
      </c>
      <c r="I162" s="382">
        <v>1958</v>
      </c>
      <c r="J162" s="382">
        <v>8</v>
      </c>
      <c r="K162" s="382">
        <v>82.69</v>
      </c>
      <c r="L162" s="382">
        <v>79.84</v>
      </c>
      <c r="M162" s="382">
        <v>9</v>
      </c>
      <c r="N162" s="382">
        <v>90.03</v>
      </c>
      <c r="O162" s="385">
        <v>1019</v>
      </c>
      <c r="P162" s="382">
        <v>94.25</v>
      </c>
      <c r="Q162" s="382">
        <v>81.61</v>
      </c>
      <c r="R162" s="382">
        <v>112.48</v>
      </c>
      <c r="S162" s="382">
        <v>206.74</v>
      </c>
      <c r="T162" s="385">
        <v>282</v>
      </c>
      <c r="U162" s="382">
        <v>104.01</v>
      </c>
      <c r="V162" s="385">
        <v>230</v>
      </c>
      <c r="W162" s="382">
        <v>303.62</v>
      </c>
      <c r="X162" s="385">
        <v>31</v>
      </c>
      <c r="Y162" s="382">
        <v>63</v>
      </c>
      <c r="Z162" s="382">
        <v>0</v>
      </c>
      <c r="AA162" s="382">
        <v>0</v>
      </c>
      <c r="AB162" s="382">
        <v>0</v>
      </c>
      <c r="AC162" s="382">
        <v>8</v>
      </c>
      <c r="AD162" s="382">
        <v>1320</v>
      </c>
      <c r="AE162" s="382">
        <v>7</v>
      </c>
      <c r="AF162" s="382">
        <v>24</v>
      </c>
      <c r="AG162" s="382">
        <v>31</v>
      </c>
    </row>
    <row r="163" spans="1:33" x14ac:dyDescent="0.3">
      <c r="A163" s="381" t="s">
        <v>386</v>
      </c>
      <c r="B163" s="381" t="s">
        <v>387</v>
      </c>
      <c r="C163" s="382">
        <v>52171</v>
      </c>
      <c r="D163" s="382">
        <v>10</v>
      </c>
      <c r="E163" s="382">
        <v>2518</v>
      </c>
      <c r="F163" s="382">
        <v>3744</v>
      </c>
      <c r="G163" s="382">
        <v>969</v>
      </c>
      <c r="H163" s="382">
        <v>59412</v>
      </c>
      <c r="I163" s="382">
        <v>58443</v>
      </c>
      <c r="J163" s="382">
        <v>210</v>
      </c>
      <c r="K163" s="382">
        <v>85.78</v>
      </c>
      <c r="L163" s="382">
        <v>85.06</v>
      </c>
      <c r="M163" s="382">
        <v>9.9499999999999993</v>
      </c>
      <c r="N163" s="382">
        <v>88.49</v>
      </c>
      <c r="O163" s="385">
        <v>43185</v>
      </c>
      <c r="P163" s="382">
        <v>88.83</v>
      </c>
      <c r="Q163" s="382">
        <v>79.61</v>
      </c>
      <c r="R163" s="382">
        <v>51.6</v>
      </c>
      <c r="S163" s="382">
        <v>139.24</v>
      </c>
      <c r="T163" s="385">
        <v>4986</v>
      </c>
      <c r="U163" s="382">
        <v>105.84</v>
      </c>
      <c r="V163" s="385">
        <v>6049</v>
      </c>
      <c r="W163" s="382">
        <v>128.22</v>
      </c>
      <c r="X163" s="385">
        <v>119</v>
      </c>
      <c r="Y163" s="382">
        <v>327</v>
      </c>
      <c r="Z163" s="382">
        <v>240</v>
      </c>
      <c r="AA163" s="382">
        <v>32</v>
      </c>
      <c r="AB163" s="382">
        <v>59</v>
      </c>
      <c r="AC163" s="382">
        <v>30</v>
      </c>
      <c r="AD163" s="382">
        <v>49548</v>
      </c>
      <c r="AE163" s="382">
        <v>445</v>
      </c>
      <c r="AF163" s="382">
        <v>346</v>
      </c>
      <c r="AG163" s="382">
        <v>791</v>
      </c>
    </row>
    <row r="164" spans="1:33" x14ac:dyDescent="0.3">
      <c r="A164" s="381" t="s">
        <v>388</v>
      </c>
      <c r="B164" s="381" t="s">
        <v>389</v>
      </c>
      <c r="C164" s="382">
        <v>3870</v>
      </c>
      <c r="D164" s="382">
        <v>175</v>
      </c>
      <c r="E164" s="382">
        <v>409</v>
      </c>
      <c r="F164" s="382">
        <v>392</v>
      </c>
      <c r="G164" s="382">
        <v>324</v>
      </c>
      <c r="H164" s="382">
        <v>5170</v>
      </c>
      <c r="I164" s="382">
        <v>4846</v>
      </c>
      <c r="J164" s="382">
        <v>1</v>
      </c>
      <c r="K164" s="382">
        <v>103.38</v>
      </c>
      <c r="L164" s="382">
        <v>100.6</v>
      </c>
      <c r="M164" s="382">
        <v>6.06</v>
      </c>
      <c r="N164" s="382">
        <v>107.9</v>
      </c>
      <c r="O164" s="385">
        <v>2787</v>
      </c>
      <c r="P164" s="382">
        <v>103.45</v>
      </c>
      <c r="Q164" s="382">
        <v>97.48</v>
      </c>
      <c r="R164" s="382">
        <v>45.27</v>
      </c>
      <c r="S164" s="382">
        <v>144.96</v>
      </c>
      <c r="T164" s="385">
        <v>434</v>
      </c>
      <c r="U164" s="382">
        <v>146.97999999999999</v>
      </c>
      <c r="V164" s="385">
        <v>622</v>
      </c>
      <c r="W164" s="382">
        <v>141.76</v>
      </c>
      <c r="X164" s="385">
        <v>13</v>
      </c>
      <c r="Y164" s="382">
        <v>0</v>
      </c>
      <c r="Z164" s="382">
        <v>3</v>
      </c>
      <c r="AA164" s="382">
        <v>5</v>
      </c>
      <c r="AB164" s="382">
        <v>9</v>
      </c>
      <c r="AC164" s="382">
        <v>11</v>
      </c>
      <c r="AD164" s="382">
        <v>3542</v>
      </c>
      <c r="AE164" s="382">
        <v>34</v>
      </c>
      <c r="AF164" s="382">
        <v>7</v>
      </c>
      <c r="AG164" s="382">
        <v>41</v>
      </c>
    </row>
    <row r="165" spans="1:33" x14ac:dyDescent="0.3">
      <c r="A165" s="381" t="s">
        <v>390</v>
      </c>
      <c r="B165" s="381" t="s">
        <v>391</v>
      </c>
      <c r="C165" s="382">
        <v>8398</v>
      </c>
      <c r="D165" s="382">
        <v>0</v>
      </c>
      <c r="E165" s="382">
        <v>359</v>
      </c>
      <c r="F165" s="382">
        <v>1144</v>
      </c>
      <c r="G165" s="382">
        <v>1259</v>
      </c>
      <c r="H165" s="382">
        <v>11160</v>
      </c>
      <c r="I165" s="382">
        <v>9901</v>
      </c>
      <c r="J165" s="382">
        <v>144</v>
      </c>
      <c r="K165" s="382">
        <v>99.02</v>
      </c>
      <c r="L165" s="382">
        <v>97.79</v>
      </c>
      <c r="M165" s="382">
        <v>6.79</v>
      </c>
      <c r="N165" s="382">
        <v>104.2</v>
      </c>
      <c r="O165" s="385">
        <v>6059</v>
      </c>
      <c r="P165" s="382">
        <v>93.74</v>
      </c>
      <c r="Q165" s="382">
        <v>89.03</v>
      </c>
      <c r="R165" s="382">
        <v>27.67</v>
      </c>
      <c r="S165" s="382">
        <v>120.09</v>
      </c>
      <c r="T165" s="385">
        <v>1325</v>
      </c>
      <c r="U165" s="382">
        <v>165.26</v>
      </c>
      <c r="V165" s="385">
        <v>1978</v>
      </c>
      <c r="W165" s="382">
        <v>119.18</v>
      </c>
      <c r="X165" s="385">
        <v>13</v>
      </c>
      <c r="Y165" s="382">
        <v>25</v>
      </c>
      <c r="Z165" s="382">
        <v>7</v>
      </c>
      <c r="AA165" s="382">
        <v>3</v>
      </c>
      <c r="AB165" s="382">
        <v>163</v>
      </c>
      <c r="AC165" s="382">
        <v>19</v>
      </c>
      <c r="AD165" s="382">
        <v>7924</v>
      </c>
      <c r="AE165" s="382">
        <v>78</v>
      </c>
      <c r="AF165" s="382">
        <v>9</v>
      </c>
      <c r="AG165" s="382">
        <v>87</v>
      </c>
    </row>
    <row r="166" spans="1:33" x14ac:dyDescent="0.3">
      <c r="A166" s="381" t="s">
        <v>392</v>
      </c>
      <c r="B166" s="381" t="s">
        <v>393</v>
      </c>
      <c r="C166" s="382">
        <v>2479</v>
      </c>
      <c r="D166" s="382">
        <v>0</v>
      </c>
      <c r="E166" s="382">
        <v>35</v>
      </c>
      <c r="F166" s="382">
        <v>795</v>
      </c>
      <c r="G166" s="382">
        <v>192</v>
      </c>
      <c r="H166" s="382">
        <v>3501</v>
      </c>
      <c r="I166" s="382">
        <v>3309</v>
      </c>
      <c r="J166" s="382">
        <v>0</v>
      </c>
      <c r="K166" s="382">
        <v>105.9</v>
      </c>
      <c r="L166" s="382">
        <v>104.8</v>
      </c>
      <c r="M166" s="382">
        <v>4.5</v>
      </c>
      <c r="N166" s="382">
        <v>108.71</v>
      </c>
      <c r="O166" s="385">
        <v>1967</v>
      </c>
      <c r="P166" s="382">
        <v>90.39</v>
      </c>
      <c r="Q166" s="382">
        <v>88.7</v>
      </c>
      <c r="R166" s="382">
        <v>16.350000000000001</v>
      </c>
      <c r="S166" s="382">
        <v>106.18</v>
      </c>
      <c r="T166" s="385">
        <v>768</v>
      </c>
      <c r="U166" s="382">
        <v>147.21</v>
      </c>
      <c r="V166" s="385">
        <v>483</v>
      </c>
      <c r="W166" s="382">
        <v>116.48</v>
      </c>
      <c r="X166" s="385">
        <v>1</v>
      </c>
      <c r="Y166" s="382">
        <v>20</v>
      </c>
      <c r="Z166" s="382">
        <v>1</v>
      </c>
      <c r="AA166" s="382">
        <v>0</v>
      </c>
      <c r="AB166" s="382">
        <v>14</v>
      </c>
      <c r="AC166" s="382">
        <v>1</v>
      </c>
      <c r="AD166" s="382">
        <v>2443</v>
      </c>
      <c r="AE166" s="382">
        <v>24</v>
      </c>
      <c r="AF166" s="382">
        <v>7</v>
      </c>
      <c r="AG166" s="382">
        <v>31</v>
      </c>
    </row>
    <row r="167" spans="1:33" x14ac:dyDescent="0.3">
      <c r="A167" s="381" t="s">
        <v>394</v>
      </c>
      <c r="B167" s="381" t="s">
        <v>395</v>
      </c>
      <c r="C167" s="382">
        <v>4646</v>
      </c>
      <c r="D167" s="382">
        <v>0</v>
      </c>
      <c r="E167" s="382">
        <v>74</v>
      </c>
      <c r="F167" s="382">
        <v>594</v>
      </c>
      <c r="G167" s="382">
        <v>488</v>
      </c>
      <c r="H167" s="382">
        <v>5802</v>
      </c>
      <c r="I167" s="382">
        <v>5314</v>
      </c>
      <c r="J167" s="382">
        <v>0</v>
      </c>
      <c r="K167" s="382">
        <v>98.92</v>
      </c>
      <c r="L167" s="382">
        <v>98.6</v>
      </c>
      <c r="M167" s="382">
        <v>4.03</v>
      </c>
      <c r="N167" s="382">
        <v>102.62</v>
      </c>
      <c r="O167" s="385">
        <v>4148</v>
      </c>
      <c r="P167" s="382">
        <v>93.92</v>
      </c>
      <c r="Q167" s="382">
        <v>93.27</v>
      </c>
      <c r="R167" s="382">
        <v>30.45</v>
      </c>
      <c r="S167" s="382">
        <v>124.22</v>
      </c>
      <c r="T167" s="385">
        <v>608</v>
      </c>
      <c r="U167" s="382">
        <v>122.67</v>
      </c>
      <c r="V167" s="385">
        <v>416</v>
      </c>
      <c r="W167" s="382">
        <v>194.18</v>
      </c>
      <c r="X167" s="385">
        <v>60</v>
      </c>
      <c r="Y167" s="382">
        <v>0</v>
      </c>
      <c r="Z167" s="382">
        <v>4</v>
      </c>
      <c r="AA167" s="382">
        <v>3</v>
      </c>
      <c r="AB167" s="382">
        <v>66</v>
      </c>
      <c r="AC167" s="382">
        <v>9</v>
      </c>
      <c r="AD167" s="382">
        <v>4634</v>
      </c>
      <c r="AE167" s="382">
        <v>32</v>
      </c>
      <c r="AF167" s="382">
        <v>27</v>
      </c>
      <c r="AG167" s="382">
        <v>59</v>
      </c>
    </row>
    <row r="168" spans="1:33" x14ac:dyDescent="0.3">
      <c r="A168" s="381" t="s">
        <v>396</v>
      </c>
      <c r="B168" s="381" t="s">
        <v>397</v>
      </c>
      <c r="C168" s="382">
        <v>46261</v>
      </c>
      <c r="D168" s="382">
        <v>72</v>
      </c>
      <c r="E168" s="382">
        <v>1729</v>
      </c>
      <c r="F168" s="382">
        <v>3348</v>
      </c>
      <c r="G168" s="382">
        <v>1608</v>
      </c>
      <c r="H168" s="382">
        <v>53018</v>
      </c>
      <c r="I168" s="382">
        <v>51410</v>
      </c>
      <c r="J168" s="382">
        <v>41</v>
      </c>
      <c r="K168" s="382">
        <v>83.43</v>
      </c>
      <c r="L168" s="382">
        <v>84.09</v>
      </c>
      <c r="M168" s="382">
        <v>5.13</v>
      </c>
      <c r="N168" s="382">
        <v>85.43</v>
      </c>
      <c r="O168" s="385">
        <v>42135</v>
      </c>
      <c r="P168" s="382">
        <v>81.760000000000005</v>
      </c>
      <c r="Q168" s="382">
        <v>76.94</v>
      </c>
      <c r="R168" s="382">
        <v>46.44</v>
      </c>
      <c r="S168" s="382">
        <v>124.91</v>
      </c>
      <c r="T168" s="385">
        <v>4662</v>
      </c>
      <c r="U168" s="382">
        <v>114.93</v>
      </c>
      <c r="V168" s="385">
        <v>3244</v>
      </c>
      <c r="W168" s="382">
        <v>149.91999999999999</v>
      </c>
      <c r="X168" s="385">
        <v>144</v>
      </c>
      <c r="Y168" s="382">
        <v>0</v>
      </c>
      <c r="Z168" s="382">
        <v>202</v>
      </c>
      <c r="AA168" s="382">
        <v>7</v>
      </c>
      <c r="AB168" s="382">
        <v>88</v>
      </c>
      <c r="AC168" s="382">
        <v>50</v>
      </c>
      <c r="AD168" s="382">
        <v>45757</v>
      </c>
      <c r="AE168" s="382">
        <v>143</v>
      </c>
      <c r="AF168" s="382">
        <v>231</v>
      </c>
      <c r="AG168" s="382">
        <v>374</v>
      </c>
    </row>
    <row r="169" spans="1:33" x14ac:dyDescent="0.3">
      <c r="A169" s="381" t="s">
        <v>398</v>
      </c>
      <c r="B169" s="381" t="s">
        <v>399</v>
      </c>
      <c r="C169" s="382">
        <v>1730</v>
      </c>
      <c r="D169" s="382">
        <v>0</v>
      </c>
      <c r="E169" s="382">
        <v>360</v>
      </c>
      <c r="F169" s="382">
        <v>232</v>
      </c>
      <c r="G169" s="382">
        <v>129</v>
      </c>
      <c r="H169" s="382">
        <v>2451</v>
      </c>
      <c r="I169" s="382">
        <v>2322</v>
      </c>
      <c r="J169" s="382">
        <v>0</v>
      </c>
      <c r="K169" s="382">
        <v>83.89</v>
      </c>
      <c r="L169" s="382">
        <v>81.31</v>
      </c>
      <c r="M169" s="382">
        <v>6.06</v>
      </c>
      <c r="N169" s="382">
        <v>86.84</v>
      </c>
      <c r="O169" s="385">
        <v>1626</v>
      </c>
      <c r="P169" s="382">
        <v>113.65</v>
      </c>
      <c r="Q169" s="382">
        <v>78.599999999999994</v>
      </c>
      <c r="R169" s="382">
        <v>90.91</v>
      </c>
      <c r="S169" s="382">
        <v>201.79</v>
      </c>
      <c r="T169" s="385">
        <v>393</v>
      </c>
      <c r="U169" s="382">
        <v>100.24</v>
      </c>
      <c r="V169" s="385">
        <v>99</v>
      </c>
      <c r="W169" s="382">
        <v>0</v>
      </c>
      <c r="X169" s="385">
        <v>0</v>
      </c>
      <c r="Y169" s="382">
        <v>0</v>
      </c>
      <c r="Z169" s="382">
        <v>1</v>
      </c>
      <c r="AA169" s="382">
        <v>5</v>
      </c>
      <c r="AB169" s="382">
        <v>4</v>
      </c>
      <c r="AC169" s="382">
        <v>3</v>
      </c>
      <c r="AD169" s="382">
        <v>1717</v>
      </c>
      <c r="AE169" s="382">
        <v>5</v>
      </c>
      <c r="AF169" s="382">
        <v>3</v>
      </c>
      <c r="AG169" s="382">
        <v>8</v>
      </c>
    </row>
    <row r="170" spans="1:33" x14ac:dyDescent="0.3">
      <c r="A170" s="381" t="s">
        <v>400</v>
      </c>
      <c r="B170" s="381" t="s">
        <v>401</v>
      </c>
      <c r="C170" s="382">
        <v>4038</v>
      </c>
      <c r="D170" s="382">
        <v>0</v>
      </c>
      <c r="E170" s="382">
        <v>365</v>
      </c>
      <c r="F170" s="382">
        <v>951</v>
      </c>
      <c r="G170" s="382">
        <v>1549</v>
      </c>
      <c r="H170" s="382">
        <v>6903</v>
      </c>
      <c r="I170" s="382">
        <v>5354</v>
      </c>
      <c r="J170" s="382">
        <v>28</v>
      </c>
      <c r="K170" s="382">
        <v>102.64</v>
      </c>
      <c r="L170" s="382">
        <v>99.46</v>
      </c>
      <c r="M170" s="382">
        <v>7.92</v>
      </c>
      <c r="N170" s="382">
        <v>109.13</v>
      </c>
      <c r="O170" s="385">
        <v>2843</v>
      </c>
      <c r="P170" s="382">
        <v>98.82</v>
      </c>
      <c r="Q170" s="382">
        <v>87.23</v>
      </c>
      <c r="R170" s="382">
        <v>40.659999999999997</v>
      </c>
      <c r="S170" s="382">
        <v>138.35</v>
      </c>
      <c r="T170" s="385">
        <v>1085</v>
      </c>
      <c r="U170" s="382">
        <v>137.93</v>
      </c>
      <c r="V170" s="385">
        <v>841</v>
      </c>
      <c r="W170" s="382">
        <v>145.62</v>
      </c>
      <c r="X170" s="385">
        <v>55</v>
      </c>
      <c r="Y170" s="382">
        <v>0</v>
      </c>
      <c r="Z170" s="382">
        <v>1</v>
      </c>
      <c r="AA170" s="382">
        <v>7</v>
      </c>
      <c r="AB170" s="382">
        <v>97</v>
      </c>
      <c r="AC170" s="382">
        <v>37</v>
      </c>
      <c r="AD170" s="382">
        <v>3651</v>
      </c>
      <c r="AE170" s="382">
        <v>51</v>
      </c>
      <c r="AF170" s="382">
        <v>11</v>
      </c>
      <c r="AG170" s="382">
        <v>62</v>
      </c>
    </row>
    <row r="171" spans="1:33" x14ac:dyDescent="0.3">
      <c r="A171" s="381" t="s">
        <v>402</v>
      </c>
      <c r="B171" s="381" t="s">
        <v>403</v>
      </c>
      <c r="C171" s="382">
        <v>662</v>
      </c>
      <c r="D171" s="382">
        <v>0</v>
      </c>
      <c r="E171" s="382">
        <v>39</v>
      </c>
      <c r="F171" s="382">
        <v>77</v>
      </c>
      <c r="G171" s="382">
        <v>230</v>
      </c>
      <c r="H171" s="382">
        <v>1008</v>
      </c>
      <c r="I171" s="382">
        <v>778</v>
      </c>
      <c r="J171" s="382">
        <v>0</v>
      </c>
      <c r="K171" s="382">
        <v>94.77</v>
      </c>
      <c r="L171" s="382">
        <v>91.5</v>
      </c>
      <c r="M171" s="382">
        <v>2.66</v>
      </c>
      <c r="N171" s="382">
        <v>96.85</v>
      </c>
      <c r="O171" s="385">
        <v>399</v>
      </c>
      <c r="P171" s="382">
        <v>93.76</v>
      </c>
      <c r="Q171" s="382">
        <v>81.790000000000006</v>
      </c>
      <c r="R171" s="382">
        <v>73.84</v>
      </c>
      <c r="S171" s="382">
        <v>166.32</v>
      </c>
      <c r="T171" s="385">
        <v>116</v>
      </c>
      <c r="U171" s="382">
        <v>117.8</v>
      </c>
      <c r="V171" s="385">
        <v>242</v>
      </c>
      <c r="W171" s="382">
        <v>0</v>
      </c>
      <c r="X171" s="385">
        <v>0</v>
      </c>
      <c r="Y171" s="382">
        <v>0</v>
      </c>
      <c r="Z171" s="382">
        <v>0</v>
      </c>
      <c r="AA171" s="382">
        <v>0</v>
      </c>
      <c r="AB171" s="382">
        <v>13</v>
      </c>
      <c r="AC171" s="382">
        <v>6</v>
      </c>
      <c r="AD171" s="382">
        <v>661</v>
      </c>
      <c r="AE171" s="382">
        <v>2</v>
      </c>
      <c r="AF171" s="382">
        <v>5</v>
      </c>
      <c r="AG171" s="382">
        <v>7</v>
      </c>
    </row>
    <row r="172" spans="1:33" x14ac:dyDescent="0.3">
      <c r="A172" s="381" t="s">
        <v>404</v>
      </c>
      <c r="B172" s="381" t="s">
        <v>405</v>
      </c>
      <c r="C172" s="382">
        <v>5180</v>
      </c>
      <c r="D172" s="382">
        <v>0</v>
      </c>
      <c r="E172" s="382">
        <v>289</v>
      </c>
      <c r="F172" s="382">
        <v>1011</v>
      </c>
      <c r="G172" s="382">
        <v>598</v>
      </c>
      <c r="H172" s="382">
        <v>7078</v>
      </c>
      <c r="I172" s="382">
        <v>6480</v>
      </c>
      <c r="J172" s="382">
        <v>0</v>
      </c>
      <c r="K172" s="382">
        <v>95.73</v>
      </c>
      <c r="L172" s="382">
        <v>94.8</v>
      </c>
      <c r="M172" s="382">
        <v>4.4000000000000004</v>
      </c>
      <c r="N172" s="382">
        <v>98.2</v>
      </c>
      <c r="O172" s="385">
        <v>4320</v>
      </c>
      <c r="P172" s="382">
        <v>88.59</v>
      </c>
      <c r="Q172" s="382">
        <v>85.2</v>
      </c>
      <c r="R172" s="382">
        <v>33.92</v>
      </c>
      <c r="S172" s="382">
        <v>122.11</v>
      </c>
      <c r="T172" s="385">
        <v>1096</v>
      </c>
      <c r="U172" s="382">
        <v>121.11</v>
      </c>
      <c r="V172" s="385">
        <v>763</v>
      </c>
      <c r="W172" s="382">
        <v>110</v>
      </c>
      <c r="X172" s="385">
        <v>48</v>
      </c>
      <c r="Y172" s="382">
        <v>0</v>
      </c>
      <c r="Z172" s="382">
        <v>7</v>
      </c>
      <c r="AA172" s="382">
        <v>23</v>
      </c>
      <c r="AB172" s="382">
        <v>31</v>
      </c>
      <c r="AC172" s="382">
        <v>17</v>
      </c>
      <c r="AD172" s="382">
        <v>5086</v>
      </c>
      <c r="AE172" s="382">
        <v>23</v>
      </c>
      <c r="AF172" s="382">
        <v>19</v>
      </c>
      <c r="AG172" s="382">
        <v>42</v>
      </c>
    </row>
    <row r="173" spans="1:33" x14ac:dyDescent="0.3">
      <c r="A173" s="381" t="s">
        <v>406</v>
      </c>
      <c r="B173" s="381" t="s">
        <v>407</v>
      </c>
      <c r="C173" s="382">
        <v>10371</v>
      </c>
      <c r="D173" s="382">
        <v>12</v>
      </c>
      <c r="E173" s="382">
        <v>401</v>
      </c>
      <c r="F173" s="382">
        <v>788</v>
      </c>
      <c r="G173" s="382">
        <v>1081</v>
      </c>
      <c r="H173" s="382">
        <v>12653</v>
      </c>
      <c r="I173" s="382">
        <v>11572</v>
      </c>
      <c r="J173" s="382">
        <v>33</v>
      </c>
      <c r="K173" s="382">
        <v>118.85</v>
      </c>
      <c r="L173" s="382">
        <v>117.38</v>
      </c>
      <c r="M173" s="382">
        <v>8.98</v>
      </c>
      <c r="N173" s="382">
        <v>124.9</v>
      </c>
      <c r="O173" s="385">
        <v>9082</v>
      </c>
      <c r="P173" s="382">
        <v>110.19</v>
      </c>
      <c r="Q173" s="382">
        <v>105.14</v>
      </c>
      <c r="R173" s="382">
        <v>39.42</v>
      </c>
      <c r="S173" s="382">
        <v>148.81</v>
      </c>
      <c r="T173" s="385">
        <v>895</v>
      </c>
      <c r="U173" s="382">
        <v>165.93</v>
      </c>
      <c r="V173" s="385">
        <v>1087</v>
      </c>
      <c r="W173" s="382">
        <v>175.28</v>
      </c>
      <c r="X173" s="385">
        <v>16</v>
      </c>
      <c r="Y173" s="382">
        <v>0</v>
      </c>
      <c r="Z173" s="382">
        <v>18</v>
      </c>
      <c r="AA173" s="382">
        <v>5</v>
      </c>
      <c r="AB173" s="382">
        <v>151</v>
      </c>
      <c r="AC173" s="382">
        <v>29</v>
      </c>
      <c r="AD173" s="382">
        <v>10254</v>
      </c>
      <c r="AE173" s="382">
        <v>112</v>
      </c>
      <c r="AF173" s="382">
        <v>178</v>
      </c>
      <c r="AG173" s="382">
        <v>290</v>
      </c>
    </row>
    <row r="174" spans="1:33" x14ac:dyDescent="0.3">
      <c r="A174" s="381" t="s">
        <v>408</v>
      </c>
      <c r="B174" s="381" t="s">
        <v>409</v>
      </c>
      <c r="C174" s="382">
        <v>1214</v>
      </c>
      <c r="D174" s="382">
        <v>0</v>
      </c>
      <c r="E174" s="382">
        <v>28</v>
      </c>
      <c r="F174" s="382">
        <v>280</v>
      </c>
      <c r="G174" s="382">
        <v>279</v>
      </c>
      <c r="H174" s="382">
        <v>1801</v>
      </c>
      <c r="I174" s="382">
        <v>1522</v>
      </c>
      <c r="J174" s="382">
        <v>0</v>
      </c>
      <c r="K174" s="382">
        <v>89.93</v>
      </c>
      <c r="L174" s="382">
        <v>86.83</v>
      </c>
      <c r="M174" s="382">
        <v>5.32</v>
      </c>
      <c r="N174" s="382">
        <v>94.6</v>
      </c>
      <c r="O174" s="385">
        <v>796</v>
      </c>
      <c r="P174" s="382">
        <v>80.38</v>
      </c>
      <c r="Q174" s="382">
        <v>76.760000000000005</v>
      </c>
      <c r="R174" s="382">
        <v>16.39</v>
      </c>
      <c r="S174" s="382">
        <v>96.77</v>
      </c>
      <c r="T174" s="385">
        <v>138</v>
      </c>
      <c r="U174" s="382">
        <v>129.80000000000001</v>
      </c>
      <c r="V174" s="385">
        <v>306</v>
      </c>
      <c r="W174" s="382">
        <v>0</v>
      </c>
      <c r="X174" s="385">
        <v>0</v>
      </c>
      <c r="Y174" s="382">
        <v>0</v>
      </c>
      <c r="Z174" s="382">
        <v>0</v>
      </c>
      <c r="AA174" s="382">
        <v>12</v>
      </c>
      <c r="AB174" s="382">
        <v>6</v>
      </c>
      <c r="AC174" s="382">
        <v>9</v>
      </c>
      <c r="AD174" s="382">
        <v>1096</v>
      </c>
      <c r="AE174" s="382">
        <v>4</v>
      </c>
      <c r="AF174" s="382">
        <v>3</v>
      </c>
      <c r="AG174" s="382">
        <v>7</v>
      </c>
    </row>
    <row r="175" spans="1:33" x14ac:dyDescent="0.3">
      <c r="A175" s="381" t="s">
        <v>410</v>
      </c>
      <c r="B175" s="381" t="s">
        <v>411</v>
      </c>
      <c r="C175" s="382">
        <v>1766</v>
      </c>
      <c r="D175" s="382">
        <v>0</v>
      </c>
      <c r="E175" s="382">
        <v>134</v>
      </c>
      <c r="F175" s="382">
        <v>210</v>
      </c>
      <c r="G175" s="382">
        <v>569</v>
      </c>
      <c r="H175" s="382">
        <v>2679</v>
      </c>
      <c r="I175" s="382">
        <v>2110</v>
      </c>
      <c r="J175" s="382">
        <v>2</v>
      </c>
      <c r="K175" s="382">
        <v>95.27</v>
      </c>
      <c r="L175" s="382">
        <v>93.44</v>
      </c>
      <c r="M175" s="382">
        <v>4.6500000000000004</v>
      </c>
      <c r="N175" s="382">
        <v>98.77</v>
      </c>
      <c r="O175" s="385">
        <v>944</v>
      </c>
      <c r="P175" s="382">
        <v>85.07</v>
      </c>
      <c r="Q175" s="382">
        <v>80.3</v>
      </c>
      <c r="R175" s="382">
        <v>43.57</v>
      </c>
      <c r="S175" s="382">
        <v>128.35</v>
      </c>
      <c r="T175" s="385">
        <v>303</v>
      </c>
      <c r="U175" s="382">
        <v>123.24</v>
      </c>
      <c r="V175" s="385">
        <v>758</v>
      </c>
      <c r="W175" s="382">
        <v>118.14</v>
      </c>
      <c r="X175" s="385">
        <v>1</v>
      </c>
      <c r="Y175" s="382">
        <v>14</v>
      </c>
      <c r="Z175" s="382">
        <v>0</v>
      </c>
      <c r="AA175" s="382">
        <v>0</v>
      </c>
      <c r="AB175" s="382">
        <v>87</v>
      </c>
      <c r="AC175" s="382">
        <v>6</v>
      </c>
      <c r="AD175" s="382">
        <v>1763</v>
      </c>
      <c r="AE175" s="382">
        <v>38</v>
      </c>
      <c r="AF175" s="382">
        <v>5</v>
      </c>
      <c r="AG175" s="382">
        <v>43</v>
      </c>
    </row>
    <row r="176" spans="1:33" x14ac:dyDescent="0.3">
      <c r="A176" s="381" t="s">
        <v>412</v>
      </c>
      <c r="B176" s="381" t="s">
        <v>413</v>
      </c>
      <c r="C176" s="382">
        <v>6487</v>
      </c>
      <c r="D176" s="382">
        <v>3</v>
      </c>
      <c r="E176" s="382">
        <v>203</v>
      </c>
      <c r="F176" s="382">
        <v>777</v>
      </c>
      <c r="G176" s="382">
        <v>817</v>
      </c>
      <c r="H176" s="382">
        <v>8287</v>
      </c>
      <c r="I176" s="382">
        <v>7470</v>
      </c>
      <c r="J176" s="382">
        <v>16</v>
      </c>
      <c r="K176" s="382">
        <v>118.83</v>
      </c>
      <c r="L176" s="382">
        <v>112.86</v>
      </c>
      <c r="M176" s="382">
        <v>6.22</v>
      </c>
      <c r="N176" s="382">
        <v>123.54</v>
      </c>
      <c r="O176" s="385">
        <v>4185</v>
      </c>
      <c r="P176" s="382">
        <v>103.23</v>
      </c>
      <c r="Q176" s="382">
        <v>95.57</v>
      </c>
      <c r="R176" s="382">
        <v>44.85</v>
      </c>
      <c r="S176" s="382">
        <v>146.72999999999999</v>
      </c>
      <c r="T176" s="385">
        <v>765</v>
      </c>
      <c r="U176" s="382">
        <v>177.3</v>
      </c>
      <c r="V176" s="385">
        <v>1885</v>
      </c>
      <c r="W176" s="382">
        <v>234.63</v>
      </c>
      <c r="X176" s="385">
        <v>6</v>
      </c>
      <c r="Y176" s="382">
        <v>52</v>
      </c>
      <c r="Z176" s="382">
        <v>2</v>
      </c>
      <c r="AA176" s="382">
        <v>2</v>
      </c>
      <c r="AB176" s="382">
        <v>71</v>
      </c>
      <c r="AC176" s="382">
        <v>14</v>
      </c>
      <c r="AD176" s="382">
        <v>6165</v>
      </c>
      <c r="AE176" s="382">
        <v>95</v>
      </c>
      <c r="AF176" s="382">
        <v>3</v>
      </c>
      <c r="AG176" s="382">
        <v>98</v>
      </c>
    </row>
    <row r="177" spans="1:33" x14ac:dyDescent="0.3">
      <c r="A177" s="381" t="s">
        <v>414</v>
      </c>
      <c r="B177" s="381" t="s">
        <v>415</v>
      </c>
      <c r="C177" s="382">
        <v>13106</v>
      </c>
      <c r="D177" s="382">
        <v>2</v>
      </c>
      <c r="E177" s="382">
        <v>619</v>
      </c>
      <c r="F177" s="382">
        <v>1364</v>
      </c>
      <c r="G177" s="382">
        <v>304</v>
      </c>
      <c r="H177" s="382">
        <v>15395</v>
      </c>
      <c r="I177" s="382">
        <v>15091</v>
      </c>
      <c r="J177" s="382">
        <v>9</v>
      </c>
      <c r="K177" s="382">
        <v>87.99</v>
      </c>
      <c r="L177" s="382">
        <v>87.86</v>
      </c>
      <c r="M177" s="382">
        <v>8.51</v>
      </c>
      <c r="N177" s="382">
        <v>90.72</v>
      </c>
      <c r="O177" s="385">
        <v>12163</v>
      </c>
      <c r="P177" s="382">
        <v>91.27</v>
      </c>
      <c r="Q177" s="382">
        <v>83.99</v>
      </c>
      <c r="R177" s="382">
        <v>66.58</v>
      </c>
      <c r="S177" s="382">
        <v>142.94</v>
      </c>
      <c r="T177" s="385">
        <v>1800</v>
      </c>
      <c r="U177" s="382">
        <v>102.53</v>
      </c>
      <c r="V177" s="385">
        <v>849</v>
      </c>
      <c r="W177" s="382">
        <v>161.54</v>
      </c>
      <c r="X177" s="385">
        <v>101</v>
      </c>
      <c r="Y177" s="382">
        <v>634</v>
      </c>
      <c r="Z177" s="382">
        <v>62</v>
      </c>
      <c r="AA177" s="382">
        <v>6</v>
      </c>
      <c r="AB177" s="382">
        <v>7</v>
      </c>
      <c r="AC177" s="382">
        <v>3</v>
      </c>
      <c r="AD177" s="382">
        <v>13076</v>
      </c>
      <c r="AE177" s="382">
        <v>69</v>
      </c>
      <c r="AF177" s="382">
        <v>334</v>
      </c>
      <c r="AG177" s="382">
        <v>403</v>
      </c>
    </row>
    <row r="178" spans="1:33" x14ac:dyDescent="0.3">
      <c r="A178" s="381" t="s">
        <v>416</v>
      </c>
      <c r="B178" s="381" t="s">
        <v>417</v>
      </c>
      <c r="C178" s="382">
        <v>9000</v>
      </c>
      <c r="D178" s="382">
        <v>161</v>
      </c>
      <c r="E178" s="382">
        <v>618</v>
      </c>
      <c r="F178" s="382">
        <v>585</v>
      </c>
      <c r="G178" s="382">
        <v>5993</v>
      </c>
      <c r="H178" s="382">
        <v>16357</v>
      </c>
      <c r="I178" s="382">
        <v>10364</v>
      </c>
      <c r="J178" s="382">
        <v>8</v>
      </c>
      <c r="K178" s="382">
        <v>101.77</v>
      </c>
      <c r="L178" s="382">
        <v>98.9</v>
      </c>
      <c r="M178" s="382">
        <v>7.1</v>
      </c>
      <c r="N178" s="382">
        <v>106.58</v>
      </c>
      <c r="O178" s="385">
        <v>6522</v>
      </c>
      <c r="P178" s="382">
        <v>108.47</v>
      </c>
      <c r="Q178" s="382">
        <v>96.56</v>
      </c>
      <c r="R178" s="382">
        <v>46.59</v>
      </c>
      <c r="S178" s="382">
        <v>153.63999999999999</v>
      </c>
      <c r="T178" s="385">
        <v>886</v>
      </c>
      <c r="U178" s="382">
        <v>157.46</v>
      </c>
      <c r="V178" s="385">
        <v>1781</v>
      </c>
      <c r="W178" s="382">
        <v>211.01</v>
      </c>
      <c r="X178" s="385">
        <v>210</v>
      </c>
      <c r="Y178" s="382">
        <v>235</v>
      </c>
      <c r="Z178" s="382">
        <v>0</v>
      </c>
      <c r="AA178" s="382">
        <v>52</v>
      </c>
      <c r="AB178" s="382">
        <v>323</v>
      </c>
      <c r="AC178" s="382">
        <v>90</v>
      </c>
      <c r="AD178" s="382">
        <v>8725</v>
      </c>
      <c r="AE178" s="382">
        <v>113</v>
      </c>
      <c r="AF178" s="382">
        <v>34</v>
      </c>
      <c r="AG178" s="382">
        <v>147</v>
      </c>
    </row>
    <row r="179" spans="1:33" x14ac:dyDescent="0.3">
      <c r="A179" s="381" t="s">
        <v>418</v>
      </c>
      <c r="B179" s="381" t="s">
        <v>419</v>
      </c>
      <c r="C179" s="382">
        <v>3535</v>
      </c>
      <c r="D179" s="382">
        <v>11</v>
      </c>
      <c r="E179" s="382">
        <v>241</v>
      </c>
      <c r="F179" s="382">
        <v>629</v>
      </c>
      <c r="G179" s="382">
        <v>302</v>
      </c>
      <c r="H179" s="382">
        <v>4718</v>
      </c>
      <c r="I179" s="382">
        <v>4416</v>
      </c>
      <c r="J179" s="382">
        <v>1</v>
      </c>
      <c r="K179" s="382">
        <v>115.41</v>
      </c>
      <c r="L179" s="382">
        <v>117.32</v>
      </c>
      <c r="M179" s="382">
        <v>6.24</v>
      </c>
      <c r="N179" s="382">
        <v>120.09</v>
      </c>
      <c r="O179" s="385">
        <v>3014</v>
      </c>
      <c r="P179" s="382">
        <v>104.23</v>
      </c>
      <c r="Q179" s="382">
        <v>97.8</v>
      </c>
      <c r="R179" s="382">
        <v>46.13</v>
      </c>
      <c r="S179" s="382">
        <v>147.51</v>
      </c>
      <c r="T179" s="385">
        <v>695</v>
      </c>
      <c r="U179" s="382">
        <v>168.35</v>
      </c>
      <c r="V179" s="385">
        <v>490</v>
      </c>
      <c r="W179" s="382">
        <v>0</v>
      </c>
      <c r="X179" s="385">
        <v>0</v>
      </c>
      <c r="Y179" s="382">
        <v>0</v>
      </c>
      <c r="Z179" s="382">
        <v>5</v>
      </c>
      <c r="AA179" s="382">
        <v>1</v>
      </c>
      <c r="AB179" s="382">
        <v>1</v>
      </c>
      <c r="AC179" s="382">
        <v>14</v>
      </c>
      <c r="AD179" s="382">
        <v>3529</v>
      </c>
      <c r="AE179" s="382">
        <v>85</v>
      </c>
      <c r="AF179" s="382">
        <v>0</v>
      </c>
      <c r="AG179" s="382">
        <v>85</v>
      </c>
    </row>
    <row r="180" spans="1:33" x14ac:dyDescent="0.3">
      <c r="A180" s="381" t="s">
        <v>420</v>
      </c>
      <c r="B180" s="381" t="s">
        <v>421</v>
      </c>
      <c r="C180" s="382">
        <v>2868</v>
      </c>
      <c r="D180" s="382">
        <v>8</v>
      </c>
      <c r="E180" s="382">
        <v>181</v>
      </c>
      <c r="F180" s="382">
        <v>412</v>
      </c>
      <c r="G180" s="382">
        <v>408</v>
      </c>
      <c r="H180" s="382">
        <v>3877</v>
      </c>
      <c r="I180" s="382">
        <v>3469</v>
      </c>
      <c r="J180" s="382">
        <v>1</v>
      </c>
      <c r="K180" s="382">
        <v>115.16</v>
      </c>
      <c r="L180" s="382">
        <v>111.53</v>
      </c>
      <c r="M180" s="382">
        <v>4.0999999999999996</v>
      </c>
      <c r="N180" s="382">
        <v>118.07</v>
      </c>
      <c r="O180" s="385">
        <v>2389</v>
      </c>
      <c r="P180" s="382">
        <v>105.37</v>
      </c>
      <c r="Q180" s="382">
        <v>90.98</v>
      </c>
      <c r="R180" s="382">
        <v>38.799999999999997</v>
      </c>
      <c r="S180" s="382">
        <v>142.91999999999999</v>
      </c>
      <c r="T180" s="385">
        <v>463</v>
      </c>
      <c r="U180" s="382">
        <v>150.52000000000001</v>
      </c>
      <c r="V180" s="385">
        <v>317</v>
      </c>
      <c r="W180" s="382">
        <v>144.66</v>
      </c>
      <c r="X180" s="385">
        <v>4</v>
      </c>
      <c r="Y180" s="382">
        <v>0</v>
      </c>
      <c r="Z180" s="382">
        <v>0</v>
      </c>
      <c r="AA180" s="382">
        <v>1</v>
      </c>
      <c r="AB180" s="382">
        <v>27</v>
      </c>
      <c r="AC180" s="382">
        <v>14</v>
      </c>
      <c r="AD180" s="382">
        <v>2776</v>
      </c>
      <c r="AE180" s="382">
        <v>8</v>
      </c>
      <c r="AF180" s="382">
        <v>12</v>
      </c>
      <c r="AG180" s="382">
        <v>20</v>
      </c>
    </row>
    <row r="181" spans="1:33" x14ac:dyDescent="0.3">
      <c r="A181" s="381" t="s">
        <v>422</v>
      </c>
      <c r="B181" s="381" t="s">
        <v>423</v>
      </c>
      <c r="C181" s="382">
        <v>2061</v>
      </c>
      <c r="D181" s="382">
        <v>0</v>
      </c>
      <c r="E181" s="382">
        <v>326</v>
      </c>
      <c r="F181" s="382">
        <v>264</v>
      </c>
      <c r="G181" s="382">
        <v>396</v>
      </c>
      <c r="H181" s="382">
        <v>3047</v>
      </c>
      <c r="I181" s="382">
        <v>2651</v>
      </c>
      <c r="J181" s="382">
        <v>1</v>
      </c>
      <c r="K181" s="382">
        <v>89.26</v>
      </c>
      <c r="L181" s="382">
        <v>86.06</v>
      </c>
      <c r="M181" s="382">
        <v>4.79</v>
      </c>
      <c r="N181" s="382">
        <v>91.97</v>
      </c>
      <c r="O181" s="385">
        <v>1562</v>
      </c>
      <c r="P181" s="382">
        <v>110.03</v>
      </c>
      <c r="Q181" s="382">
        <v>79.17</v>
      </c>
      <c r="R181" s="382">
        <v>72.19</v>
      </c>
      <c r="S181" s="382">
        <v>182.06</v>
      </c>
      <c r="T181" s="385">
        <v>439</v>
      </c>
      <c r="U181" s="382">
        <v>101.38</v>
      </c>
      <c r="V181" s="385">
        <v>413</v>
      </c>
      <c r="W181" s="382">
        <v>163.95</v>
      </c>
      <c r="X181" s="385">
        <v>5</v>
      </c>
      <c r="Y181" s="382">
        <v>0</v>
      </c>
      <c r="Z181" s="382">
        <v>0</v>
      </c>
      <c r="AA181" s="382">
        <v>5</v>
      </c>
      <c r="AB181" s="382">
        <v>24</v>
      </c>
      <c r="AC181" s="382">
        <v>9</v>
      </c>
      <c r="AD181" s="382">
        <v>2061</v>
      </c>
      <c r="AE181" s="382">
        <v>21</v>
      </c>
      <c r="AF181" s="382">
        <v>40</v>
      </c>
      <c r="AG181" s="382">
        <v>61</v>
      </c>
    </row>
    <row r="182" spans="1:33" x14ac:dyDescent="0.3">
      <c r="A182" s="381" t="s">
        <v>424</v>
      </c>
      <c r="B182" s="381" t="s">
        <v>425</v>
      </c>
      <c r="C182" s="382">
        <v>7323</v>
      </c>
      <c r="D182" s="382">
        <v>137</v>
      </c>
      <c r="E182" s="382">
        <v>1502</v>
      </c>
      <c r="F182" s="382">
        <v>1615</v>
      </c>
      <c r="G182" s="382">
        <v>412</v>
      </c>
      <c r="H182" s="382">
        <v>10989</v>
      </c>
      <c r="I182" s="382">
        <v>10577</v>
      </c>
      <c r="J182" s="382">
        <v>0</v>
      </c>
      <c r="K182" s="382">
        <v>80.09</v>
      </c>
      <c r="L182" s="382">
        <v>78.08</v>
      </c>
      <c r="M182" s="382">
        <v>9.94</v>
      </c>
      <c r="N182" s="382">
        <v>88.25</v>
      </c>
      <c r="O182" s="385">
        <v>5650</v>
      </c>
      <c r="P182" s="382">
        <v>87.61</v>
      </c>
      <c r="Q182" s="382">
        <v>74.41</v>
      </c>
      <c r="R182" s="382">
        <v>66.37</v>
      </c>
      <c r="S182" s="382">
        <v>152.36000000000001</v>
      </c>
      <c r="T182" s="385">
        <v>2306</v>
      </c>
      <c r="U182" s="382">
        <v>104.73</v>
      </c>
      <c r="V182" s="385">
        <v>1274</v>
      </c>
      <c r="W182" s="382">
        <v>206.04</v>
      </c>
      <c r="X182" s="385">
        <v>361</v>
      </c>
      <c r="Y182" s="382">
        <v>0</v>
      </c>
      <c r="Z182" s="382">
        <v>10</v>
      </c>
      <c r="AA182" s="382">
        <v>2</v>
      </c>
      <c r="AB182" s="382">
        <v>14</v>
      </c>
      <c r="AC182" s="382">
        <v>17</v>
      </c>
      <c r="AD182" s="382">
        <v>6751</v>
      </c>
      <c r="AE182" s="382">
        <v>69</v>
      </c>
      <c r="AF182" s="382">
        <v>52</v>
      </c>
      <c r="AG182" s="382">
        <v>121</v>
      </c>
    </row>
    <row r="183" spans="1:33" x14ac:dyDescent="0.3">
      <c r="A183" s="381" t="s">
        <v>426</v>
      </c>
      <c r="B183" s="381" t="s">
        <v>427</v>
      </c>
      <c r="C183" s="382">
        <v>8687</v>
      </c>
      <c r="D183" s="382">
        <v>0</v>
      </c>
      <c r="E183" s="382">
        <v>120</v>
      </c>
      <c r="F183" s="382">
        <v>828</v>
      </c>
      <c r="G183" s="382">
        <v>274</v>
      </c>
      <c r="H183" s="382">
        <v>9909</v>
      </c>
      <c r="I183" s="382">
        <v>9635</v>
      </c>
      <c r="J183" s="382">
        <v>35</v>
      </c>
      <c r="K183" s="382">
        <v>79.62</v>
      </c>
      <c r="L183" s="382">
        <v>80.89</v>
      </c>
      <c r="M183" s="382">
        <v>4.55</v>
      </c>
      <c r="N183" s="382">
        <v>83.95</v>
      </c>
      <c r="O183" s="385">
        <v>8030</v>
      </c>
      <c r="P183" s="382">
        <v>81.92</v>
      </c>
      <c r="Q183" s="382">
        <v>77.959999999999994</v>
      </c>
      <c r="R183" s="382">
        <v>29.26</v>
      </c>
      <c r="S183" s="382">
        <v>111.18</v>
      </c>
      <c r="T183" s="385">
        <v>794</v>
      </c>
      <c r="U183" s="382">
        <v>99.65</v>
      </c>
      <c r="V183" s="385">
        <v>552</v>
      </c>
      <c r="W183" s="382">
        <v>256.68</v>
      </c>
      <c r="X183" s="385">
        <v>70</v>
      </c>
      <c r="Y183" s="382">
        <v>0</v>
      </c>
      <c r="Z183" s="382">
        <v>17</v>
      </c>
      <c r="AA183" s="382">
        <v>17</v>
      </c>
      <c r="AB183" s="382">
        <v>29</v>
      </c>
      <c r="AC183" s="382">
        <v>3</v>
      </c>
      <c r="AD183" s="382">
        <v>8687</v>
      </c>
      <c r="AE183" s="382">
        <v>108</v>
      </c>
      <c r="AF183" s="382">
        <v>50</v>
      </c>
      <c r="AG183" s="382">
        <v>158</v>
      </c>
    </row>
    <row r="184" spans="1:33" x14ac:dyDescent="0.3">
      <c r="A184" s="381" t="s">
        <v>428</v>
      </c>
      <c r="B184" s="381" t="s">
        <v>429</v>
      </c>
      <c r="C184" s="382">
        <v>12888</v>
      </c>
      <c r="D184" s="382">
        <v>22</v>
      </c>
      <c r="E184" s="382">
        <v>915</v>
      </c>
      <c r="F184" s="382">
        <v>917</v>
      </c>
      <c r="G184" s="382">
        <v>2825</v>
      </c>
      <c r="H184" s="382">
        <v>17567</v>
      </c>
      <c r="I184" s="382">
        <v>14742</v>
      </c>
      <c r="J184" s="382">
        <v>129</v>
      </c>
      <c r="K184" s="382">
        <v>122.52</v>
      </c>
      <c r="L184" s="382">
        <v>123.14</v>
      </c>
      <c r="M184" s="382">
        <v>11.75</v>
      </c>
      <c r="N184" s="382">
        <v>130.09</v>
      </c>
      <c r="O184" s="385">
        <v>9524</v>
      </c>
      <c r="P184" s="382">
        <v>106.63</v>
      </c>
      <c r="Q184" s="382">
        <v>99.16</v>
      </c>
      <c r="R184" s="382">
        <v>63.96</v>
      </c>
      <c r="S184" s="382">
        <v>168.01</v>
      </c>
      <c r="T184" s="385">
        <v>1561</v>
      </c>
      <c r="U184" s="382">
        <v>213.12</v>
      </c>
      <c r="V184" s="385">
        <v>1524</v>
      </c>
      <c r="W184" s="382">
        <v>200.11</v>
      </c>
      <c r="X184" s="385">
        <v>53</v>
      </c>
      <c r="Y184" s="382">
        <v>0</v>
      </c>
      <c r="Z184" s="382">
        <v>10</v>
      </c>
      <c r="AA184" s="382">
        <v>2</v>
      </c>
      <c r="AB184" s="382">
        <v>218</v>
      </c>
      <c r="AC184" s="382">
        <v>116</v>
      </c>
      <c r="AD184" s="382">
        <v>12269</v>
      </c>
      <c r="AE184" s="382">
        <v>505</v>
      </c>
      <c r="AF184" s="382">
        <v>37</v>
      </c>
      <c r="AG184" s="382">
        <v>542</v>
      </c>
    </row>
    <row r="185" spans="1:33" x14ac:dyDescent="0.3">
      <c r="A185" s="381" t="s">
        <v>430</v>
      </c>
      <c r="B185" s="381" t="s">
        <v>431</v>
      </c>
      <c r="C185" s="382">
        <v>4086</v>
      </c>
      <c r="D185" s="382">
        <v>0</v>
      </c>
      <c r="E185" s="382">
        <v>73</v>
      </c>
      <c r="F185" s="382">
        <v>795</v>
      </c>
      <c r="G185" s="382">
        <v>445</v>
      </c>
      <c r="H185" s="382">
        <v>5399</v>
      </c>
      <c r="I185" s="382">
        <v>4954</v>
      </c>
      <c r="J185" s="382">
        <v>3</v>
      </c>
      <c r="K185" s="382">
        <v>87.51</v>
      </c>
      <c r="L185" s="382">
        <v>86.82</v>
      </c>
      <c r="M185" s="382">
        <v>3.97</v>
      </c>
      <c r="N185" s="382">
        <v>90.2</v>
      </c>
      <c r="O185" s="385">
        <v>3529</v>
      </c>
      <c r="P185" s="382">
        <v>78</v>
      </c>
      <c r="Q185" s="382">
        <v>76.17</v>
      </c>
      <c r="R185" s="382">
        <v>22.82</v>
      </c>
      <c r="S185" s="382">
        <v>100.76</v>
      </c>
      <c r="T185" s="385">
        <v>758</v>
      </c>
      <c r="U185" s="382">
        <v>118.28</v>
      </c>
      <c r="V185" s="385">
        <v>488</v>
      </c>
      <c r="W185" s="382">
        <v>135.83000000000001</v>
      </c>
      <c r="X185" s="385">
        <v>31</v>
      </c>
      <c r="Y185" s="382">
        <v>37</v>
      </c>
      <c r="Z185" s="382">
        <v>7</v>
      </c>
      <c r="AA185" s="382">
        <v>3</v>
      </c>
      <c r="AB185" s="382">
        <v>36</v>
      </c>
      <c r="AC185" s="382">
        <v>12</v>
      </c>
      <c r="AD185" s="382">
        <v>4049</v>
      </c>
      <c r="AE185" s="382">
        <v>9</v>
      </c>
      <c r="AF185" s="382">
        <v>29</v>
      </c>
      <c r="AG185" s="382">
        <v>38</v>
      </c>
    </row>
    <row r="186" spans="1:33" x14ac:dyDescent="0.3">
      <c r="A186" s="381" t="s">
        <v>432</v>
      </c>
      <c r="B186" s="381" t="s">
        <v>433</v>
      </c>
      <c r="C186" s="382">
        <v>937</v>
      </c>
      <c r="D186" s="382">
        <v>1</v>
      </c>
      <c r="E186" s="382">
        <v>90</v>
      </c>
      <c r="F186" s="382">
        <v>117</v>
      </c>
      <c r="G186" s="382">
        <v>258</v>
      </c>
      <c r="H186" s="382">
        <v>1403</v>
      </c>
      <c r="I186" s="382">
        <v>1145</v>
      </c>
      <c r="J186" s="382">
        <v>2</v>
      </c>
      <c r="K186" s="382">
        <v>92.47</v>
      </c>
      <c r="L186" s="382">
        <v>90.57</v>
      </c>
      <c r="M186" s="382">
        <v>3.19</v>
      </c>
      <c r="N186" s="382">
        <v>93.92</v>
      </c>
      <c r="O186" s="385">
        <v>538</v>
      </c>
      <c r="P186" s="382">
        <v>107.68</v>
      </c>
      <c r="Q186" s="382">
        <v>88.8</v>
      </c>
      <c r="R186" s="382">
        <v>41.06</v>
      </c>
      <c r="S186" s="382">
        <v>146.74</v>
      </c>
      <c r="T186" s="385">
        <v>205</v>
      </c>
      <c r="U186" s="382">
        <v>106.28</v>
      </c>
      <c r="V186" s="385">
        <v>375</v>
      </c>
      <c r="W186" s="382">
        <v>0</v>
      </c>
      <c r="X186" s="385">
        <v>0</v>
      </c>
      <c r="Y186" s="382">
        <v>0</v>
      </c>
      <c r="Z186" s="382">
        <v>1</v>
      </c>
      <c r="AA186" s="382">
        <v>0</v>
      </c>
      <c r="AB186" s="382">
        <v>49</v>
      </c>
      <c r="AC186" s="382">
        <v>6</v>
      </c>
      <c r="AD186" s="382">
        <v>750</v>
      </c>
      <c r="AE186" s="382">
        <v>2</v>
      </c>
      <c r="AF186" s="382">
        <v>2</v>
      </c>
      <c r="AG186" s="382">
        <v>4</v>
      </c>
    </row>
    <row r="187" spans="1:33" x14ac:dyDescent="0.3">
      <c r="A187" s="381" t="s">
        <v>434</v>
      </c>
      <c r="B187" s="381" t="s">
        <v>435</v>
      </c>
      <c r="C187" s="382">
        <v>7924</v>
      </c>
      <c r="D187" s="382">
        <v>0</v>
      </c>
      <c r="E187" s="382">
        <v>548</v>
      </c>
      <c r="F187" s="382">
        <v>1096</v>
      </c>
      <c r="G187" s="382">
        <v>247</v>
      </c>
      <c r="H187" s="382">
        <v>9815</v>
      </c>
      <c r="I187" s="382">
        <v>9568</v>
      </c>
      <c r="J187" s="382">
        <v>73</v>
      </c>
      <c r="K187" s="382">
        <v>80.680000000000007</v>
      </c>
      <c r="L187" s="382">
        <v>79.69</v>
      </c>
      <c r="M187" s="382">
        <v>2.84</v>
      </c>
      <c r="N187" s="382">
        <v>82.76</v>
      </c>
      <c r="O187" s="385">
        <v>7841</v>
      </c>
      <c r="P187" s="382">
        <v>98.5</v>
      </c>
      <c r="Q187" s="382">
        <v>69.75</v>
      </c>
      <c r="R187" s="382">
        <v>37.770000000000003</v>
      </c>
      <c r="S187" s="382">
        <v>131.41999999999999</v>
      </c>
      <c r="T187" s="385">
        <v>1386</v>
      </c>
      <c r="U187" s="382">
        <v>95.6</v>
      </c>
      <c r="V187" s="385">
        <v>61</v>
      </c>
      <c r="W187" s="382">
        <v>281.77999999999997</v>
      </c>
      <c r="X187" s="385">
        <v>60</v>
      </c>
      <c r="Y187" s="382">
        <v>0</v>
      </c>
      <c r="Z187" s="382">
        <v>18</v>
      </c>
      <c r="AA187" s="382">
        <v>1</v>
      </c>
      <c r="AB187" s="382">
        <v>3</v>
      </c>
      <c r="AC187" s="382">
        <v>5</v>
      </c>
      <c r="AD187" s="382">
        <v>7922</v>
      </c>
      <c r="AE187" s="382">
        <v>61</v>
      </c>
      <c r="AF187" s="382">
        <v>46</v>
      </c>
      <c r="AG187" s="382">
        <v>107</v>
      </c>
    </row>
    <row r="188" spans="1:33" x14ac:dyDescent="0.3">
      <c r="A188" s="381" t="s">
        <v>436</v>
      </c>
      <c r="B188" s="381" t="s">
        <v>437</v>
      </c>
      <c r="C188" s="382">
        <v>9491</v>
      </c>
      <c r="D188" s="382">
        <v>5</v>
      </c>
      <c r="E188" s="382">
        <v>222</v>
      </c>
      <c r="F188" s="382">
        <v>1024</v>
      </c>
      <c r="G188" s="382">
        <v>611</v>
      </c>
      <c r="H188" s="382">
        <v>11353</v>
      </c>
      <c r="I188" s="382">
        <v>10742</v>
      </c>
      <c r="J188" s="382">
        <v>1</v>
      </c>
      <c r="K188" s="382">
        <v>112.17</v>
      </c>
      <c r="L188" s="382">
        <v>118.15</v>
      </c>
      <c r="M188" s="382">
        <v>5.4</v>
      </c>
      <c r="N188" s="382">
        <v>113.89</v>
      </c>
      <c r="O188" s="385">
        <v>9066</v>
      </c>
      <c r="P188" s="382">
        <v>101.4</v>
      </c>
      <c r="Q188" s="382">
        <v>100.14</v>
      </c>
      <c r="R188" s="382">
        <v>27.15</v>
      </c>
      <c r="S188" s="382">
        <v>128.32</v>
      </c>
      <c r="T188" s="385">
        <v>1208</v>
      </c>
      <c r="U188" s="382">
        <v>152.4</v>
      </c>
      <c r="V188" s="385">
        <v>363</v>
      </c>
      <c r="W188" s="382">
        <v>0</v>
      </c>
      <c r="X188" s="385">
        <v>0</v>
      </c>
      <c r="Y188" s="382">
        <v>0</v>
      </c>
      <c r="Z188" s="382">
        <v>19</v>
      </c>
      <c r="AA188" s="382">
        <v>3</v>
      </c>
      <c r="AB188" s="382">
        <v>25</v>
      </c>
      <c r="AC188" s="382">
        <v>15</v>
      </c>
      <c r="AD188" s="382">
        <v>9450</v>
      </c>
      <c r="AE188" s="382">
        <v>66</v>
      </c>
      <c r="AF188" s="382">
        <v>13</v>
      </c>
      <c r="AG188" s="382">
        <v>79</v>
      </c>
    </row>
    <row r="189" spans="1:33" x14ac:dyDescent="0.3">
      <c r="A189" s="381" t="s">
        <v>438</v>
      </c>
      <c r="B189" s="381" t="s">
        <v>439</v>
      </c>
      <c r="C189" s="382">
        <v>1225</v>
      </c>
      <c r="D189" s="382">
        <v>0</v>
      </c>
      <c r="E189" s="382">
        <v>146</v>
      </c>
      <c r="F189" s="382">
        <v>98</v>
      </c>
      <c r="G189" s="382">
        <v>508</v>
      </c>
      <c r="H189" s="382">
        <v>1977</v>
      </c>
      <c r="I189" s="382">
        <v>1469</v>
      </c>
      <c r="J189" s="382">
        <v>4</v>
      </c>
      <c r="K189" s="382">
        <v>90.12</v>
      </c>
      <c r="L189" s="382">
        <v>88.29</v>
      </c>
      <c r="M189" s="382">
        <v>5.07</v>
      </c>
      <c r="N189" s="382">
        <v>94.26</v>
      </c>
      <c r="O189" s="385">
        <v>749</v>
      </c>
      <c r="P189" s="382">
        <v>115.84</v>
      </c>
      <c r="Q189" s="382">
        <v>80.66</v>
      </c>
      <c r="R189" s="382">
        <v>71.319999999999993</v>
      </c>
      <c r="S189" s="382">
        <v>187.17</v>
      </c>
      <c r="T189" s="385">
        <v>230</v>
      </c>
      <c r="U189" s="382">
        <v>106.49</v>
      </c>
      <c r="V189" s="385">
        <v>351</v>
      </c>
      <c r="W189" s="382">
        <v>119.09</v>
      </c>
      <c r="X189" s="385">
        <v>1</v>
      </c>
      <c r="Y189" s="382">
        <v>14</v>
      </c>
      <c r="Z189" s="382">
        <v>1</v>
      </c>
      <c r="AA189" s="382">
        <v>0</v>
      </c>
      <c r="AB189" s="382">
        <v>36</v>
      </c>
      <c r="AC189" s="382">
        <v>5</v>
      </c>
      <c r="AD189" s="382">
        <v>1142</v>
      </c>
      <c r="AE189" s="382">
        <v>6</v>
      </c>
      <c r="AF189" s="382">
        <v>5</v>
      </c>
      <c r="AG189" s="382">
        <v>11</v>
      </c>
    </row>
    <row r="190" spans="1:33" x14ac:dyDescent="0.3">
      <c r="A190" s="381" t="s">
        <v>440</v>
      </c>
      <c r="B190" s="381" t="s">
        <v>441</v>
      </c>
      <c r="C190" s="382">
        <v>11025</v>
      </c>
      <c r="D190" s="382">
        <v>2</v>
      </c>
      <c r="E190" s="382">
        <v>274</v>
      </c>
      <c r="F190" s="382">
        <v>308</v>
      </c>
      <c r="G190" s="382">
        <v>80</v>
      </c>
      <c r="H190" s="382">
        <v>11689</v>
      </c>
      <c r="I190" s="382">
        <v>11609</v>
      </c>
      <c r="J190" s="382">
        <v>1</v>
      </c>
      <c r="K190" s="382">
        <v>81.61</v>
      </c>
      <c r="L190" s="382">
        <v>81.38</v>
      </c>
      <c r="M190" s="382">
        <v>3.48</v>
      </c>
      <c r="N190" s="382">
        <v>83.52</v>
      </c>
      <c r="O190" s="385">
        <v>10266</v>
      </c>
      <c r="P190" s="382">
        <v>103.62</v>
      </c>
      <c r="Q190" s="382">
        <v>80.19</v>
      </c>
      <c r="R190" s="382">
        <v>62.39</v>
      </c>
      <c r="S190" s="382">
        <v>160.04</v>
      </c>
      <c r="T190" s="385">
        <v>481</v>
      </c>
      <c r="U190" s="382">
        <v>102.51</v>
      </c>
      <c r="V190" s="385">
        <v>677</v>
      </c>
      <c r="W190" s="382">
        <v>210.26</v>
      </c>
      <c r="X190" s="385">
        <v>73</v>
      </c>
      <c r="Y190" s="382">
        <v>0</v>
      </c>
      <c r="Z190" s="382">
        <v>41</v>
      </c>
      <c r="AA190" s="382">
        <v>7</v>
      </c>
      <c r="AB190" s="382">
        <v>0</v>
      </c>
      <c r="AC190" s="382">
        <v>0</v>
      </c>
      <c r="AD190" s="382">
        <v>10986</v>
      </c>
      <c r="AE190" s="382">
        <v>107</v>
      </c>
      <c r="AF190" s="382">
        <v>18</v>
      </c>
      <c r="AG190" s="382">
        <v>125</v>
      </c>
    </row>
    <row r="191" spans="1:33" x14ac:dyDescent="0.3">
      <c r="A191" s="381" t="s">
        <v>442</v>
      </c>
      <c r="B191" s="381" t="s">
        <v>443</v>
      </c>
      <c r="C191" s="382">
        <v>5445</v>
      </c>
      <c r="D191" s="382">
        <v>0</v>
      </c>
      <c r="E191" s="382">
        <v>139</v>
      </c>
      <c r="F191" s="382">
        <v>675</v>
      </c>
      <c r="G191" s="382">
        <v>299</v>
      </c>
      <c r="H191" s="382">
        <v>6558</v>
      </c>
      <c r="I191" s="382">
        <v>6259</v>
      </c>
      <c r="J191" s="382">
        <v>0</v>
      </c>
      <c r="K191" s="382">
        <v>90.38</v>
      </c>
      <c r="L191" s="382">
        <v>89.41</v>
      </c>
      <c r="M191" s="382">
        <v>2.75</v>
      </c>
      <c r="N191" s="382">
        <v>92.39</v>
      </c>
      <c r="O191" s="385">
        <v>4675</v>
      </c>
      <c r="P191" s="382">
        <v>91.47</v>
      </c>
      <c r="Q191" s="382">
        <v>79.92</v>
      </c>
      <c r="R191" s="382">
        <v>26.29</v>
      </c>
      <c r="S191" s="382">
        <v>117.76</v>
      </c>
      <c r="T191" s="385">
        <v>792</v>
      </c>
      <c r="U191" s="382">
        <v>110.63</v>
      </c>
      <c r="V191" s="385">
        <v>742</v>
      </c>
      <c r="W191" s="382">
        <v>96.89</v>
      </c>
      <c r="X191" s="385">
        <v>9</v>
      </c>
      <c r="Y191" s="382">
        <v>1</v>
      </c>
      <c r="Z191" s="382">
        <v>19</v>
      </c>
      <c r="AA191" s="382">
        <v>46</v>
      </c>
      <c r="AB191" s="382">
        <v>81</v>
      </c>
      <c r="AC191" s="382">
        <v>7</v>
      </c>
      <c r="AD191" s="382">
        <v>5423</v>
      </c>
      <c r="AE191" s="382">
        <v>16</v>
      </c>
      <c r="AF191" s="382">
        <v>35</v>
      </c>
      <c r="AG191" s="382">
        <v>51</v>
      </c>
    </row>
    <row r="192" spans="1:33" x14ac:dyDescent="0.3">
      <c r="A192" s="381" t="s">
        <v>814</v>
      </c>
      <c r="B192" s="381" t="s">
        <v>812</v>
      </c>
      <c r="C192" s="382">
        <v>14190</v>
      </c>
      <c r="D192" s="382">
        <v>215</v>
      </c>
      <c r="E192" s="382">
        <v>754</v>
      </c>
      <c r="F192" s="382">
        <v>992</v>
      </c>
      <c r="G192" s="382">
        <v>1639</v>
      </c>
      <c r="H192" s="382">
        <v>17790</v>
      </c>
      <c r="I192" s="382">
        <v>16151</v>
      </c>
      <c r="J192" s="382">
        <v>4</v>
      </c>
      <c r="K192" s="382">
        <v>92.91</v>
      </c>
      <c r="L192" s="382">
        <v>91.2</v>
      </c>
      <c r="M192" s="382">
        <v>6.97</v>
      </c>
      <c r="N192" s="382">
        <v>96.17</v>
      </c>
      <c r="O192" s="385">
        <v>11928</v>
      </c>
      <c r="P192" s="382">
        <v>92.79</v>
      </c>
      <c r="Q192" s="382">
        <v>79.75</v>
      </c>
      <c r="R192" s="382">
        <v>49.56</v>
      </c>
      <c r="S192" s="382">
        <v>139.54</v>
      </c>
      <c r="T192" s="385">
        <v>1635</v>
      </c>
      <c r="U192" s="382">
        <v>113.02</v>
      </c>
      <c r="V192" s="385">
        <v>1852</v>
      </c>
      <c r="W192" s="382">
        <v>161.02000000000001</v>
      </c>
      <c r="X192" s="385">
        <v>7</v>
      </c>
      <c r="Y192" s="382">
        <v>1</v>
      </c>
      <c r="Z192" s="382">
        <v>34</v>
      </c>
      <c r="AA192" s="382">
        <v>6</v>
      </c>
      <c r="AB192" s="382">
        <v>70</v>
      </c>
      <c r="AC192" s="382">
        <v>45</v>
      </c>
      <c r="AD192" s="382">
        <v>14101</v>
      </c>
      <c r="AE192" s="382">
        <v>146</v>
      </c>
      <c r="AF192" s="382">
        <v>82</v>
      </c>
      <c r="AG192" s="382">
        <v>228</v>
      </c>
    </row>
    <row r="193" spans="1:33" x14ac:dyDescent="0.3">
      <c r="A193" s="381" t="s">
        <v>444</v>
      </c>
      <c r="B193" s="381" t="s">
        <v>445</v>
      </c>
      <c r="C193" s="382">
        <v>8544</v>
      </c>
      <c r="D193" s="382">
        <v>66</v>
      </c>
      <c r="E193" s="382">
        <v>380</v>
      </c>
      <c r="F193" s="382">
        <v>651</v>
      </c>
      <c r="G193" s="382">
        <v>650</v>
      </c>
      <c r="H193" s="382">
        <v>10291</v>
      </c>
      <c r="I193" s="382">
        <v>9641</v>
      </c>
      <c r="J193" s="382">
        <v>67</v>
      </c>
      <c r="K193" s="382">
        <v>96.91</v>
      </c>
      <c r="L193" s="382">
        <v>96.72</v>
      </c>
      <c r="M193" s="382">
        <v>5.21</v>
      </c>
      <c r="N193" s="382">
        <v>101.96</v>
      </c>
      <c r="O193" s="385">
        <v>7487</v>
      </c>
      <c r="P193" s="382">
        <v>109.23</v>
      </c>
      <c r="Q193" s="382">
        <v>92.44</v>
      </c>
      <c r="R193" s="382">
        <v>74.55</v>
      </c>
      <c r="S193" s="382">
        <v>181.7</v>
      </c>
      <c r="T193" s="385">
        <v>861</v>
      </c>
      <c r="U193" s="382">
        <v>131.93</v>
      </c>
      <c r="V193" s="385">
        <v>928</v>
      </c>
      <c r="W193" s="382">
        <v>127.38</v>
      </c>
      <c r="X193" s="385">
        <v>40</v>
      </c>
      <c r="Y193" s="382">
        <v>0</v>
      </c>
      <c r="Z193" s="382">
        <v>11</v>
      </c>
      <c r="AA193" s="382">
        <v>12</v>
      </c>
      <c r="AB193" s="382">
        <v>70</v>
      </c>
      <c r="AC193" s="382">
        <v>17</v>
      </c>
      <c r="AD193" s="382">
        <v>8422</v>
      </c>
      <c r="AE193" s="382">
        <v>40</v>
      </c>
      <c r="AF193" s="382">
        <v>120</v>
      </c>
      <c r="AG193" s="382">
        <v>160</v>
      </c>
    </row>
    <row r="194" spans="1:33" x14ac:dyDescent="0.3">
      <c r="A194" s="381" t="s">
        <v>446</v>
      </c>
      <c r="B194" s="381" t="s">
        <v>447</v>
      </c>
      <c r="C194" s="382">
        <v>4354</v>
      </c>
      <c r="D194" s="382">
        <v>0</v>
      </c>
      <c r="E194" s="382">
        <v>609</v>
      </c>
      <c r="F194" s="382">
        <v>1385</v>
      </c>
      <c r="G194" s="382">
        <v>422</v>
      </c>
      <c r="H194" s="382">
        <v>6770</v>
      </c>
      <c r="I194" s="382">
        <v>6348</v>
      </c>
      <c r="J194" s="382">
        <v>0</v>
      </c>
      <c r="K194" s="382">
        <v>83.92</v>
      </c>
      <c r="L194" s="382">
        <v>80.510000000000005</v>
      </c>
      <c r="M194" s="382">
        <v>7.98</v>
      </c>
      <c r="N194" s="382">
        <v>90.09</v>
      </c>
      <c r="O194" s="385">
        <v>3166</v>
      </c>
      <c r="P194" s="382">
        <v>95.85</v>
      </c>
      <c r="Q194" s="382">
        <v>78.14</v>
      </c>
      <c r="R194" s="382">
        <v>55.49</v>
      </c>
      <c r="S194" s="382">
        <v>150.80000000000001</v>
      </c>
      <c r="T194" s="385">
        <v>1762</v>
      </c>
      <c r="U194" s="382">
        <v>104.69</v>
      </c>
      <c r="V194" s="385">
        <v>975</v>
      </c>
      <c r="W194" s="382">
        <v>145.1</v>
      </c>
      <c r="X194" s="385">
        <v>73</v>
      </c>
      <c r="Y194" s="382">
        <v>0</v>
      </c>
      <c r="Z194" s="382">
        <v>1</v>
      </c>
      <c r="AA194" s="382">
        <v>0</v>
      </c>
      <c r="AB194" s="382">
        <v>19</v>
      </c>
      <c r="AC194" s="382">
        <v>9</v>
      </c>
      <c r="AD194" s="382">
        <v>4161</v>
      </c>
      <c r="AE194" s="382">
        <v>44</v>
      </c>
      <c r="AF194" s="382">
        <v>28</v>
      </c>
      <c r="AG194" s="382">
        <v>72</v>
      </c>
    </row>
    <row r="195" spans="1:33" x14ac:dyDescent="0.3">
      <c r="A195" s="381" t="s">
        <v>448</v>
      </c>
      <c r="B195" s="381" t="s">
        <v>449</v>
      </c>
      <c r="C195" s="382">
        <v>1187</v>
      </c>
      <c r="D195" s="382">
        <v>0</v>
      </c>
      <c r="E195" s="382">
        <v>9</v>
      </c>
      <c r="F195" s="382">
        <v>47</v>
      </c>
      <c r="G195" s="382">
        <v>301</v>
      </c>
      <c r="H195" s="382">
        <v>1544</v>
      </c>
      <c r="I195" s="382">
        <v>1243</v>
      </c>
      <c r="J195" s="382">
        <v>0</v>
      </c>
      <c r="K195" s="382">
        <v>100.13</v>
      </c>
      <c r="L195" s="382">
        <v>98.02</v>
      </c>
      <c r="M195" s="382">
        <v>4.8</v>
      </c>
      <c r="N195" s="382">
        <v>103.56</v>
      </c>
      <c r="O195" s="385">
        <v>845</v>
      </c>
      <c r="P195" s="382">
        <v>88.84</v>
      </c>
      <c r="Q195" s="382">
        <v>84.37</v>
      </c>
      <c r="R195" s="382">
        <v>26.04</v>
      </c>
      <c r="S195" s="382">
        <v>114.89</v>
      </c>
      <c r="T195" s="385">
        <v>53</v>
      </c>
      <c r="U195" s="382">
        <v>123.14</v>
      </c>
      <c r="V195" s="385">
        <v>340</v>
      </c>
      <c r="W195" s="382">
        <v>0</v>
      </c>
      <c r="X195" s="385">
        <v>0</v>
      </c>
      <c r="Y195" s="382">
        <v>63</v>
      </c>
      <c r="Z195" s="382">
        <v>1</v>
      </c>
      <c r="AA195" s="382">
        <v>0</v>
      </c>
      <c r="AB195" s="382">
        <v>58</v>
      </c>
      <c r="AC195" s="382">
        <v>4</v>
      </c>
      <c r="AD195" s="382">
        <v>1185</v>
      </c>
      <c r="AE195" s="382">
        <v>16</v>
      </c>
      <c r="AF195" s="382">
        <v>0</v>
      </c>
      <c r="AG195" s="382">
        <v>16</v>
      </c>
    </row>
    <row r="196" spans="1:33" x14ac:dyDescent="0.3">
      <c r="A196" s="381" t="s">
        <v>450</v>
      </c>
      <c r="B196" s="381" t="s">
        <v>451</v>
      </c>
      <c r="C196" s="382">
        <v>2202</v>
      </c>
      <c r="D196" s="382">
        <v>2</v>
      </c>
      <c r="E196" s="382">
        <v>116</v>
      </c>
      <c r="F196" s="382">
        <v>126</v>
      </c>
      <c r="G196" s="382">
        <v>558</v>
      </c>
      <c r="H196" s="382">
        <v>3004</v>
      </c>
      <c r="I196" s="382">
        <v>2446</v>
      </c>
      <c r="J196" s="382">
        <v>0</v>
      </c>
      <c r="K196" s="382">
        <v>90.13</v>
      </c>
      <c r="L196" s="382">
        <v>89.7</v>
      </c>
      <c r="M196" s="382">
        <v>6.97</v>
      </c>
      <c r="N196" s="382">
        <v>95.9</v>
      </c>
      <c r="O196" s="385">
        <v>1408</v>
      </c>
      <c r="P196" s="382">
        <v>93.49</v>
      </c>
      <c r="Q196" s="382">
        <v>92.98</v>
      </c>
      <c r="R196" s="382">
        <v>55.54</v>
      </c>
      <c r="S196" s="382">
        <v>134.43</v>
      </c>
      <c r="T196" s="385">
        <v>213</v>
      </c>
      <c r="U196" s="382">
        <v>113.05</v>
      </c>
      <c r="V196" s="385">
        <v>775</v>
      </c>
      <c r="W196" s="382">
        <v>147.77000000000001</v>
      </c>
      <c r="X196" s="385">
        <v>6</v>
      </c>
      <c r="Y196" s="382">
        <v>0</v>
      </c>
      <c r="Z196" s="382">
        <v>2</v>
      </c>
      <c r="AA196" s="382">
        <v>2</v>
      </c>
      <c r="AB196" s="382">
        <v>32</v>
      </c>
      <c r="AC196" s="382">
        <v>7</v>
      </c>
      <c r="AD196" s="382">
        <v>2202</v>
      </c>
      <c r="AE196" s="382">
        <v>17</v>
      </c>
      <c r="AF196" s="382">
        <v>18</v>
      </c>
      <c r="AG196" s="382">
        <v>35</v>
      </c>
    </row>
    <row r="197" spans="1:33" x14ac:dyDescent="0.3">
      <c r="A197" s="381" t="s">
        <v>452</v>
      </c>
      <c r="B197" s="381" t="s">
        <v>453</v>
      </c>
      <c r="C197" s="382">
        <v>14589</v>
      </c>
      <c r="D197" s="382">
        <v>0</v>
      </c>
      <c r="E197" s="382">
        <v>489</v>
      </c>
      <c r="F197" s="382">
        <v>2990</v>
      </c>
      <c r="G197" s="382">
        <v>699</v>
      </c>
      <c r="H197" s="382">
        <v>18767</v>
      </c>
      <c r="I197" s="382">
        <v>18068</v>
      </c>
      <c r="J197" s="382">
        <v>0</v>
      </c>
      <c r="K197" s="382">
        <v>77.209999999999994</v>
      </c>
      <c r="L197" s="382">
        <v>74.459999999999994</v>
      </c>
      <c r="M197" s="382">
        <v>2.1800000000000002</v>
      </c>
      <c r="N197" s="382">
        <v>78.3</v>
      </c>
      <c r="O197" s="385">
        <v>12849</v>
      </c>
      <c r="P197" s="382">
        <v>79.45</v>
      </c>
      <c r="Q197" s="382">
        <v>68.27</v>
      </c>
      <c r="R197" s="382">
        <v>31.27</v>
      </c>
      <c r="S197" s="382">
        <v>107.45</v>
      </c>
      <c r="T197" s="385">
        <v>3183</v>
      </c>
      <c r="U197" s="382">
        <v>102.18</v>
      </c>
      <c r="V197" s="385">
        <v>1483</v>
      </c>
      <c r="W197" s="382">
        <v>139.81</v>
      </c>
      <c r="X197" s="385">
        <v>192</v>
      </c>
      <c r="Y197" s="382">
        <v>12</v>
      </c>
      <c r="Z197" s="382">
        <v>59</v>
      </c>
      <c r="AA197" s="382">
        <v>0</v>
      </c>
      <c r="AB197" s="382">
        <v>38</v>
      </c>
      <c r="AC197" s="382">
        <v>5</v>
      </c>
      <c r="AD197" s="382">
        <v>14350</v>
      </c>
      <c r="AE197" s="382">
        <v>123</v>
      </c>
      <c r="AF197" s="382">
        <v>73</v>
      </c>
      <c r="AG197" s="382">
        <v>196</v>
      </c>
    </row>
    <row r="198" spans="1:33" x14ac:dyDescent="0.3">
      <c r="A198" s="381" t="s">
        <v>454</v>
      </c>
      <c r="B198" s="381" t="s">
        <v>455</v>
      </c>
      <c r="C198" s="382">
        <v>4143</v>
      </c>
      <c r="D198" s="382">
        <v>0</v>
      </c>
      <c r="E198" s="382">
        <v>509</v>
      </c>
      <c r="F198" s="382">
        <v>1173</v>
      </c>
      <c r="G198" s="382">
        <v>304</v>
      </c>
      <c r="H198" s="382">
        <v>6129</v>
      </c>
      <c r="I198" s="382">
        <v>5825</v>
      </c>
      <c r="J198" s="382">
        <v>6</v>
      </c>
      <c r="K198" s="382">
        <v>90.76</v>
      </c>
      <c r="L198" s="382">
        <v>89.44</v>
      </c>
      <c r="M198" s="382">
        <v>6.53</v>
      </c>
      <c r="N198" s="382">
        <v>96</v>
      </c>
      <c r="O198" s="385">
        <v>3504</v>
      </c>
      <c r="P198" s="382">
        <v>91.29</v>
      </c>
      <c r="Q198" s="382">
        <v>82.11</v>
      </c>
      <c r="R198" s="382">
        <v>51.15</v>
      </c>
      <c r="S198" s="382">
        <v>142.22999999999999</v>
      </c>
      <c r="T198" s="385">
        <v>990</v>
      </c>
      <c r="U198" s="382">
        <v>117.21</v>
      </c>
      <c r="V198" s="385">
        <v>547</v>
      </c>
      <c r="W198" s="382">
        <v>123.97</v>
      </c>
      <c r="X198" s="385">
        <v>19</v>
      </c>
      <c r="Y198" s="382">
        <v>2</v>
      </c>
      <c r="Z198" s="382">
        <v>2</v>
      </c>
      <c r="AA198" s="382">
        <v>0</v>
      </c>
      <c r="AB198" s="382">
        <v>28</v>
      </c>
      <c r="AC198" s="382">
        <v>9</v>
      </c>
      <c r="AD198" s="382">
        <v>4127</v>
      </c>
      <c r="AE198" s="382">
        <v>37</v>
      </c>
      <c r="AF198" s="382">
        <v>9</v>
      </c>
      <c r="AG198" s="382">
        <v>46</v>
      </c>
    </row>
    <row r="199" spans="1:33" x14ac:dyDescent="0.3">
      <c r="A199" s="381" t="s">
        <v>456</v>
      </c>
      <c r="B199" s="381" t="s">
        <v>457</v>
      </c>
      <c r="C199" s="382">
        <v>6664</v>
      </c>
      <c r="D199" s="382">
        <v>218</v>
      </c>
      <c r="E199" s="382">
        <v>1411</v>
      </c>
      <c r="F199" s="382">
        <v>2122</v>
      </c>
      <c r="G199" s="382">
        <v>313</v>
      </c>
      <c r="H199" s="382">
        <v>10728</v>
      </c>
      <c r="I199" s="382">
        <v>10415</v>
      </c>
      <c r="J199" s="382">
        <v>33</v>
      </c>
      <c r="K199" s="382">
        <v>87.07</v>
      </c>
      <c r="L199" s="382">
        <v>84.45</v>
      </c>
      <c r="M199" s="382">
        <v>6.74</v>
      </c>
      <c r="N199" s="382">
        <v>91.45</v>
      </c>
      <c r="O199" s="385">
        <v>5711</v>
      </c>
      <c r="P199" s="382">
        <v>87.06</v>
      </c>
      <c r="Q199" s="382">
        <v>78.040000000000006</v>
      </c>
      <c r="R199" s="382">
        <v>82.49</v>
      </c>
      <c r="S199" s="382">
        <v>166.86</v>
      </c>
      <c r="T199" s="385">
        <v>2915</v>
      </c>
      <c r="U199" s="382">
        <v>105.15</v>
      </c>
      <c r="V199" s="385">
        <v>513</v>
      </c>
      <c r="W199" s="382">
        <v>204.42</v>
      </c>
      <c r="X199" s="385">
        <v>167</v>
      </c>
      <c r="Y199" s="382">
        <v>0</v>
      </c>
      <c r="Z199" s="382">
        <v>4</v>
      </c>
      <c r="AA199" s="382">
        <v>30</v>
      </c>
      <c r="AB199" s="382">
        <v>20</v>
      </c>
      <c r="AC199" s="382">
        <v>8</v>
      </c>
      <c r="AD199" s="382">
        <v>6606</v>
      </c>
      <c r="AE199" s="382">
        <v>36</v>
      </c>
      <c r="AF199" s="382">
        <v>33</v>
      </c>
      <c r="AG199" s="382">
        <v>69</v>
      </c>
    </row>
    <row r="200" spans="1:33" x14ac:dyDescent="0.3">
      <c r="A200" s="381" t="s">
        <v>458</v>
      </c>
      <c r="B200" s="381" t="s">
        <v>459</v>
      </c>
      <c r="C200" s="382">
        <v>2396</v>
      </c>
      <c r="D200" s="382">
        <v>0</v>
      </c>
      <c r="E200" s="382">
        <v>270</v>
      </c>
      <c r="F200" s="382">
        <v>360</v>
      </c>
      <c r="G200" s="382">
        <v>534</v>
      </c>
      <c r="H200" s="382">
        <v>3560</v>
      </c>
      <c r="I200" s="382">
        <v>3026</v>
      </c>
      <c r="J200" s="382">
        <v>0</v>
      </c>
      <c r="K200" s="382">
        <v>98.09</v>
      </c>
      <c r="L200" s="382">
        <v>94.3</v>
      </c>
      <c r="M200" s="382">
        <v>6.99</v>
      </c>
      <c r="N200" s="382">
        <v>104.19</v>
      </c>
      <c r="O200" s="385">
        <v>1673</v>
      </c>
      <c r="P200" s="382">
        <v>126.99</v>
      </c>
      <c r="Q200" s="382">
        <v>87.54</v>
      </c>
      <c r="R200" s="382">
        <v>65.430000000000007</v>
      </c>
      <c r="S200" s="382">
        <v>191.31</v>
      </c>
      <c r="T200" s="385">
        <v>536</v>
      </c>
      <c r="U200" s="382">
        <v>120.33</v>
      </c>
      <c r="V200" s="385">
        <v>706</v>
      </c>
      <c r="W200" s="382">
        <v>0</v>
      </c>
      <c r="X200" s="385">
        <v>0</v>
      </c>
      <c r="Y200" s="382">
        <v>29</v>
      </c>
      <c r="Z200" s="382">
        <v>3</v>
      </c>
      <c r="AA200" s="382">
        <v>1</v>
      </c>
      <c r="AB200" s="382">
        <v>65</v>
      </c>
      <c r="AC200" s="382">
        <v>12</v>
      </c>
      <c r="AD200" s="382">
        <v>2396</v>
      </c>
      <c r="AE200" s="382">
        <v>80</v>
      </c>
      <c r="AF200" s="382">
        <v>4</v>
      </c>
      <c r="AG200" s="382">
        <v>84</v>
      </c>
    </row>
    <row r="201" spans="1:33" x14ac:dyDescent="0.3">
      <c r="A201" s="381" t="s">
        <v>460</v>
      </c>
      <c r="B201" s="381" t="s">
        <v>461</v>
      </c>
      <c r="C201" s="382">
        <v>553</v>
      </c>
      <c r="D201" s="382">
        <v>0</v>
      </c>
      <c r="E201" s="382">
        <v>63</v>
      </c>
      <c r="F201" s="382">
        <v>95</v>
      </c>
      <c r="G201" s="382">
        <v>161</v>
      </c>
      <c r="H201" s="382">
        <v>872</v>
      </c>
      <c r="I201" s="382">
        <v>711</v>
      </c>
      <c r="J201" s="382">
        <v>0</v>
      </c>
      <c r="K201" s="382">
        <v>94.02</v>
      </c>
      <c r="L201" s="382">
        <v>91.69</v>
      </c>
      <c r="M201" s="382">
        <v>6.37</v>
      </c>
      <c r="N201" s="382">
        <v>97.58</v>
      </c>
      <c r="O201" s="385">
        <v>279</v>
      </c>
      <c r="P201" s="382">
        <v>111.92</v>
      </c>
      <c r="Q201" s="382">
        <v>73.89</v>
      </c>
      <c r="R201" s="382">
        <v>48.77</v>
      </c>
      <c r="S201" s="382">
        <v>157.19999999999999</v>
      </c>
      <c r="T201" s="385">
        <v>140</v>
      </c>
      <c r="U201" s="382">
        <v>115.09</v>
      </c>
      <c r="V201" s="385">
        <v>181</v>
      </c>
      <c r="W201" s="382">
        <v>0</v>
      </c>
      <c r="X201" s="385">
        <v>0</v>
      </c>
      <c r="Y201" s="382">
        <v>13</v>
      </c>
      <c r="Z201" s="382">
        <v>0</v>
      </c>
      <c r="AA201" s="382">
        <v>0</v>
      </c>
      <c r="AB201" s="382">
        <v>39</v>
      </c>
      <c r="AC201" s="382">
        <v>8</v>
      </c>
      <c r="AD201" s="382">
        <v>505</v>
      </c>
      <c r="AE201" s="382">
        <v>6</v>
      </c>
      <c r="AF201" s="382">
        <v>1</v>
      </c>
      <c r="AG201" s="382">
        <v>7</v>
      </c>
    </row>
    <row r="202" spans="1:33" x14ac:dyDescent="0.3">
      <c r="A202" s="381" t="s">
        <v>462</v>
      </c>
      <c r="B202" s="381" t="s">
        <v>463</v>
      </c>
      <c r="C202" s="382">
        <v>17120</v>
      </c>
      <c r="D202" s="382">
        <v>5</v>
      </c>
      <c r="E202" s="382">
        <v>563</v>
      </c>
      <c r="F202" s="382">
        <v>791</v>
      </c>
      <c r="G202" s="382">
        <v>351</v>
      </c>
      <c r="H202" s="382">
        <v>18830</v>
      </c>
      <c r="I202" s="382">
        <v>18479</v>
      </c>
      <c r="J202" s="382">
        <v>29</v>
      </c>
      <c r="K202" s="382">
        <v>79.66</v>
      </c>
      <c r="L202" s="382">
        <v>79.599999999999994</v>
      </c>
      <c r="M202" s="382">
        <v>4.71</v>
      </c>
      <c r="N202" s="382">
        <v>82.12</v>
      </c>
      <c r="O202" s="385">
        <v>15362</v>
      </c>
      <c r="P202" s="382">
        <v>79.400000000000006</v>
      </c>
      <c r="Q202" s="382">
        <v>75.97</v>
      </c>
      <c r="R202" s="382">
        <v>37.340000000000003</v>
      </c>
      <c r="S202" s="382">
        <v>114.06</v>
      </c>
      <c r="T202" s="385">
        <v>1307</v>
      </c>
      <c r="U202" s="382">
        <v>103.4</v>
      </c>
      <c r="V202" s="385">
        <v>1583</v>
      </c>
      <c r="W202" s="382">
        <v>0</v>
      </c>
      <c r="X202" s="385">
        <v>0</v>
      </c>
      <c r="Y202" s="382">
        <v>0</v>
      </c>
      <c r="Z202" s="382">
        <v>116</v>
      </c>
      <c r="AA202" s="382">
        <v>1</v>
      </c>
      <c r="AB202" s="382">
        <v>80</v>
      </c>
      <c r="AC202" s="382">
        <v>9</v>
      </c>
      <c r="AD202" s="382">
        <v>17118</v>
      </c>
      <c r="AE202" s="382">
        <v>28</v>
      </c>
      <c r="AF202" s="382">
        <v>102</v>
      </c>
      <c r="AG202" s="382">
        <v>130</v>
      </c>
    </row>
    <row r="203" spans="1:33" x14ac:dyDescent="0.3">
      <c r="A203" s="381" t="s">
        <v>464</v>
      </c>
      <c r="B203" s="381" t="s">
        <v>465</v>
      </c>
      <c r="C203" s="382">
        <v>3111</v>
      </c>
      <c r="D203" s="382">
        <v>2</v>
      </c>
      <c r="E203" s="382">
        <v>414</v>
      </c>
      <c r="F203" s="382">
        <v>860</v>
      </c>
      <c r="G203" s="382">
        <v>728</v>
      </c>
      <c r="H203" s="382">
        <v>5115</v>
      </c>
      <c r="I203" s="382">
        <v>4387</v>
      </c>
      <c r="J203" s="382">
        <v>0</v>
      </c>
      <c r="K203" s="382">
        <v>116.34</v>
      </c>
      <c r="L203" s="382">
        <v>112.87</v>
      </c>
      <c r="M203" s="382">
        <v>8.34</v>
      </c>
      <c r="N203" s="382">
        <v>122.62</v>
      </c>
      <c r="O203" s="385">
        <v>2920</v>
      </c>
      <c r="P203" s="382">
        <v>106.87</v>
      </c>
      <c r="Q203" s="382">
        <v>97.95</v>
      </c>
      <c r="R203" s="382">
        <v>50.54</v>
      </c>
      <c r="S203" s="382">
        <v>156.79</v>
      </c>
      <c r="T203" s="385">
        <v>1225</v>
      </c>
      <c r="U203" s="382">
        <v>178.6</v>
      </c>
      <c r="V203" s="385">
        <v>89</v>
      </c>
      <c r="W203" s="382">
        <v>0</v>
      </c>
      <c r="X203" s="385">
        <v>0</v>
      </c>
      <c r="Y203" s="382">
        <v>0</v>
      </c>
      <c r="Z203" s="382">
        <v>0</v>
      </c>
      <c r="AA203" s="382">
        <v>9</v>
      </c>
      <c r="AB203" s="382">
        <v>40</v>
      </c>
      <c r="AC203" s="382">
        <v>19</v>
      </c>
      <c r="AD203" s="382">
        <v>3111</v>
      </c>
      <c r="AE203" s="382">
        <v>29</v>
      </c>
      <c r="AF203" s="382">
        <v>89</v>
      </c>
      <c r="AG203" s="382">
        <v>118</v>
      </c>
    </row>
    <row r="204" spans="1:33" x14ac:dyDescent="0.3">
      <c r="A204" s="381" t="s">
        <v>466</v>
      </c>
      <c r="B204" s="381" t="s">
        <v>467</v>
      </c>
      <c r="C204" s="382">
        <v>4205</v>
      </c>
      <c r="D204" s="382">
        <v>0</v>
      </c>
      <c r="E204" s="382">
        <v>289</v>
      </c>
      <c r="F204" s="382">
        <v>198</v>
      </c>
      <c r="G204" s="382">
        <v>16</v>
      </c>
      <c r="H204" s="382">
        <v>4708</v>
      </c>
      <c r="I204" s="382">
        <v>4692</v>
      </c>
      <c r="J204" s="382">
        <v>2</v>
      </c>
      <c r="K204" s="382">
        <v>75.209999999999994</v>
      </c>
      <c r="L204" s="382">
        <v>72.010000000000005</v>
      </c>
      <c r="M204" s="382">
        <v>1.78</v>
      </c>
      <c r="N204" s="382">
        <v>76.84</v>
      </c>
      <c r="O204" s="385">
        <v>3708</v>
      </c>
      <c r="P204" s="382">
        <v>108.07</v>
      </c>
      <c r="Q204" s="382">
        <v>72.709999999999994</v>
      </c>
      <c r="R204" s="382">
        <v>72.239999999999995</v>
      </c>
      <c r="S204" s="382">
        <v>180.1</v>
      </c>
      <c r="T204" s="385">
        <v>340</v>
      </c>
      <c r="U204" s="382">
        <v>97.71</v>
      </c>
      <c r="V204" s="385">
        <v>486</v>
      </c>
      <c r="W204" s="382">
        <v>170.39</v>
      </c>
      <c r="X204" s="385">
        <v>39</v>
      </c>
      <c r="Y204" s="382">
        <v>4</v>
      </c>
      <c r="Z204" s="382">
        <v>15</v>
      </c>
      <c r="AA204" s="382">
        <v>3</v>
      </c>
      <c r="AB204" s="382">
        <v>1</v>
      </c>
      <c r="AC204" s="382">
        <v>0</v>
      </c>
      <c r="AD204" s="382">
        <v>4204</v>
      </c>
      <c r="AE204" s="382">
        <v>27</v>
      </c>
      <c r="AF204" s="382">
        <v>17</v>
      </c>
      <c r="AG204" s="382">
        <v>44</v>
      </c>
    </row>
    <row r="205" spans="1:33" x14ac:dyDescent="0.3">
      <c r="A205" s="381" t="s">
        <v>468</v>
      </c>
      <c r="B205" s="381" t="s">
        <v>469</v>
      </c>
      <c r="C205" s="382">
        <v>13149</v>
      </c>
      <c r="D205" s="382">
        <v>29</v>
      </c>
      <c r="E205" s="382">
        <v>552</v>
      </c>
      <c r="F205" s="382">
        <v>2308</v>
      </c>
      <c r="G205" s="382">
        <v>1121</v>
      </c>
      <c r="H205" s="382">
        <v>17159</v>
      </c>
      <c r="I205" s="382">
        <v>16038</v>
      </c>
      <c r="J205" s="382">
        <v>14</v>
      </c>
      <c r="K205" s="382">
        <v>88.54</v>
      </c>
      <c r="L205" s="382">
        <v>87.88</v>
      </c>
      <c r="M205" s="382">
        <v>6.79</v>
      </c>
      <c r="N205" s="382">
        <v>91.99</v>
      </c>
      <c r="O205" s="385">
        <v>11016</v>
      </c>
      <c r="P205" s="382">
        <v>93.04</v>
      </c>
      <c r="Q205" s="382">
        <v>85.3</v>
      </c>
      <c r="R205" s="382">
        <v>36.65</v>
      </c>
      <c r="S205" s="382">
        <v>127.93</v>
      </c>
      <c r="T205" s="385">
        <v>2567</v>
      </c>
      <c r="U205" s="382">
        <v>114.38</v>
      </c>
      <c r="V205" s="385">
        <v>1839</v>
      </c>
      <c r="W205" s="382">
        <v>208.09</v>
      </c>
      <c r="X205" s="385">
        <v>87</v>
      </c>
      <c r="Y205" s="382">
        <v>35</v>
      </c>
      <c r="Z205" s="382">
        <v>52</v>
      </c>
      <c r="AA205" s="382">
        <v>1</v>
      </c>
      <c r="AB205" s="382">
        <v>30</v>
      </c>
      <c r="AC205" s="382">
        <v>23</v>
      </c>
      <c r="AD205" s="382">
        <v>13148</v>
      </c>
      <c r="AE205" s="382">
        <v>67</v>
      </c>
      <c r="AF205" s="382">
        <v>31</v>
      </c>
      <c r="AG205" s="382">
        <v>98</v>
      </c>
    </row>
    <row r="206" spans="1:33" x14ac:dyDescent="0.3">
      <c r="A206" s="381" t="s">
        <v>470</v>
      </c>
      <c r="B206" s="381" t="s">
        <v>471</v>
      </c>
      <c r="C206" s="382">
        <v>18845</v>
      </c>
      <c r="D206" s="382">
        <v>0</v>
      </c>
      <c r="E206" s="382">
        <v>2411</v>
      </c>
      <c r="F206" s="382">
        <v>1062</v>
      </c>
      <c r="G206" s="382">
        <v>1187</v>
      </c>
      <c r="H206" s="382">
        <v>23505</v>
      </c>
      <c r="I206" s="382">
        <v>22318</v>
      </c>
      <c r="J206" s="382">
        <v>90</v>
      </c>
      <c r="K206" s="382">
        <v>77.77</v>
      </c>
      <c r="L206" s="382">
        <v>77.010000000000005</v>
      </c>
      <c r="M206" s="382">
        <v>7.03</v>
      </c>
      <c r="N206" s="382">
        <v>82.21</v>
      </c>
      <c r="O206" s="385">
        <v>13688</v>
      </c>
      <c r="P206" s="382">
        <v>74.209999999999994</v>
      </c>
      <c r="Q206" s="382">
        <v>71.650000000000006</v>
      </c>
      <c r="R206" s="382">
        <v>31.27</v>
      </c>
      <c r="S206" s="382">
        <v>103.29</v>
      </c>
      <c r="T206" s="385">
        <v>2795</v>
      </c>
      <c r="U206" s="382">
        <v>103.45</v>
      </c>
      <c r="V206" s="385">
        <v>4593</v>
      </c>
      <c r="W206" s="382">
        <v>93.55</v>
      </c>
      <c r="X206" s="385">
        <v>573</v>
      </c>
      <c r="Y206" s="382">
        <v>78</v>
      </c>
      <c r="Z206" s="382">
        <v>60</v>
      </c>
      <c r="AA206" s="382">
        <v>98</v>
      </c>
      <c r="AB206" s="382">
        <v>23</v>
      </c>
      <c r="AC206" s="382">
        <v>36</v>
      </c>
      <c r="AD206" s="382">
        <v>18364</v>
      </c>
      <c r="AE206" s="382">
        <v>95</v>
      </c>
      <c r="AF206" s="382">
        <v>188</v>
      </c>
      <c r="AG206" s="382">
        <v>283</v>
      </c>
    </row>
    <row r="207" spans="1:33" x14ac:dyDescent="0.3">
      <c r="A207" s="381" t="s">
        <v>472</v>
      </c>
      <c r="B207" s="381" t="s">
        <v>473</v>
      </c>
      <c r="C207" s="382">
        <v>4819</v>
      </c>
      <c r="D207" s="382">
        <v>27</v>
      </c>
      <c r="E207" s="382">
        <v>499</v>
      </c>
      <c r="F207" s="382">
        <v>1066</v>
      </c>
      <c r="G207" s="382">
        <v>684</v>
      </c>
      <c r="H207" s="382">
        <v>7095</v>
      </c>
      <c r="I207" s="382">
        <v>6411</v>
      </c>
      <c r="J207" s="382">
        <v>18</v>
      </c>
      <c r="K207" s="382">
        <v>101.45</v>
      </c>
      <c r="L207" s="382">
        <v>98.05</v>
      </c>
      <c r="M207" s="382">
        <v>8.9499999999999993</v>
      </c>
      <c r="N207" s="382">
        <v>108.51</v>
      </c>
      <c r="O207" s="385">
        <v>3723</v>
      </c>
      <c r="P207" s="382">
        <v>97.34</v>
      </c>
      <c r="Q207" s="382">
        <v>89.51</v>
      </c>
      <c r="R207" s="382">
        <v>31.97</v>
      </c>
      <c r="S207" s="382">
        <v>128.61000000000001</v>
      </c>
      <c r="T207" s="385">
        <v>735</v>
      </c>
      <c r="U207" s="382">
        <v>135.03</v>
      </c>
      <c r="V207" s="385">
        <v>837</v>
      </c>
      <c r="W207" s="382">
        <v>185.7</v>
      </c>
      <c r="X207" s="385">
        <v>83</v>
      </c>
      <c r="Y207" s="382">
        <v>0</v>
      </c>
      <c r="Z207" s="382">
        <v>2</v>
      </c>
      <c r="AA207" s="382">
        <v>2</v>
      </c>
      <c r="AB207" s="382">
        <v>14</v>
      </c>
      <c r="AC207" s="382">
        <v>28</v>
      </c>
      <c r="AD207" s="382">
        <v>4738</v>
      </c>
      <c r="AE207" s="382">
        <v>20</v>
      </c>
      <c r="AF207" s="382">
        <v>12</v>
      </c>
      <c r="AG207" s="382">
        <v>32</v>
      </c>
    </row>
    <row r="208" spans="1:33" x14ac:dyDescent="0.3">
      <c r="A208" s="381" t="s">
        <v>474</v>
      </c>
      <c r="B208" s="381" t="s">
        <v>475</v>
      </c>
      <c r="C208" s="382">
        <v>10235</v>
      </c>
      <c r="D208" s="382">
        <v>0</v>
      </c>
      <c r="E208" s="382">
        <v>679</v>
      </c>
      <c r="F208" s="382">
        <v>1104</v>
      </c>
      <c r="G208" s="382">
        <v>677</v>
      </c>
      <c r="H208" s="382">
        <v>12695</v>
      </c>
      <c r="I208" s="382">
        <v>12018</v>
      </c>
      <c r="J208" s="382">
        <v>1</v>
      </c>
      <c r="K208" s="382">
        <v>80.72</v>
      </c>
      <c r="L208" s="382">
        <v>79.790000000000006</v>
      </c>
      <c r="M208" s="382">
        <v>5.71</v>
      </c>
      <c r="N208" s="382">
        <v>83.9</v>
      </c>
      <c r="O208" s="385">
        <v>8756</v>
      </c>
      <c r="P208" s="382">
        <v>82.62</v>
      </c>
      <c r="Q208" s="382">
        <v>72.11</v>
      </c>
      <c r="R208" s="382">
        <v>52.04</v>
      </c>
      <c r="S208" s="382">
        <v>130.30000000000001</v>
      </c>
      <c r="T208" s="385">
        <v>1599</v>
      </c>
      <c r="U208" s="382">
        <v>108.31</v>
      </c>
      <c r="V208" s="385">
        <v>1448</v>
      </c>
      <c r="W208" s="382">
        <v>252.96</v>
      </c>
      <c r="X208" s="385">
        <v>98</v>
      </c>
      <c r="Y208" s="382">
        <v>5</v>
      </c>
      <c r="Z208" s="382">
        <v>52</v>
      </c>
      <c r="AA208" s="382">
        <v>9</v>
      </c>
      <c r="AB208" s="382">
        <v>99</v>
      </c>
      <c r="AC208" s="382">
        <v>11</v>
      </c>
      <c r="AD208" s="382">
        <v>10213</v>
      </c>
      <c r="AE208" s="382">
        <v>76</v>
      </c>
      <c r="AF208" s="382">
        <v>141</v>
      </c>
      <c r="AG208" s="382">
        <v>217</v>
      </c>
    </row>
    <row r="209" spans="1:33" x14ac:dyDescent="0.3">
      <c r="A209" s="381" t="s">
        <v>476</v>
      </c>
      <c r="B209" s="381" t="s">
        <v>477</v>
      </c>
      <c r="C209" s="382">
        <v>3755</v>
      </c>
      <c r="D209" s="382">
        <v>16</v>
      </c>
      <c r="E209" s="382">
        <v>307</v>
      </c>
      <c r="F209" s="382">
        <v>561</v>
      </c>
      <c r="G209" s="382">
        <v>956</v>
      </c>
      <c r="H209" s="382">
        <v>5595</v>
      </c>
      <c r="I209" s="382">
        <v>4639</v>
      </c>
      <c r="J209" s="382">
        <v>3</v>
      </c>
      <c r="K209" s="382">
        <v>121.35</v>
      </c>
      <c r="L209" s="382">
        <v>118.15</v>
      </c>
      <c r="M209" s="382">
        <v>9.58</v>
      </c>
      <c r="N209" s="382">
        <v>130.18</v>
      </c>
      <c r="O209" s="385">
        <v>2865</v>
      </c>
      <c r="P209" s="382">
        <v>107.72</v>
      </c>
      <c r="Q209" s="382">
        <v>100.63</v>
      </c>
      <c r="R209" s="382">
        <v>79.7</v>
      </c>
      <c r="S209" s="382">
        <v>185.15</v>
      </c>
      <c r="T209" s="385">
        <v>632</v>
      </c>
      <c r="U209" s="382">
        <v>174.31</v>
      </c>
      <c r="V209" s="385">
        <v>515</v>
      </c>
      <c r="W209" s="382">
        <v>263.85000000000002</v>
      </c>
      <c r="X209" s="385">
        <v>104</v>
      </c>
      <c r="Y209" s="382">
        <v>20</v>
      </c>
      <c r="Z209" s="382">
        <v>3</v>
      </c>
      <c r="AA209" s="382">
        <v>3</v>
      </c>
      <c r="AB209" s="382">
        <v>44</v>
      </c>
      <c r="AC209" s="382">
        <v>41</v>
      </c>
      <c r="AD209" s="382">
        <v>3600</v>
      </c>
      <c r="AE209" s="382">
        <v>46</v>
      </c>
      <c r="AF209" s="382">
        <v>7</v>
      </c>
      <c r="AG209" s="382">
        <v>53</v>
      </c>
    </row>
    <row r="210" spans="1:33" x14ac:dyDescent="0.3">
      <c r="A210" s="381" t="s">
        <v>478</v>
      </c>
      <c r="B210" s="381" t="s">
        <v>479</v>
      </c>
      <c r="C210" s="382">
        <v>3515</v>
      </c>
      <c r="D210" s="382">
        <v>0</v>
      </c>
      <c r="E210" s="382">
        <v>309</v>
      </c>
      <c r="F210" s="382">
        <v>1094</v>
      </c>
      <c r="G210" s="382">
        <v>790</v>
      </c>
      <c r="H210" s="382">
        <v>5708</v>
      </c>
      <c r="I210" s="382">
        <v>4918</v>
      </c>
      <c r="J210" s="382">
        <v>36</v>
      </c>
      <c r="K210" s="382">
        <v>126.82</v>
      </c>
      <c r="L210" s="382">
        <v>126.14</v>
      </c>
      <c r="M210" s="382">
        <v>12.46</v>
      </c>
      <c r="N210" s="382">
        <v>134.44999999999999</v>
      </c>
      <c r="O210" s="385">
        <v>2846</v>
      </c>
      <c r="P210" s="382">
        <v>106.16</v>
      </c>
      <c r="Q210" s="382">
        <v>97.94</v>
      </c>
      <c r="R210" s="382">
        <v>57.25</v>
      </c>
      <c r="S210" s="382">
        <v>163.04</v>
      </c>
      <c r="T210" s="385">
        <v>1229</v>
      </c>
      <c r="U210" s="382">
        <v>194.77</v>
      </c>
      <c r="V210" s="385">
        <v>389</v>
      </c>
      <c r="W210" s="382">
        <v>139.74</v>
      </c>
      <c r="X210" s="385">
        <v>53</v>
      </c>
      <c r="Y210" s="382">
        <v>0</v>
      </c>
      <c r="Z210" s="382">
        <v>2</v>
      </c>
      <c r="AA210" s="382">
        <v>0</v>
      </c>
      <c r="AB210" s="382">
        <v>39</v>
      </c>
      <c r="AC210" s="382">
        <v>33</v>
      </c>
      <c r="AD210" s="382">
        <v>3384</v>
      </c>
      <c r="AE210" s="382">
        <v>58</v>
      </c>
      <c r="AF210" s="382">
        <v>9</v>
      </c>
      <c r="AG210" s="382">
        <v>67</v>
      </c>
    </row>
    <row r="211" spans="1:33" x14ac:dyDescent="0.3">
      <c r="A211" s="381" t="s">
        <v>480</v>
      </c>
      <c r="B211" s="381" t="s">
        <v>481</v>
      </c>
      <c r="C211" s="382">
        <v>11452</v>
      </c>
      <c r="D211" s="382">
        <v>0</v>
      </c>
      <c r="E211" s="382">
        <v>289</v>
      </c>
      <c r="F211" s="382">
        <v>635</v>
      </c>
      <c r="G211" s="382">
        <v>316</v>
      </c>
      <c r="H211" s="382">
        <v>12692</v>
      </c>
      <c r="I211" s="382">
        <v>12376</v>
      </c>
      <c r="J211" s="382">
        <v>2</v>
      </c>
      <c r="K211" s="382">
        <v>89.47</v>
      </c>
      <c r="L211" s="382">
        <v>89.64</v>
      </c>
      <c r="M211" s="382">
        <v>4.82</v>
      </c>
      <c r="N211" s="382">
        <v>91.92</v>
      </c>
      <c r="O211" s="385">
        <v>10751</v>
      </c>
      <c r="P211" s="382">
        <v>87.32</v>
      </c>
      <c r="Q211" s="382">
        <v>77.27</v>
      </c>
      <c r="R211" s="382">
        <v>53.15</v>
      </c>
      <c r="S211" s="382">
        <v>139.80000000000001</v>
      </c>
      <c r="T211" s="385">
        <v>635</v>
      </c>
      <c r="U211" s="382">
        <v>109.91</v>
      </c>
      <c r="V211" s="385">
        <v>614</v>
      </c>
      <c r="W211" s="382">
        <v>135.78</v>
      </c>
      <c r="X211" s="385">
        <v>188</v>
      </c>
      <c r="Y211" s="382">
        <v>0</v>
      </c>
      <c r="Z211" s="382">
        <v>42</v>
      </c>
      <c r="AA211" s="382">
        <v>5</v>
      </c>
      <c r="AB211" s="382">
        <v>23</v>
      </c>
      <c r="AC211" s="382">
        <v>8</v>
      </c>
      <c r="AD211" s="382">
        <v>11452</v>
      </c>
      <c r="AE211" s="382">
        <v>66</v>
      </c>
      <c r="AF211" s="382">
        <v>112</v>
      </c>
      <c r="AG211" s="382">
        <v>178</v>
      </c>
    </row>
    <row r="212" spans="1:33" x14ac:dyDescent="0.3">
      <c r="A212" s="381" t="s">
        <v>482</v>
      </c>
      <c r="B212" s="381" t="s">
        <v>483</v>
      </c>
      <c r="C212" s="382">
        <v>1944</v>
      </c>
      <c r="D212" s="382">
        <v>0</v>
      </c>
      <c r="E212" s="382">
        <v>181</v>
      </c>
      <c r="F212" s="382">
        <v>180</v>
      </c>
      <c r="G212" s="382">
        <v>270</v>
      </c>
      <c r="H212" s="382">
        <v>2575</v>
      </c>
      <c r="I212" s="382">
        <v>2305</v>
      </c>
      <c r="J212" s="382">
        <v>0</v>
      </c>
      <c r="K212" s="382">
        <v>93.65</v>
      </c>
      <c r="L212" s="382">
        <v>92.2</v>
      </c>
      <c r="M212" s="382">
        <v>4.76</v>
      </c>
      <c r="N212" s="382">
        <v>97.77</v>
      </c>
      <c r="O212" s="385">
        <v>1532</v>
      </c>
      <c r="P212" s="382">
        <v>115.68</v>
      </c>
      <c r="Q212" s="382">
        <v>92.3</v>
      </c>
      <c r="R212" s="382">
        <v>66.66</v>
      </c>
      <c r="S212" s="382">
        <v>177.7</v>
      </c>
      <c r="T212" s="385">
        <v>259</v>
      </c>
      <c r="U212" s="382">
        <v>123.09</v>
      </c>
      <c r="V212" s="385">
        <v>202</v>
      </c>
      <c r="W212" s="382">
        <v>230.4</v>
      </c>
      <c r="X212" s="385">
        <v>44</v>
      </c>
      <c r="Y212" s="382">
        <v>5</v>
      </c>
      <c r="Z212" s="382">
        <v>0</v>
      </c>
      <c r="AA212" s="382">
        <v>0</v>
      </c>
      <c r="AB212" s="382">
        <v>19</v>
      </c>
      <c r="AC212" s="382">
        <v>3</v>
      </c>
      <c r="AD212" s="382">
        <v>1779</v>
      </c>
      <c r="AE212" s="382">
        <v>13</v>
      </c>
      <c r="AF212" s="382">
        <v>2</v>
      </c>
      <c r="AG212" s="382">
        <v>15</v>
      </c>
    </row>
    <row r="213" spans="1:33" x14ac:dyDescent="0.3">
      <c r="A213" s="381" t="s">
        <v>484</v>
      </c>
      <c r="B213" s="381" t="s">
        <v>485</v>
      </c>
      <c r="C213" s="382">
        <v>6254</v>
      </c>
      <c r="D213" s="382">
        <v>0</v>
      </c>
      <c r="E213" s="382">
        <v>436</v>
      </c>
      <c r="F213" s="382">
        <v>549</v>
      </c>
      <c r="G213" s="382">
        <v>974</v>
      </c>
      <c r="H213" s="382">
        <v>8213</v>
      </c>
      <c r="I213" s="382">
        <v>7239</v>
      </c>
      <c r="J213" s="382">
        <v>4</v>
      </c>
      <c r="K213" s="382">
        <v>121.32</v>
      </c>
      <c r="L213" s="382">
        <v>125.26</v>
      </c>
      <c r="M213" s="382">
        <v>4.9400000000000004</v>
      </c>
      <c r="N213" s="382">
        <v>126</v>
      </c>
      <c r="O213" s="385">
        <v>5189</v>
      </c>
      <c r="P213" s="382">
        <v>123.07</v>
      </c>
      <c r="Q213" s="382">
        <v>105.89</v>
      </c>
      <c r="R213" s="382">
        <v>36.61</v>
      </c>
      <c r="S213" s="382">
        <v>155.47999999999999</v>
      </c>
      <c r="T213" s="385">
        <v>680</v>
      </c>
      <c r="U213" s="382">
        <v>157.24</v>
      </c>
      <c r="V213" s="385">
        <v>948</v>
      </c>
      <c r="W213" s="382">
        <v>176.85</v>
      </c>
      <c r="X213" s="385">
        <v>18</v>
      </c>
      <c r="Y213" s="382">
        <v>1</v>
      </c>
      <c r="Z213" s="382">
        <v>14</v>
      </c>
      <c r="AA213" s="382">
        <v>2</v>
      </c>
      <c r="AB213" s="382">
        <v>61</v>
      </c>
      <c r="AC213" s="382">
        <v>31</v>
      </c>
      <c r="AD213" s="382">
        <v>6243</v>
      </c>
      <c r="AE213" s="382">
        <v>16</v>
      </c>
      <c r="AF213" s="382">
        <v>52</v>
      </c>
      <c r="AG213" s="382">
        <v>68</v>
      </c>
    </row>
    <row r="214" spans="1:33" x14ac:dyDescent="0.3">
      <c r="A214" s="381" t="s">
        <v>486</v>
      </c>
      <c r="B214" s="381" t="s">
        <v>487</v>
      </c>
      <c r="C214" s="382">
        <v>1382</v>
      </c>
      <c r="D214" s="382">
        <v>0</v>
      </c>
      <c r="E214" s="382">
        <v>85</v>
      </c>
      <c r="F214" s="382">
        <v>749</v>
      </c>
      <c r="G214" s="382">
        <v>520</v>
      </c>
      <c r="H214" s="382">
        <v>2736</v>
      </c>
      <c r="I214" s="382">
        <v>2216</v>
      </c>
      <c r="J214" s="382">
        <v>76</v>
      </c>
      <c r="K214" s="382">
        <v>87.54</v>
      </c>
      <c r="L214" s="382">
        <v>86.74</v>
      </c>
      <c r="M214" s="382">
        <v>4.08</v>
      </c>
      <c r="N214" s="382">
        <v>90.47</v>
      </c>
      <c r="O214" s="385">
        <v>955</v>
      </c>
      <c r="P214" s="382">
        <v>75.66</v>
      </c>
      <c r="Q214" s="382">
        <v>71.53</v>
      </c>
      <c r="R214" s="382">
        <v>21.67</v>
      </c>
      <c r="S214" s="382">
        <v>96.38</v>
      </c>
      <c r="T214" s="385">
        <v>775</v>
      </c>
      <c r="U214" s="382">
        <v>105.81</v>
      </c>
      <c r="V214" s="385">
        <v>425</v>
      </c>
      <c r="W214" s="382">
        <v>137.79</v>
      </c>
      <c r="X214" s="385">
        <v>12</v>
      </c>
      <c r="Y214" s="382">
        <v>16</v>
      </c>
      <c r="Z214" s="382">
        <v>4</v>
      </c>
      <c r="AA214" s="382">
        <v>1</v>
      </c>
      <c r="AB214" s="382">
        <v>102</v>
      </c>
      <c r="AC214" s="382">
        <v>20</v>
      </c>
      <c r="AD214" s="382">
        <v>1382</v>
      </c>
      <c r="AE214" s="382">
        <v>15</v>
      </c>
      <c r="AF214" s="382">
        <v>6</v>
      </c>
      <c r="AG214" s="382">
        <v>21</v>
      </c>
    </row>
    <row r="215" spans="1:33" x14ac:dyDescent="0.3">
      <c r="A215" s="381" t="s">
        <v>488</v>
      </c>
      <c r="B215" s="381" t="s">
        <v>489</v>
      </c>
      <c r="C215" s="382">
        <v>8812</v>
      </c>
      <c r="D215" s="382">
        <v>6</v>
      </c>
      <c r="E215" s="382">
        <v>270</v>
      </c>
      <c r="F215" s="382">
        <v>810</v>
      </c>
      <c r="G215" s="382">
        <v>453</v>
      </c>
      <c r="H215" s="382">
        <v>10351</v>
      </c>
      <c r="I215" s="382">
        <v>9898</v>
      </c>
      <c r="J215" s="382">
        <v>18</v>
      </c>
      <c r="K215" s="382">
        <v>125.94</v>
      </c>
      <c r="L215" s="382">
        <v>139.74</v>
      </c>
      <c r="M215" s="382">
        <v>10.98</v>
      </c>
      <c r="N215" s="382">
        <v>133.63999999999999</v>
      </c>
      <c r="O215" s="385">
        <v>7836</v>
      </c>
      <c r="P215" s="382">
        <v>124.34</v>
      </c>
      <c r="Q215" s="382">
        <v>120.62</v>
      </c>
      <c r="R215" s="382">
        <v>47.1</v>
      </c>
      <c r="S215" s="382">
        <v>168.48</v>
      </c>
      <c r="T215" s="385">
        <v>1000</v>
      </c>
      <c r="U215" s="382">
        <v>205.81</v>
      </c>
      <c r="V215" s="385">
        <v>840</v>
      </c>
      <c r="W215" s="382">
        <v>257.47000000000003</v>
      </c>
      <c r="X215" s="385">
        <v>4</v>
      </c>
      <c r="Y215" s="382">
        <v>0</v>
      </c>
      <c r="Z215" s="382">
        <v>16</v>
      </c>
      <c r="AA215" s="382">
        <v>9</v>
      </c>
      <c r="AB215" s="382">
        <v>0</v>
      </c>
      <c r="AC215" s="382">
        <v>18</v>
      </c>
      <c r="AD215" s="382">
        <v>8766</v>
      </c>
      <c r="AE215" s="382">
        <v>49</v>
      </c>
      <c r="AF215" s="382">
        <v>90</v>
      </c>
      <c r="AG215" s="382">
        <v>139</v>
      </c>
    </row>
    <row r="216" spans="1:33" x14ac:dyDescent="0.3">
      <c r="A216" s="381" t="s">
        <v>490</v>
      </c>
      <c r="B216" s="381" t="s">
        <v>491</v>
      </c>
      <c r="C216" s="382">
        <v>728</v>
      </c>
      <c r="D216" s="382">
        <v>0</v>
      </c>
      <c r="E216" s="382">
        <v>118</v>
      </c>
      <c r="F216" s="382">
        <v>96</v>
      </c>
      <c r="G216" s="382">
        <v>65</v>
      </c>
      <c r="H216" s="382">
        <v>1007</v>
      </c>
      <c r="I216" s="382">
        <v>942</v>
      </c>
      <c r="J216" s="382">
        <v>1</v>
      </c>
      <c r="K216" s="382">
        <v>93.7</v>
      </c>
      <c r="L216" s="382">
        <v>90.29</v>
      </c>
      <c r="M216" s="382">
        <v>3.47</v>
      </c>
      <c r="N216" s="382">
        <v>96.31</v>
      </c>
      <c r="O216" s="385">
        <v>531</v>
      </c>
      <c r="P216" s="382">
        <v>109.28</v>
      </c>
      <c r="Q216" s="382">
        <v>101.27</v>
      </c>
      <c r="R216" s="382">
        <v>83.06</v>
      </c>
      <c r="S216" s="382">
        <v>185.2</v>
      </c>
      <c r="T216" s="385">
        <v>151</v>
      </c>
      <c r="U216" s="382">
        <v>108.75</v>
      </c>
      <c r="V216" s="385">
        <v>179</v>
      </c>
      <c r="W216" s="382">
        <v>319.12</v>
      </c>
      <c r="X216" s="385">
        <v>53</v>
      </c>
      <c r="Y216" s="382">
        <v>0</v>
      </c>
      <c r="Z216" s="382">
        <v>0</v>
      </c>
      <c r="AA216" s="382">
        <v>4</v>
      </c>
      <c r="AB216" s="382">
        <v>4</v>
      </c>
      <c r="AC216" s="382">
        <v>0</v>
      </c>
      <c r="AD216" s="382">
        <v>728</v>
      </c>
      <c r="AE216" s="382">
        <v>2</v>
      </c>
      <c r="AF216" s="382">
        <v>6</v>
      </c>
      <c r="AG216" s="382">
        <v>8</v>
      </c>
    </row>
    <row r="217" spans="1:33" x14ac:dyDescent="0.3">
      <c r="A217" s="381" t="s">
        <v>492</v>
      </c>
      <c r="B217" s="381" t="s">
        <v>493</v>
      </c>
      <c r="C217" s="382">
        <v>18042</v>
      </c>
      <c r="D217" s="382">
        <v>0</v>
      </c>
      <c r="E217" s="382">
        <v>677</v>
      </c>
      <c r="F217" s="382">
        <v>2016</v>
      </c>
      <c r="G217" s="382">
        <v>288</v>
      </c>
      <c r="H217" s="382">
        <v>21023</v>
      </c>
      <c r="I217" s="382">
        <v>20735</v>
      </c>
      <c r="J217" s="382">
        <v>12</v>
      </c>
      <c r="K217" s="382">
        <v>78.13</v>
      </c>
      <c r="L217" s="382">
        <v>77.58</v>
      </c>
      <c r="M217" s="382">
        <v>4.8600000000000003</v>
      </c>
      <c r="N217" s="382">
        <v>82.47</v>
      </c>
      <c r="O217" s="385">
        <v>15830</v>
      </c>
      <c r="P217" s="382">
        <v>78.42</v>
      </c>
      <c r="Q217" s="382">
        <v>72.34</v>
      </c>
      <c r="R217" s="382">
        <v>44.43</v>
      </c>
      <c r="S217" s="382">
        <v>120.35</v>
      </c>
      <c r="T217" s="385">
        <v>2468</v>
      </c>
      <c r="U217" s="382">
        <v>99.76</v>
      </c>
      <c r="V217" s="385">
        <v>2123</v>
      </c>
      <c r="W217" s="382">
        <v>258.27999999999997</v>
      </c>
      <c r="X217" s="385">
        <v>37</v>
      </c>
      <c r="Y217" s="382">
        <v>0</v>
      </c>
      <c r="Z217" s="382">
        <v>142</v>
      </c>
      <c r="AA217" s="382">
        <v>6</v>
      </c>
      <c r="AB217" s="382">
        <v>32</v>
      </c>
      <c r="AC217" s="382">
        <v>5</v>
      </c>
      <c r="AD217" s="382">
        <v>17855</v>
      </c>
      <c r="AE217" s="382">
        <v>77</v>
      </c>
      <c r="AF217" s="382">
        <v>250</v>
      </c>
      <c r="AG217" s="382">
        <v>327</v>
      </c>
    </row>
    <row r="218" spans="1:33" x14ac:dyDescent="0.3">
      <c r="A218" s="381" t="s">
        <v>494</v>
      </c>
      <c r="B218" s="381" t="s">
        <v>495</v>
      </c>
      <c r="C218" s="382">
        <v>2433</v>
      </c>
      <c r="D218" s="382">
        <v>0</v>
      </c>
      <c r="E218" s="382">
        <v>63</v>
      </c>
      <c r="F218" s="382">
        <v>695</v>
      </c>
      <c r="G218" s="382">
        <v>327</v>
      </c>
      <c r="H218" s="382">
        <v>3518</v>
      </c>
      <c r="I218" s="382">
        <v>3191</v>
      </c>
      <c r="J218" s="382">
        <v>4</v>
      </c>
      <c r="K218" s="382">
        <v>102.2</v>
      </c>
      <c r="L218" s="382">
        <v>102.31</v>
      </c>
      <c r="M218" s="382">
        <v>8.24</v>
      </c>
      <c r="N218" s="382">
        <v>106.64</v>
      </c>
      <c r="O218" s="385">
        <v>1760</v>
      </c>
      <c r="P218" s="382">
        <v>90.73</v>
      </c>
      <c r="Q218" s="382">
        <v>87</v>
      </c>
      <c r="R218" s="382">
        <v>45.09</v>
      </c>
      <c r="S218" s="382">
        <v>135.63999999999999</v>
      </c>
      <c r="T218" s="385">
        <v>752</v>
      </c>
      <c r="U218" s="382">
        <v>153.57</v>
      </c>
      <c r="V218" s="385">
        <v>671</v>
      </c>
      <c r="W218" s="382">
        <v>0</v>
      </c>
      <c r="X218" s="385">
        <v>0</v>
      </c>
      <c r="Y218" s="382">
        <v>0</v>
      </c>
      <c r="Z218" s="382">
        <v>2</v>
      </c>
      <c r="AA218" s="382">
        <v>1</v>
      </c>
      <c r="AB218" s="382">
        <v>42</v>
      </c>
      <c r="AC218" s="382">
        <v>5</v>
      </c>
      <c r="AD218" s="382">
        <v>2433</v>
      </c>
      <c r="AE218" s="382">
        <v>12</v>
      </c>
      <c r="AF218" s="382">
        <v>14</v>
      </c>
      <c r="AG218" s="382">
        <v>26</v>
      </c>
    </row>
    <row r="219" spans="1:33" x14ac:dyDescent="0.3">
      <c r="A219" s="381" t="s">
        <v>496</v>
      </c>
      <c r="B219" s="381" t="s">
        <v>497</v>
      </c>
      <c r="C219" s="382">
        <v>4166</v>
      </c>
      <c r="D219" s="382">
        <v>0</v>
      </c>
      <c r="E219" s="382">
        <v>93</v>
      </c>
      <c r="F219" s="382">
        <v>378</v>
      </c>
      <c r="G219" s="382">
        <v>33</v>
      </c>
      <c r="H219" s="382">
        <v>4670</v>
      </c>
      <c r="I219" s="382">
        <v>4637</v>
      </c>
      <c r="J219" s="382">
        <v>4</v>
      </c>
      <c r="K219" s="382">
        <v>75.63</v>
      </c>
      <c r="L219" s="382">
        <v>73.19</v>
      </c>
      <c r="M219" s="382">
        <v>5.8</v>
      </c>
      <c r="N219" s="382">
        <v>76.25</v>
      </c>
      <c r="O219" s="385">
        <v>3607</v>
      </c>
      <c r="P219" s="382">
        <v>89.83</v>
      </c>
      <c r="Q219" s="382">
        <v>79.45</v>
      </c>
      <c r="R219" s="382">
        <v>42.77</v>
      </c>
      <c r="S219" s="382">
        <v>129.81</v>
      </c>
      <c r="T219" s="385">
        <v>430</v>
      </c>
      <c r="U219" s="382">
        <v>94.87</v>
      </c>
      <c r="V219" s="385">
        <v>549</v>
      </c>
      <c r="W219" s="382">
        <v>0</v>
      </c>
      <c r="X219" s="385">
        <v>0</v>
      </c>
      <c r="Y219" s="382">
        <v>0</v>
      </c>
      <c r="Z219" s="382">
        <v>21</v>
      </c>
      <c r="AA219" s="382">
        <v>1</v>
      </c>
      <c r="AB219" s="382">
        <v>0</v>
      </c>
      <c r="AC219" s="382">
        <v>7</v>
      </c>
      <c r="AD219" s="382">
        <v>4161</v>
      </c>
      <c r="AE219" s="382">
        <v>18</v>
      </c>
      <c r="AF219" s="382">
        <v>12</v>
      </c>
      <c r="AG219" s="382">
        <v>30</v>
      </c>
    </row>
    <row r="220" spans="1:33" x14ac:dyDescent="0.3">
      <c r="A220" s="381" t="s">
        <v>498</v>
      </c>
      <c r="B220" s="381" t="s">
        <v>499</v>
      </c>
      <c r="C220" s="382">
        <v>3773</v>
      </c>
      <c r="D220" s="382">
        <v>0</v>
      </c>
      <c r="E220" s="382">
        <v>72</v>
      </c>
      <c r="F220" s="382">
        <v>685</v>
      </c>
      <c r="G220" s="382">
        <v>416</v>
      </c>
      <c r="H220" s="382">
        <v>4946</v>
      </c>
      <c r="I220" s="382">
        <v>4530</v>
      </c>
      <c r="J220" s="382">
        <v>6</v>
      </c>
      <c r="K220" s="382">
        <v>98.15</v>
      </c>
      <c r="L220" s="382">
        <v>96.9</v>
      </c>
      <c r="M220" s="382">
        <v>3.21</v>
      </c>
      <c r="N220" s="382">
        <v>100.78</v>
      </c>
      <c r="O220" s="385">
        <v>3134</v>
      </c>
      <c r="P220" s="382">
        <v>86.86</v>
      </c>
      <c r="Q220" s="382">
        <v>80.88</v>
      </c>
      <c r="R220" s="382">
        <v>45.42</v>
      </c>
      <c r="S220" s="382">
        <v>131.69</v>
      </c>
      <c r="T220" s="385">
        <v>621</v>
      </c>
      <c r="U220" s="382">
        <v>128.09</v>
      </c>
      <c r="V220" s="385">
        <v>635</v>
      </c>
      <c r="W220" s="382">
        <v>99.64</v>
      </c>
      <c r="X220" s="385">
        <v>6</v>
      </c>
      <c r="Y220" s="382">
        <v>0</v>
      </c>
      <c r="Z220" s="382">
        <v>6</v>
      </c>
      <c r="AA220" s="382">
        <v>7</v>
      </c>
      <c r="AB220" s="382">
        <v>83</v>
      </c>
      <c r="AC220" s="382">
        <v>11</v>
      </c>
      <c r="AD220" s="382">
        <v>3773</v>
      </c>
      <c r="AE220" s="382">
        <v>17</v>
      </c>
      <c r="AF220" s="382">
        <v>12</v>
      </c>
      <c r="AG220" s="382">
        <v>29</v>
      </c>
    </row>
    <row r="221" spans="1:33" x14ac:dyDescent="0.3">
      <c r="A221" s="381" t="s">
        <v>500</v>
      </c>
      <c r="B221" s="381" t="s">
        <v>501</v>
      </c>
      <c r="C221" s="382">
        <v>3487</v>
      </c>
      <c r="D221" s="382">
        <v>0</v>
      </c>
      <c r="E221" s="382">
        <v>492</v>
      </c>
      <c r="F221" s="382">
        <v>858</v>
      </c>
      <c r="G221" s="382">
        <v>344</v>
      </c>
      <c r="H221" s="382">
        <v>5181</v>
      </c>
      <c r="I221" s="382">
        <v>4837</v>
      </c>
      <c r="J221" s="382">
        <v>1</v>
      </c>
      <c r="K221" s="382">
        <v>83.92</v>
      </c>
      <c r="L221" s="382">
        <v>81.069999999999993</v>
      </c>
      <c r="M221" s="382">
        <v>7.73</v>
      </c>
      <c r="N221" s="382">
        <v>88.08</v>
      </c>
      <c r="O221" s="385">
        <v>2782</v>
      </c>
      <c r="P221" s="382">
        <v>93.93</v>
      </c>
      <c r="Q221" s="382">
        <v>74.739999999999995</v>
      </c>
      <c r="R221" s="382">
        <v>45.16</v>
      </c>
      <c r="S221" s="382">
        <v>135.34</v>
      </c>
      <c r="T221" s="385">
        <v>1275</v>
      </c>
      <c r="U221" s="382">
        <v>103.61</v>
      </c>
      <c r="V221" s="385">
        <v>604</v>
      </c>
      <c r="W221" s="382">
        <v>168.35</v>
      </c>
      <c r="X221" s="385">
        <v>42</v>
      </c>
      <c r="Y221" s="382">
        <v>0</v>
      </c>
      <c r="Z221" s="382">
        <v>0</v>
      </c>
      <c r="AA221" s="382">
        <v>5</v>
      </c>
      <c r="AB221" s="382">
        <v>7</v>
      </c>
      <c r="AC221" s="382">
        <v>5</v>
      </c>
      <c r="AD221" s="382">
        <v>3431</v>
      </c>
      <c r="AE221" s="382">
        <v>41</v>
      </c>
      <c r="AF221" s="382">
        <v>18</v>
      </c>
      <c r="AG221" s="382">
        <v>59</v>
      </c>
    </row>
    <row r="222" spans="1:33" x14ac:dyDescent="0.3">
      <c r="A222" s="381" t="s">
        <v>502</v>
      </c>
      <c r="B222" s="381" t="s">
        <v>503</v>
      </c>
      <c r="C222" s="382">
        <v>2675</v>
      </c>
      <c r="D222" s="382">
        <v>0</v>
      </c>
      <c r="E222" s="382">
        <v>35</v>
      </c>
      <c r="F222" s="382">
        <v>239</v>
      </c>
      <c r="G222" s="382">
        <v>745</v>
      </c>
      <c r="H222" s="382">
        <v>3694</v>
      </c>
      <c r="I222" s="382">
        <v>2949</v>
      </c>
      <c r="J222" s="382">
        <v>1</v>
      </c>
      <c r="K222" s="382">
        <v>102.4</v>
      </c>
      <c r="L222" s="382">
        <v>100.1</v>
      </c>
      <c r="M222" s="382">
        <v>6.04</v>
      </c>
      <c r="N222" s="382">
        <v>106.93</v>
      </c>
      <c r="O222" s="385">
        <v>2261</v>
      </c>
      <c r="P222" s="382">
        <v>102.31</v>
      </c>
      <c r="Q222" s="382">
        <v>92.66</v>
      </c>
      <c r="R222" s="382">
        <v>45.62</v>
      </c>
      <c r="S222" s="382">
        <v>147.13999999999999</v>
      </c>
      <c r="T222" s="385">
        <v>231</v>
      </c>
      <c r="U222" s="382">
        <v>131.5</v>
      </c>
      <c r="V222" s="385">
        <v>363</v>
      </c>
      <c r="W222" s="382">
        <v>0</v>
      </c>
      <c r="X222" s="385">
        <v>0</v>
      </c>
      <c r="Y222" s="382">
        <v>0</v>
      </c>
      <c r="Z222" s="382">
        <v>2</v>
      </c>
      <c r="AA222" s="382">
        <v>0</v>
      </c>
      <c r="AB222" s="382">
        <v>71</v>
      </c>
      <c r="AC222" s="382">
        <v>17</v>
      </c>
      <c r="AD222" s="382">
        <v>2626</v>
      </c>
      <c r="AE222" s="382">
        <v>34</v>
      </c>
      <c r="AF222" s="382">
        <v>40</v>
      </c>
      <c r="AG222" s="382">
        <v>74</v>
      </c>
    </row>
    <row r="223" spans="1:33" x14ac:dyDescent="0.3">
      <c r="A223" s="381" t="s">
        <v>504</v>
      </c>
      <c r="B223" s="381" t="s">
        <v>505</v>
      </c>
      <c r="C223" s="382">
        <v>1374</v>
      </c>
      <c r="D223" s="382">
        <v>282</v>
      </c>
      <c r="E223" s="382">
        <v>91</v>
      </c>
      <c r="F223" s="382">
        <v>286</v>
      </c>
      <c r="G223" s="382">
        <v>399</v>
      </c>
      <c r="H223" s="382">
        <v>2432</v>
      </c>
      <c r="I223" s="382">
        <v>2033</v>
      </c>
      <c r="J223" s="382">
        <v>8</v>
      </c>
      <c r="K223" s="382">
        <v>123.5</v>
      </c>
      <c r="L223" s="382">
        <v>120.7</v>
      </c>
      <c r="M223" s="382">
        <v>10.78</v>
      </c>
      <c r="N223" s="382">
        <v>132.63999999999999</v>
      </c>
      <c r="O223" s="385">
        <v>858</v>
      </c>
      <c r="P223" s="382">
        <v>116.42</v>
      </c>
      <c r="Q223" s="382">
        <v>107.36</v>
      </c>
      <c r="R223" s="382">
        <v>25.46</v>
      </c>
      <c r="S223" s="382">
        <v>141.07</v>
      </c>
      <c r="T223" s="385">
        <v>311</v>
      </c>
      <c r="U223" s="382">
        <v>212.03</v>
      </c>
      <c r="V223" s="385">
        <v>314</v>
      </c>
      <c r="W223" s="382">
        <v>169.12</v>
      </c>
      <c r="X223" s="385">
        <v>39</v>
      </c>
      <c r="Y223" s="382">
        <v>0</v>
      </c>
      <c r="Z223" s="382">
        <v>0</v>
      </c>
      <c r="AA223" s="382">
        <v>3</v>
      </c>
      <c r="AB223" s="382">
        <v>7</v>
      </c>
      <c r="AC223" s="382">
        <v>15</v>
      </c>
      <c r="AD223" s="382">
        <v>1314</v>
      </c>
      <c r="AE223" s="382">
        <v>15</v>
      </c>
      <c r="AF223" s="382">
        <v>38</v>
      </c>
      <c r="AG223" s="382">
        <v>53</v>
      </c>
    </row>
    <row r="224" spans="1:33" x14ac:dyDescent="0.3">
      <c r="A224" s="381" t="s">
        <v>506</v>
      </c>
      <c r="B224" s="381" t="s">
        <v>507</v>
      </c>
      <c r="C224" s="382">
        <v>3102</v>
      </c>
      <c r="D224" s="382">
        <v>0</v>
      </c>
      <c r="E224" s="382">
        <v>100</v>
      </c>
      <c r="F224" s="382">
        <v>1398</v>
      </c>
      <c r="G224" s="382">
        <v>567</v>
      </c>
      <c r="H224" s="382">
        <v>5167</v>
      </c>
      <c r="I224" s="382">
        <v>4600</v>
      </c>
      <c r="J224" s="382">
        <v>4</v>
      </c>
      <c r="K224" s="382">
        <v>98.35</v>
      </c>
      <c r="L224" s="382">
        <v>98.07</v>
      </c>
      <c r="M224" s="382">
        <v>5.14</v>
      </c>
      <c r="N224" s="382">
        <v>100.42</v>
      </c>
      <c r="O224" s="385">
        <v>2698</v>
      </c>
      <c r="P224" s="382">
        <v>97.17</v>
      </c>
      <c r="Q224" s="382">
        <v>93.4</v>
      </c>
      <c r="R224" s="382">
        <v>21.88</v>
      </c>
      <c r="S224" s="382">
        <v>118.74</v>
      </c>
      <c r="T224" s="385">
        <v>1472</v>
      </c>
      <c r="U224" s="382">
        <v>117.6</v>
      </c>
      <c r="V224" s="385">
        <v>396</v>
      </c>
      <c r="W224" s="382">
        <v>124.08</v>
      </c>
      <c r="X224" s="385">
        <v>11</v>
      </c>
      <c r="Y224" s="382">
        <v>21</v>
      </c>
      <c r="Z224" s="382">
        <v>9</v>
      </c>
      <c r="AA224" s="382">
        <v>0</v>
      </c>
      <c r="AB224" s="382">
        <v>72</v>
      </c>
      <c r="AC224" s="382">
        <v>27</v>
      </c>
      <c r="AD224" s="382">
        <v>3102</v>
      </c>
      <c r="AE224" s="382">
        <v>43</v>
      </c>
      <c r="AF224" s="382">
        <v>26</v>
      </c>
      <c r="AG224" s="382">
        <v>69</v>
      </c>
    </row>
    <row r="225" spans="1:33" x14ac:dyDescent="0.3">
      <c r="A225" s="381" t="s">
        <v>508</v>
      </c>
      <c r="B225" s="381" t="s">
        <v>509</v>
      </c>
      <c r="C225" s="382">
        <v>5810</v>
      </c>
      <c r="D225" s="382">
        <v>11</v>
      </c>
      <c r="E225" s="382">
        <v>231</v>
      </c>
      <c r="F225" s="382">
        <v>648</v>
      </c>
      <c r="G225" s="382">
        <v>606</v>
      </c>
      <c r="H225" s="382">
        <v>7306</v>
      </c>
      <c r="I225" s="382">
        <v>6700</v>
      </c>
      <c r="J225" s="382">
        <v>8</v>
      </c>
      <c r="K225" s="382">
        <v>113.91</v>
      </c>
      <c r="L225" s="382">
        <v>110.11</v>
      </c>
      <c r="M225" s="382">
        <v>9.86</v>
      </c>
      <c r="N225" s="382">
        <v>119.26</v>
      </c>
      <c r="O225" s="385">
        <v>4485</v>
      </c>
      <c r="P225" s="382">
        <v>98.58</v>
      </c>
      <c r="Q225" s="382">
        <v>90.82</v>
      </c>
      <c r="R225" s="382">
        <v>47.21</v>
      </c>
      <c r="S225" s="382">
        <v>145.62</v>
      </c>
      <c r="T225" s="385">
        <v>832</v>
      </c>
      <c r="U225" s="382">
        <v>163.11000000000001</v>
      </c>
      <c r="V225" s="385">
        <v>1172</v>
      </c>
      <c r="W225" s="382">
        <v>161.66</v>
      </c>
      <c r="X225" s="385">
        <v>38</v>
      </c>
      <c r="Y225" s="382">
        <v>0</v>
      </c>
      <c r="Z225" s="382">
        <v>5</v>
      </c>
      <c r="AA225" s="382">
        <v>6</v>
      </c>
      <c r="AB225" s="382">
        <v>43</v>
      </c>
      <c r="AC225" s="382">
        <v>20</v>
      </c>
      <c r="AD225" s="382">
        <v>5473</v>
      </c>
      <c r="AE225" s="382">
        <v>30</v>
      </c>
      <c r="AF225" s="382">
        <v>44</v>
      </c>
      <c r="AG225" s="382">
        <v>74</v>
      </c>
    </row>
    <row r="226" spans="1:33" x14ac:dyDescent="0.3">
      <c r="A226" s="381" t="s">
        <v>510</v>
      </c>
      <c r="B226" s="381" t="s">
        <v>511</v>
      </c>
      <c r="C226" s="382">
        <v>1508</v>
      </c>
      <c r="D226" s="382">
        <v>0</v>
      </c>
      <c r="E226" s="382">
        <v>40</v>
      </c>
      <c r="F226" s="382">
        <v>288</v>
      </c>
      <c r="G226" s="382">
        <v>210</v>
      </c>
      <c r="H226" s="382">
        <v>2046</v>
      </c>
      <c r="I226" s="382">
        <v>1836</v>
      </c>
      <c r="J226" s="382">
        <v>7</v>
      </c>
      <c r="K226" s="382">
        <v>92.67</v>
      </c>
      <c r="L226" s="382">
        <v>95.46</v>
      </c>
      <c r="M226" s="382">
        <v>6.59</v>
      </c>
      <c r="N226" s="382">
        <v>95.45</v>
      </c>
      <c r="O226" s="385">
        <v>1244</v>
      </c>
      <c r="P226" s="382">
        <v>90.42</v>
      </c>
      <c r="Q226" s="382">
        <v>82.75</v>
      </c>
      <c r="R226" s="382">
        <v>40.1</v>
      </c>
      <c r="S226" s="382">
        <v>124.46</v>
      </c>
      <c r="T226" s="385">
        <v>225</v>
      </c>
      <c r="U226" s="382">
        <v>117.17</v>
      </c>
      <c r="V226" s="385">
        <v>233</v>
      </c>
      <c r="W226" s="382">
        <v>0</v>
      </c>
      <c r="X226" s="385">
        <v>0</v>
      </c>
      <c r="Y226" s="382">
        <v>0</v>
      </c>
      <c r="Z226" s="382">
        <v>7</v>
      </c>
      <c r="AA226" s="382">
        <v>5</v>
      </c>
      <c r="AB226" s="382">
        <v>2</v>
      </c>
      <c r="AC226" s="382">
        <v>9</v>
      </c>
      <c r="AD226" s="382">
        <v>1495</v>
      </c>
      <c r="AE226" s="382">
        <v>2</v>
      </c>
      <c r="AF226" s="382">
        <v>14</v>
      </c>
      <c r="AG226" s="382">
        <v>16</v>
      </c>
    </row>
    <row r="227" spans="1:33" x14ac:dyDescent="0.3">
      <c r="A227" s="381" t="s">
        <v>512</v>
      </c>
      <c r="B227" s="381" t="s">
        <v>513</v>
      </c>
      <c r="C227" s="382">
        <v>3216</v>
      </c>
      <c r="D227" s="382">
        <v>8</v>
      </c>
      <c r="E227" s="382">
        <v>30</v>
      </c>
      <c r="F227" s="382">
        <v>145</v>
      </c>
      <c r="G227" s="382">
        <v>142</v>
      </c>
      <c r="H227" s="382">
        <v>3541</v>
      </c>
      <c r="I227" s="382">
        <v>3399</v>
      </c>
      <c r="J227" s="382">
        <v>2</v>
      </c>
      <c r="K227" s="382">
        <v>92.2</v>
      </c>
      <c r="L227" s="382">
        <v>88.42</v>
      </c>
      <c r="M227" s="382">
        <v>4</v>
      </c>
      <c r="N227" s="382">
        <v>93.8</v>
      </c>
      <c r="O227" s="385">
        <v>2040</v>
      </c>
      <c r="P227" s="382">
        <v>84.46</v>
      </c>
      <c r="Q227" s="382">
        <v>81.2</v>
      </c>
      <c r="R227" s="382">
        <v>54.75</v>
      </c>
      <c r="S227" s="382">
        <v>138.52000000000001</v>
      </c>
      <c r="T227" s="385">
        <v>159</v>
      </c>
      <c r="U227" s="382">
        <v>102.95</v>
      </c>
      <c r="V227" s="385">
        <v>1116</v>
      </c>
      <c r="W227" s="382">
        <v>0</v>
      </c>
      <c r="X227" s="385">
        <v>0</v>
      </c>
      <c r="Y227" s="382">
        <v>0</v>
      </c>
      <c r="Z227" s="382">
        <v>1</v>
      </c>
      <c r="AA227" s="382">
        <v>6</v>
      </c>
      <c r="AB227" s="382">
        <v>11</v>
      </c>
      <c r="AC227" s="382">
        <v>0</v>
      </c>
      <c r="AD227" s="382">
        <v>3191</v>
      </c>
      <c r="AE227" s="382">
        <v>47</v>
      </c>
      <c r="AF227" s="382">
        <v>10</v>
      </c>
      <c r="AG227" s="382">
        <v>57</v>
      </c>
    </row>
    <row r="228" spans="1:33" x14ac:dyDescent="0.3">
      <c r="A228" s="381" t="s">
        <v>514</v>
      </c>
      <c r="B228" s="381" t="s">
        <v>515</v>
      </c>
      <c r="C228" s="382">
        <v>26903</v>
      </c>
      <c r="D228" s="382">
        <v>14</v>
      </c>
      <c r="E228" s="382">
        <v>1598</v>
      </c>
      <c r="F228" s="382">
        <v>1357</v>
      </c>
      <c r="G228" s="382">
        <v>397</v>
      </c>
      <c r="H228" s="382">
        <v>30269</v>
      </c>
      <c r="I228" s="382">
        <v>29872</v>
      </c>
      <c r="J228" s="382">
        <v>3</v>
      </c>
      <c r="K228" s="382">
        <v>80.180000000000007</v>
      </c>
      <c r="L228" s="382">
        <v>80.150000000000006</v>
      </c>
      <c r="M228" s="382">
        <v>8.94</v>
      </c>
      <c r="N228" s="382">
        <v>84.34</v>
      </c>
      <c r="O228" s="385">
        <v>24214</v>
      </c>
      <c r="P228" s="382">
        <v>82.66</v>
      </c>
      <c r="Q228" s="382">
        <v>75.28</v>
      </c>
      <c r="R228" s="382">
        <v>39.06</v>
      </c>
      <c r="S228" s="382">
        <v>120.67</v>
      </c>
      <c r="T228" s="385">
        <v>2661</v>
      </c>
      <c r="U228" s="382">
        <v>113.38</v>
      </c>
      <c r="V228" s="385">
        <v>2366</v>
      </c>
      <c r="W228" s="382">
        <v>167.42</v>
      </c>
      <c r="X228" s="385">
        <v>65</v>
      </c>
      <c r="Y228" s="382">
        <v>0</v>
      </c>
      <c r="Z228" s="382">
        <v>143</v>
      </c>
      <c r="AA228" s="382">
        <v>29</v>
      </c>
      <c r="AB228" s="382">
        <v>11</v>
      </c>
      <c r="AC228" s="382">
        <v>23</v>
      </c>
      <c r="AD228" s="382">
        <v>26799</v>
      </c>
      <c r="AE228" s="382">
        <v>78</v>
      </c>
      <c r="AF228" s="382">
        <v>164</v>
      </c>
      <c r="AG228" s="382">
        <v>242</v>
      </c>
    </row>
    <row r="229" spans="1:33" x14ac:dyDescent="0.3">
      <c r="A229" s="381" t="s">
        <v>516</v>
      </c>
      <c r="B229" s="381" t="s">
        <v>517</v>
      </c>
      <c r="C229" s="382">
        <v>5983</v>
      </c>
      <c r="D229" s="382">
        <v>11</v>
      </c>
      <c r="E229" s="382">
        <v>481</v>
      </c>
      <c r="F229" s="382">
        <v>1039</v>
      </c>
      <c r="G229" s="382">
        <v>582</v>
      </c>
      <c r="H229" s="382">
        <v>8096</v>
      </c>
      <c r="I229" s="382">
        <v>7514</v>
      </c>
      <c r="J229" s="382">
        <v>1</v>
      </c>
      <c r="K229" s="382">
        <v>91.46</v>
      </c>
      <c r="L229" s="382">
        <v>89.41</v>
      </c>
      <c r="M229" s="382">
        <v>7.76</v>
      </c>
      <c r="N229" s="382">
        <v>97.55</v>
      </c>
      <c r="O229" s="385">
        <v>4483</v>
      </c>
      <c r="P229" s="382">
        <v>99.79</v>
      </c>
      <c r="Q229" s="382">
        <v>87.99</v>
      </c>
      <c r="R229" s="382">
        <v>50.82</v>
      </c>
      <c r="S229" s="382">
        <v>148.63</v>
      </c>
      <c r="T229" s="385">
        <v>1260</v>
      </c>
      <c r="U229" s="382">
        <v>116</v>
      </c>
      <c r="V229" s="385">
        <v>997</v>
      </c>
      <c r="W229" s="382">
        <v>246.45</v>
      </c>
      <c r="X229" s="385">
        <v>97</v>
      </c>
      <c r="Y229" s="382">
        <v>0</v>
      </c>
      <c r="Z229" s="382">
        <v>5</v>
      </c>
      <c r="AA229" s="382">
        <v>9</v>
      </c>
      <c r="AB229" s="382">
        <v>0</v>
      </c>
      <c r="AC229" s="382">
        <v>15</v>
      </c>
      <c r="AD229" s="382">
        <v>5754</v>
      </c>
      <c r="AE229" s="382">
        <v>27</v>
      </c>
      <c r="AF229" s="382">
        <v>23</v>
      </c>
      <c r="AG229" s="382">
        <v>50</v>
      </c>
    </row>
    <row r="230" spans="1:33" x14ac:dyDescent="0.3">
      <c r="A230" s="381" t="s">
        <v>518</v>
      </c>
      <c r="B230" s="381" t="s">
        <v>519</v>
      </c>
      <c r="C230" s="382">
        <v>6245</v>
      </c>
      <c r="D230" s="382">
        <v>0</v>
      </c>
      <c r="E230" s="382">
        <v>214</v>
      </c>
      <c r="F230" s="382">
        <v>670</v>
      </c>
      <c r="G230" s="382">
        <v>525</v>
      </c>
      <c r="H230" s="382">
        <v>7654</v>
      </c>
      <c r="I230" s="382">
        <v>7129</v>
      </c>
      <c r="J230" s="382">
        <v>1</v>
      </c>
      <c r="K230" s="382">
        <v>86.09</v>
      </c>
      <c r="L230" s="382">
        <v>85.46</v>
      </c>
      <c r="M230" s="382">
        <v>3.94</v>
      </c>
      <c r="N230" s="382">
        <v>87.74</v>
      </c>
      <c r="O230" s="385">
        <v>5383</v>
      </c>
      <c r="P230" s="382">
        <v>91.51</v>
      </c>
      <c r="Q230" s="382">
        <v>85.78</v>
      </c>
      <c r="R230" s="382">
        <v>39.340000000000003</v>
      </c>
      <c r="S230" s="382">
        <v>130.24</v>
      </c>
      <c r="T230" s="385">
        <v>647</v>
      </c>
      <c r="U230" s="382">
        <v>106.99</v>
      </c>
      <c r="V230" s="385">
        <v>837</v>
      </c>
      <c r="W230" s="382">
        <v>151.32</v>
      </c>
      <c r="X230" s="385">
        <v>150</v>
      </c>
      <c r="Y230" s="382">
        <v>0</v>
      </c>
      <c r="Z230" s="382">
        <v>19</v>
      </c>
      <c r="AA230" s="382">
        <v>0</v>
      </c>
      <c r="AB230" s="382">
        <v>62</v>
      </c>
      <c r="AC230" s="382">
        <v>9</v>
      </c>
      <c r="AD230" s="382">
        <v>6190</v>
      </c>
      <c r="AE230" s="382">
        <v>48</v>
      </c>
      <c r="AF230" s="382">
        <v>37</v>
      </c>
      <c r="AG230" s="382">
        <v>85</v>
      </c>
    </row>
    <row r="231" spans="1:33" x14ac:dyDescent="0.3">
      <c r="A231" s="381" t="s">
        <v>520</v>
      </c>
      <c r="B231" s="381" t="s">
        <v>521</v>
      </c>
      <c r="C231" s="382">
        <v>3014</v>
      </c>
      <c r="D231" s="382">
        <v>0</v>
      </c>
      <c r="E231" s="382">
        <v>279</v>
      </c>
      <c r="F231" s="382">
        <v>97</v>
      </c>
      <c r="G231" s="382">
        <v>369</v>
      </c>
      <c r="H231" s="382">
        <v>3759</v>
      </c>
      <c r="I231" s="382">
        <v>3390</v>
      </c>
      <c r="J231" s="382">
        <v>0</v>
      </c>
      <c r="K231" s="382">
        <v>94.23</v>
      </c>
      <c r="L231" s="382">
        <v>91.2</v>
      </c>
      <c r="M231" s="382">
        <v>4.75</v>
      </c>
      <c r="N231" s="382">
        <v>98.36</v>
      </c>
      <c r="O231" s="385">
        <v>1531</v>
      </c>
      <c r="P231" s="382">
        <v>93.58</v>
      </c>
      <c r="Q231" s="382">
        <v>78.040000000000006</v>
      </c>
      <c r="R231" s="382">
        <v>53.99</v>
      </c>
      <c r="S231" s="382">
        <v>147.57</v>
      </c>
      <c r="T231" s="385">
        <v>210</v>
      </c>
      <c r="U231" s="382">
        <v>121.47</v>
      </c>
      <c r="V231" s="385">
        <v>711</v>
      </c>
      <c r="W231" s="382">
        <v>0</v>
      </c>
      <c r="X231" s="385">
        <v>0</v>
      </c>
      <c r="Y231" s="382">
        <v>7</v>
      </c>
      <c r="Z231" s="382">
        <v>0</v>
      </c>
      <c r="AA231" s="382">
        <v>2</v>
      </c>
      <c r="AB231" s="382">
        <v>50</v>
      </c>
      <c r="AC231" s="382">
        <v>10</v>
      </c>
      <c r="AD231" s="382">
        <v>2126</v>
      </c>
      <c r="AE231" s="382">
        <v>5</v>
      </c>
      <c r="AF231" s="382">
        <v>3</v>
      </c>
      <c r="AG231" s="382">
        <v>8</v>
      </c>
    </row>
    <row r="232" spans="1:33" x14ac:dyDescent="0.3">
      <c r="A232" s="381" t="s">
        <v>522</v>
      </c>
      <c r="B232" s="381" t="s">
        <v>523</v>
      </c>
      <c r="C232" s="382">
        <v>15474</v>
      </c>
      <c r="D232" s="382">
        <v>0</v>
      </c>
      <c r="E232" s="382">
        <v>1706</v>
      </c>
      <c r="F232" s="382">
        <v>1619</v>
      </c>
      <c r="G232" s="382">
        <v>791</v>
      </c>
      <c r="H232" s="382">
        <v>19590</v>
      </c>
      <c r="I232" s="382">
        <v>18799</v>
      </c>
      <c r="J232" s="382">
        <v>19</v>
      </c>
      <c r="K232" s="382">
        <v>88.62</v>
      </c>
      <c r="L232" s="382">
        <v>86.07</v>
      </c>
      <c r="M232" s="382">
        <v>11.77</v>
      </c>
      <c r="N232" s="382">
        <v>92.86</v>
      </c>
      <c r="O232" s="385">
        <v>13547</v>
      </c>
      <c r="P232" s="382">
        <v>82.67</v>
      </c>
      <c r="Q232" s="382">
        <v>77.03</v>
      </c>
      <c r="R232" s="382">
        <v>37.94</v>
      </c>
      <c r="S232" s="382">
        <v>119.09</v>
      </c>
      <c r="T232" s="385">
        <v>2979</v>
      </c>
      <c r="U232" s="382">
        <v>107.13</v>
      </c>
      <c r="V232" s="385">
        <v>1341</v>
      </c>
      <c r="W232" s="382">
        <v>129.52000000000001</v>
      </c>
      <c r="X232" s="385">
        <v>18</v>
      </c>
      <c r="Y232" s="382">
        <v>0</v>
      </c>
      <c r="Z232" s="382">
        <v>71</v>
      </c>
      <c r="AA232" s="382">
        <v>4</v>
      </c>
      <c r="AB232" s="382">
        <v>28</v>
      </c>
      <c r="AC232" s="382">
        <v>8</v>
      </c>
      <c r="AD232" s="382">
        <v>15066</v>
      </c>
      <c r="AE232" s="382">
        <v>55</v>
      </c>
      <c r="AF232" s="382">
        <v>31</v>
      </c>
      <c r="AG232" s="382">
        <v>86</v>
      </c>
    </row>
    <row r="233" spans="1:33" x14ac:dyDescent="0.3">
      <c r="A233" s="381" t="s">
        <v>524</v>
      </c>
      <c r="B233" s="381" t="s">
        <v>525</v>
      </c>
      <c r="C233" s="382">
        <v>1892</v>
      </c>
      <c r="D233" s="382">
        <v>0</v>
      </c>
      <c r="E233" s="382">
        <v>38</v>
      </c>
      <c r="F233" s="382">
        <v>195</v>
      </c>
      <c r="G233" s="382">
        <v>477</v>
      </c>
      <c r="H233" s="382">
        <v>2602</v>
      </c>
      <c r="I233" s="382">
        <v>2125</v>
      </c>
      <c r="J233" s="382">
        <v>0</v>
      </c>
      <c r="K233" s="382">
        <v>94.48</v>
      </c>
      <c r="L233" s="382">
        <v>87.43</v>
      </c>
      <c r="M233" s="382">
        <v>5.68</v>
      </c>
      <c r="N233" s="382">
        <v>98.32</v>
      </c>
      <c r="O233" s="385">
        <v>1104</v>
      </c>
      <c r="P233" s="382">
        <v>106.4</v>
      </c>
      <c r="Q233" s="382">
        <v>95.15</v>
      </c>
      <c r="R233" s="382">
        <v>59.96</v>
      </c>
      <c r="S233" s="382">
        <v>165.84</v>
      </c>
      <c r="T233" s="385">
        <v>233</v>
      </c>
      <c r="U233" s="382">
        <v>116.21</v>
      </c>
      <c r="V233" s="385">
        <v>588</v>
      </c>
      <c r="W233" s="382">
        <v>0</v>
      </c>
      <c r="X233" s="385">
        <v>0</v>
      </c>
      <c r="Y233" s="382">
        <v>2</v>
      </c>
      <c r="Z233" s="382">
        <v>0</v>
      </c>
      <c r="AA233" s="382">
        <v>3</v>
      </c>
      <c r="AB233" s="382">
        <v>65</v>
      </c>
      <c r="AC233" s="382">
        <v>12</v>
      </c>
      <c r="AD233" s="382">
        <v>1852</v>
      </c>
      <c r="AE233" s="382">
        <v>13</v>
      </c>
      <c r="AF233" s="382">
        <v>4</v>
      </c>
      <c r="AG233" s="382">
        <v>17</v>
      </c>
    </row>
    <row r="234" spans="1:33" x14ac:dyDescent="0.3">
      <c r="A234" s="381" t="s">
        <v>526</v>
      </c>
      <c r="B234" s="381" t="s">
        <v>527</v>
      </c>
      <c r="C234" s="382">
        <v>5532</v>
      </c>
      <c r="D234" s="382">
        <v>0</v>
      </c>
      <c r="E234" s="382">
        <v>84</v>
      </c>
      <c r="F234" s="382">
        <v>1072</v>
      </c>
      <c r="G234" s="382">
        <v>893</v>
      </c>
      <c r="H234" s="382">
        <v>7581</v>
      </c>
      <c r="I234" s="382">
        <v>6688</v>
      </c>
      <c r="J234" s="382">
        <v>207</v>
      </c>
      <c r="K234" s="382">
        <v>109.66</v>
      </c>
      <c r="L234" s="382">
        <v>106.1</v>
      </c>
      <c r="M234" s="382">
        <v>4.33</v>
      </c>
      <c r="N234" s="382">
        <v>112.41</v>
      </c>
      <c r="O234" s="385">
        <v>5180</v>
      </c>
      <c r="P234" s="382">
        <v>94.71</v>
      </c>
      <c r="Q234" s="382">
        <v>89.97</v>
      </c>
      <c r="R234" s="382">
        <v>23.65</v>
      </c>
      <c r="S234" s="382">
        <v>117.91</v>
      </c>
      <c r="T234" s="385">
        <v>903</v>
      </c>
      <c r="U234" s="382">
        <v>166.2</v>
      </c>
      <c r="V234" s="385">
        <v>318</v>
      </c>
      <c r="W234" s="382">
        <v>144.11000000000001</v>
      </c>
      <c r="X234" s="385">
        <v>102</v>
      </c>
      <c r="Y234" s="382">
        <v>0</v>
      </c>
      <c r="Z234" s="382">
        <v>2</v>
      </c>
      <c r="AA234" s="382">
        <v>0</v>
      </c>
      <c r="AB234" s="382">
        <v>14</v>
      </c>
      <c r="AC234" s="382">
        <v>17</v>
      </c>
      <c r="AD234" s="382">
        <v>5520</v>
      </c>
      <c r="AE234" s="382">
        <v>23</v>
      </c>
      <c r="AF234" s="382">
        <v>13</v>
      </c>
      <c r="AG234" s="382">
        <v>36</v>
      </c>
    </row>
    <row r="235" spans="1:33" x14ac:dyDescent="0.3">
      <c r="A235" s="381" t="s">
        <v>528</v>
      </c>
      <c r="B235" s="381" t="s">
        <v>529</v>
      </c>
      <c r="C235" s="382">
        <v>15420</v>
      </c>
      <c r="D235" s="382">
        <v>2</v>
      </c>
      <c r="E235" s="382">
        <v>1375</v>
      </c>
      <c r="F235" s="382">
        <v>1123</v>
      </c>
      <c r="G235" s="382">
        <v>477</v>
      </c>
      <c r="H235" s="382">
        <v>18397</v>
      </c>
      <c r="I235" s="382">
        <v>17920</v>
      </c>
      <c r="J235" s="382">
        <v>2</v>
      </c>
      <c r="K235" s="382">
        <v>82.08</v>
      </c>
      <c r="L235" s="382">
        <v>80.52</v>
      </c>
      <c r="M235" s="382">
        <v>8.3800000000000008</v>
      </c>
      <c r="N235" s="382">
        <v>84.85</v>
      </c>
      <c r="O235" s="385">
        <v>12824</v>
      </c>
      <c r="P235" s="382">
        <v>88.01</v>
      </c>
      <c r="Q235" s="382">
        <v>77.72</v>
      </c>
      <c r="R235" s="382">
        <v>55.2</v>
      </c>
      <c r="S235" s="382">
        <v>142.25</v>
      </c>
      <c r="T235" s="385">
        <v>2188</v>
      </c>
      <c r="U235" s="382">
        <v>101.2</v>
      </c>
      <c r="V235" s="385">
        <v>2327</v>
      </c>
      <c r="W235" s="382">
        <v>140.41999999999999</v>
      </c>
      <c r="X235" s="385">
        <v>13</v>
      </c>
      <c r="Y235" s="382">
        <v>0</v>
      </c>
      <c r="Z235" s="382">
        <v>41</v>
      </c>
      <c r="AA235" s="382">
        <v>12</v>
      </c>
      <c r="AB235" s="382">
        <v>33</v>
      </c>
      <c r="AC235" s="382">
        <v>4</v>
      </c>
      <c r="AD235" s="382">
        <v>15314</v>
      </c>
      <c r="AE235" s="382">
        <v>104</v>
      </c>
      <c r="AF235" s="382">
        <v>87</v>
      </c>
      <c r="AG235" s="382">
        <v>191</v>
      </c>
    </row>
    <row r="236" spans="1:33" x14ac:dyDescent="0.3">
      <c r="A236" s="381" t="s">
        <v>530</v>
      </c>
      <c r="B236" s="381" t="s">
        <v>531</v>
      </c>
      <c r="C236" s="382">
        <v>12755</v>
      </c>
      <c r="D236" s="382">
        <v>24</v>
      </c>
      <c r="E236" s="382">
        <v>401</v>
      </c>
      <c r="F236" s="382">
        <v>1742</v>
      </c>
      <c r="G236" s="382">
        <v>1103</v>
      </c>
      <c r="H236" s="382">
        <v>16025</v>
      </c>
      <c r="I236" s="382">
        <v>14922</v>
      </c>
      <c r="J236" s="382">
        <v>0</v>
      </c>
      <c r="K236" s="382">
        <v>90.36</v>
      </c>
      <c r="L236" s="382">
        <v>88.29</v>
      </c>
      <c r="M236" s="382">
        <v>3.52</v>
      </c>
      <c r="N236" s="382">
        <v>92.26</v>
      </c>
      <c r="O236" s="385">
        <v>9959</v>
      </c>
      <c r="P236" s="382">
        <v>87.5</v>
      </c>
      <c r="Q236" s="382">
        <v>80.89</v>
      </c>
      <c r="R236" s="382">
        <v>25.43</v>
      </c>
      <c r="S236" s="382">
        <v>112.73</v>
      </c>
      <c r="T236" s="385">
        <v>1628</v>
      </c>
      <c r="U236" s="382">
        <v>110.56</v>
      </c>
      <c r="V236" s="385">
        <v>1994</v>
      </c>
      <c r="W236" s="382">
        <v>199.33</v>
      </c>
      <c r="X236" s="385">
        <v>411</v>
      </c>
      <c r="Y236" s="382">
        <v>0</v>
      </c>
      <c r="Z236" s="382">
        <v>25</v>
      </c>
      <c r="AA236" s="382">
        <v>12</v>
      </c>
      <c r="AB236" s="382">
        <v>73</v>
      </c>
      <c r="AC236" s="382">
        <v>13</v>
      </c>
      <c r="AD236" s="382">
        <v>12463</v>
      </c>
      <c r="AE236" s="382">
        <v>62</v>
      </c>
      <c r="AF236" s="382">
        <v>162</v>
      </c>
      <c r="AG236" s="382">
        <v>224</v>
      </c>
    </row>
    <row r="237" spans="1:33" x14ac:dyDescent="0.3">
      <c r="A237" s="381" t="s">
        <v>532</v>
      </c>
      <c r="B237" s="381" t="s">
        <v>533</v>
      </c>
      <c r="C237" s="382">
        <v>3562</v>
      </c>
      <c r="D237" s="382">
        <v>24</v>
      </c>
      <c r="E237" s="382">
        <v>363</v>
      </c>
      <c r="F237" s="382">
        <v>230</v>
      </c>
      <c r="G237" s="382">
        <v>442</v>
      </c>
      <c r="H237" s="382">
        <v>4621</v>
      </c>
      <c r="I237" s="382">
        <v>4179</v>
      </c>
      <c r="J237" s="382">
        <v>9</v>
      </c>
      <c r="K237" s="382">
        <v>123.47</v>
      </c>
      <c r="L237" s="382">
        <v>122.15</v>
      </c>
      <c r="M237" s="382">
        <v>8.4700000000000006</v>
      </c>
      <c r="N237" s="382">
        <v>130.72</v>
      </c>
      <c r="O237" s="385">
        <v>3191</v>
      </c>
      <c r="P237" s="382">
        <v>111.37</v>
      </c>
      <c r="Q237" s="382">
        <v>100.71</v>
      </c>
      <c r="R237" s="382">
        <v>59.9</v>
      </c>
      <c r="S237" s="382">
        <v>159.1</v>
      </c>
      <c r="T237" s="385">
        <v>482</v>
      </c>
      <c r="U237" s="382">
        <v>152.87</v>
      </c>
      <c r="V237" s="385">
        <v>177</v>
      </c>
      <c r="W237" s="382">
        <v>0</v>
      </c>
      <c r="X237" s="385">
        <v>0</v>
      </c>
      <c r="Y237" s="382">
        <v>282</v>
      </c>
      <c r="Z237" s="382">
        <v>5</v>
      </c>
      <c r="AA237" s="382">
        <v>0</v>
      </c>
      <c r="AB237" s="382">
        <v>0</v>
      </c>
      <c r="AC237" s="382">
        <v>18</v>
      </c>
      <c r="AD237" s="382">
        <v>3414</v>
      </c>
      <c r="AE237" s="382">
        <v>20</v>
      </c>
      <c r="AF237" s="382">
        <v>22</v>
      </c>
      <c r="AG237" s="382">
        <v>42</v>
      </c>
    </row>
    <row r="238" spans="1:33" x14ac:dyDescent="0.3">
      <c r="A238" s="381" t="s">
        <v>534</v>
      </c>
      <c r="B238" s="381" t="s">
        <v>535</v>
      </c>
      <c r="C238" s="382">
        <v>2719</v>
      </c>
      <c r="D238" s="382">
        <v>0</v>
      </c>
      <c r="E238" s="382">
        <v>238</v>
      </c>
      <c r="F238" s="382">
        <v>607</v>
      </c>
      <c r="G238" s="382">
        <v>615</v>
      </c>
      <c r="H238" s="382">
        <v>4179</v>
      </c>
      <c r="I238" s="382">
        <v>3564</v>
      </c>
      <c r="J238" s="382">
        <v>1</v>
      </c>
      <c r="K238" s="382">
        <v>106.55</v>
      </c>
      <c r="L238" s="382">
        <v>105</v>
      </c>
      <c r="M238" s="382">
        <v>5.63</v>
      </c>
      <c r="N238" s="382">
        <v>111.04</v>
      </c>
      <c r="O238" s="385">
        <v>2082</v>
      </c>
      <c r="P238" s="382">
        <v>94.87</v>
      </c>
      <c r="Q238" s="382">
        <v>86.64</v>
      </c>
      <c r="R238" s="382">
        <v>60.12</v>
      </c>
      <c r="S238" s="382">
        <v>152.57</v>
      </c>
      <c r="T238" s="385">
        <v>471</v>
      </c>
      <c r="U238" s="382">
        <v>117.04</v>
      </c>
      <c r="V238" s="385">
        <v>601</v>
      </c>
      <c r="W238" s="382">
        <v>228.23</v>
      </c>
      <c r="X238" s="385">
        <v>38</v>
      </c>
      <c r="Y238" s="382">
        <v>0</v>
      </c>
      <c r="Z238" s="382">
        <v>2</v>
      </c>
      <c r="AA238" s="382">
        <v>10</v>
      </c>
      <c r="AB238" s="382">
        <v>46</v>
      </c>
      <c r="AC238" s="382">
        <v>20</v>
      </c>
      <c r="AD238" s="382">
        <v>2682</v>
      </c>
      <c r="AE238" s="382">
        <v>11</v>
      </c>
      <c r="AF238" s="382">
        <v>1</v>
      </c>
      <c r="AG238" s="382">
        <v>12</v>
      </c>
    </row>
    <row r="239" spans="1:33" x14ac:dyDescent="0.3">
      <c r="A239" s="381" t="s">
        <v>536</v>
      </c>
      <c r="B239" s="381" t="s">
        <v>537</v>
      </c>
      <c r="C239" s="382">
        <v>4175</v>
      </c>
      <c r="D239" s="382">
        <v>0</v>
      </c>
      <c r="E239" s="382">
        <v>410</v>
      </c>
      <c r="F239" s="382">
        <v>883</v>
      </c>
      <c r="G239" s="382">
        <v>666</v>
      </c>
      <c r="H239" s="382">
        <v>6134</v>
      </c>
      <c r="I239" s="382">
        <v>5468</v>
      </c>
      <c r="J239" s="382">
        <v>1</v>
      </c>
      <c r="K239" s="382">
        <v>98.41</v>
      </c>
      <c r="L239" s="382">
        <v>96.74</v>
      </c>
      <c r="M239" s="382">
        <v>4.8</v>
      </c>
      <c r="N239" s="382">
        <v>102.4</v>
      </c>
      <c r="O239" s="385">
        <v>3374</v>
      </c>
      <c r="P239" s="382">
        <v>93.73</v>
      </c>
      <c r="Q239" s="382">
        <v>89.81</v>
      </c>
      <c r="R239" s="382">
        <v>40.56</v>
      </c>
      <c r="S239" s="382">
        <v>133.61000000000001</v>
      </c>
      <c r="T239" s="385">
        <v>1015</v>
      </c>
      <c r="U239" s="382">
        <v>117.46</v>
      </c>
      <c r="V239" s="385">
        <v>395</v>
      </c>
      <c r="W239" s="382">
        <v>181.19</v>
      </c>
      <c r="X239" s="385">
        <v>96</v>
      </c>
      <c r="Y239" s="382">
        <v>0</v>
      </c>
      <c r="Z239" s="382">
        <v>4</v>
      </c>
      <c r="AA239" s="382">
        <v>12</v>
      </c>
      <c r="AB239" s="382">
        <v>53</v>
      </c>
      <c r="AC239" s="382">
        <v>15</v>
      </c>
      <c r="AD239" s="382">
        <v>3775</v>
      </c>
      <c r="AE239" s="382">
        <v>8</v>
      </c>
      <c r="AF239" s="382">
        <v>10</v>
      </c>
      <c r="AG239" s="382">
        <v>18</v>
      </c>
    </row>
    <row r="240" spans="1:33" x14ac:dyDescent="0.3">
      <c r="A240" s="381" t="s">
        <v>538</v>
      </c>
      <c r="B240" s="381" t="s">
        <v>539</v>
      </c>
      <c r="C240" s="382">
        <v>3805</v>
      </c>
      <c r="D240" s="382">
        <v>0</v>
      </c>
      <c r="E240" s="382">
        <v>357</v>
      </c>
      <c r="F240" s="382">
        <v>206</v>
      </c>
      <c r="G240" s="382">
        <v>1389</v>
      </c>
      <c r="H240" s="382">
        <v>5757</v>
      </c>
      <c r="I240" s="382">
        <v>4368</v>
      </c>
      <c r="J240" s="382">
        <v>13</v>
      </c>
      <c r="K240" s="382">
        <v>114.42</v>
      </c>
      <c r="L240" s="382">
        <v>113.73</v>
      </c>
      <c r="M240" s="382">
        <v>3.62</v>
      </c>
      <c r="N240" s="382">
        <v>117.58</v>
      </c>
      <c r="O240" s="385">
        <v>2385</v>
      </c>
      <c r="P240" s="382">
        <v>106.89</v>
      </c>
      <c r="Q240" s="382">
        <v>102.03</v>
      </c>
      <c r="R240" s="382">
        <v>50.9</v>
      </c>
      <c r="S240" s="382">
        <v>157.79</v>
      </c>
      <c r="T240" s="385">
        <v>261</v>
      </c>
      <c r="U240" s="382">
        <v>162.31</v>
      </c>
      <c r="V240" s="385">
        <v>1050</v>
      </c>
      <c r="W240" s="382">
        <v>187.27</v>
      </c>
      <c r="X240" s="385">
        <v>79</v>
      </c>
      <c r="Y240" s="382">
        <v>10</v>
      </c>
      <c r="Z240" s="382">
        <v>2</v>
      </c>
      <c r="AA240" s="382">
        <v>1</v>
      </c>
      <c r="AB240" s="382">
        <v>110</v>
      </c>
      <c r="AC240" s="382">
        <v>33</v>
      </c>
      <c r="AD240" s="382">
        <v>3578</v>
      </c>
      <c r="AE240" s="382">
        <v>79</v>
      </c>
      <c r="AF240" s="382">
        <v>9</v>
      </c>
      <c r="AG240" s="382">
        <v>88</v>
      </c>
    </row>
    <row r="241" spans="1:33" x14ac:dyDescent="0.3">
      <c r="A241" s="381" t="s">
        <v>540</v>
      </c>
      <c r="B241" s="381" t="s">
        <v>541</v>
      </c>
      <c r="C241" s="382">
        <v>1859</v>
      </c>
      <c r="D241" s="382">
        <v>0</v>
      </c>
      <c r="E241" s="382">
        <v>93</v>
      </c>
      <c r="F241" s="382">
        <v>116</v>
      </c>
      <c r="G241" s="382">
        <v>427</v>
      </c>
      <c r="H241" s="382">
        <v>2495</v>
      </c>
      <c r="I241" s="382">
        <v>2068</v>
      </c>
      <c r="J241" s="382">
        <v>0</v>
      </c>
      <c r="K241" s="382">
        <v>96.12</v>
      </c>
      <c r="L241" s="382">
        <v>95.08</v>
      </c>
      <c r="M241" s="382">
        <v>4.41</v>
      </c>
      <c r="N241" s="382">
        <v>99.28</v>
      </c>
      <c r="O241" s="385">
        <v>1352</v>
      </c>
      <c r="P241" s="382">
        <v>110.53</v>
      </c>
      <c r="Q241" s="382">
        <v>94.39</v>
      </c>
      <c r="R241" s="382">
        <v>75.09</v>
      </c>
      <c r="S241" s="382">
        <v>184.75</v>
      </c>
      <c r="T241" s="385">
        <v>173</v>
      </c>
      <c r="U241" s="382">
        <v>112.86</v>
      </c>
      <c r="V241" s="385">
        <v>498</v>
      </c>
      <c r="W241" s="382">
        <v>273.45999999999998</v>
      </c>
      <c r="X241" s="385">
        <v>11</v>
      </c>
      <c r="Y241" s="382">
        <v>21</v>
      </c>
      <c r="Z241" s="382">
        <v>0</v>
      </c>
      <c r="AA241" s="382">
        <v>0</v>
      </c>
      <c r="AB241" s="382">
        <v>32</v>
      </c>
      <c r="AC241" s="382">
        <v>4</v>
      </c>
      <c r="AD241" s="382">
        <v>1843</v>
      </c>
      <c r="AE241" s="382">
        <v>20</v>
      </c>
      <c r="AF241" s="382">
        <v>4</v>
      </c>
      <c r="AG241" s="382">
        <v>24</v>
      </c>
    </row>
    <row r="242" spans="1:33" x14ac:dyDescent="0.3">
      <c r="A242" s="381" t="s">
        <v>542</v>
      </c>
      <c r="B242" s="381" t="s">
        <v>543</v>
      </c>
      <c r="C242" s="382">
        <v>11517</v>
      </c>
      <c r="D242" s="382">
        <v>0</v>
      </c>
      <c r="E242" s="382">
        <v>339</v>
      </c>
      <c r="F242" s="382">
        <v>1825</v>
      </c>
      <c r="G242" s="382">
        <v>1248</v>
      </c>
      <c r="H242" s="382">
        <v>14929</v>
      </c>
      <c r="I242" s="382">
        <v>13681</v>
      </c>
      <c r="J242" s="382">
        <v>2</v>
      </c>
      <c r="K242" s="382">
        <v>102.78</v>
      </c>
      <c r="L242" s="382">
        <v>103.03</v>
      </c>
      <c r="M242" s="382">
        <v>5.9</v>
      </c>
      <c r="N242" s="382">
        <v>106.39</v>
      </c>
      <c r="O242" s="385">
        <v>10456</v>
      </c>
      <c r="P242" s="382">
        <v>95.23</v>
      </c>
      <c r="Q242" s="382">
        <v>88.57</v>
      </c>
      <c r="R242" s="382">
        <v>37.32</v>
      </c>
      <c r="S242" s="382">
        <v>131.9</v>
      </c>
      <c r="T242" s="385">
        <v>2007</v>
      </c>
      <c r="U242" s="382">
        <v>146.97999999999999</v>
      </c>
      <c r="V242" s="385">
        <v>698</v>
      </c>
      <c r="W242" s="382">
        <v>109.83</v>
      </c>
      <c r="X242" s="385">
        <v>1</v>
      </c>
      <c r="Y242" s="382">
        <v>0</v>
      </c>
      <c r="Z242" s="382">
        <v>23</v>
      </c>
      <c r="AA242" s="382">
        <v>16</v>
      </c>
      <c r="AB242" s="382">
        <v>125</v>
      </c>
      <c r="AC242" s="382">
        <v>20</v>
      </c>
      <c r="AD242" s="382">
        <v>11198</v>
      </c>
      <c r="AE242" s="382">
        <v>98</v>
      </c>
      <c r="AF242" s="382">
        <v>54</v>
      </c>
      <c r="AG242" s="382">
        <v>152</v>
      </c>
    </row>
    <row r="243" spans="1:33" x14ac:dyDescent="0.3">
      <c r="A243" s="381" t="s">
        <v>544</v>
      </c>
      <c r="B243" s="381" t="s">
        <v>545</v>
      </c>
      <c r="C243" s="382">
        <v>4033</v>
      </c>
      <c r="D243" s="382">
        <v>0</v>
      </c>
      <c r="E243" s="382">
        <v>98</v>
      </c>
      <c r="F243" s="382">
        <v>596</v>
      </c>
      <c r="G243" s="382">
        <v>621</v>
      </c>
      <c r="H243" s="382">
        <v>5348</v>
      </c>
      <c r="I243" s="382">
        <v>4727</v>
      </c>
      <c r="J243" s="382">
        <v>0</v>
      </c>
      <c r="K243" s="382">
        <v>96.11</v>
      </c>
      <c r="L243" s="382">
        <v>92.53</v>
      </c>
      <c r="M243" s="382">
        <v>2.31</v>
      </c>
      <c r="N243" s="382">
        <v>98.29</v>
      </c>
      <c r="O243" s="385">
        <v>3283</v>
      </c>
      <c r="P243" s="382">
        <v>84.97</v>
      </c>
      <c r="Q243" s="382">
        <v>75.55</v>
      </c>
      <c r="R243" s="382">
        <v>38.020000000000003</v>
      </c>
      <c r="S243" s="382">
        <v>122.51</v>
      </c>
      <c r="T243" s="385">
        <v>555</v>
      </c>
      <c r="U243" s="382">
        <v>130.18</v>
      </c>
      <c r="V243" s="385">
        <v>418</v>
      </c>
      <c r="W243" s="382">
        <v>182.48</v>
      </c>
      <c r="X243" s="385">
        <v>52</v>
      </c>
      <c r="Y243" s="382">
        <v>0</v>
      </c>
      <c r="Z243" s="382">
        <v>12</v>
      </c>
      <c r="AA243" s="382">
        <v>1</v>
      </c>
      <c r="AB243" s="382">
        <v>56</v>
      </c>
      <c r="AC243" s="382">
        <v>21</v>
      </c>
      <c r="AD243" s="382">
        <v>3762</v>
      </c>
      <c r="AE243" s="382">
        <v>10</v>
      </c>
      <c r="AF243" s="382">
        <v>12</v>
      </c>
      <c r="AG243" s="382">
        <v>22</v>
      </c>
    </row>
    <row r="244" spans="1:33" x14ac:dyDescent="0.3">
      <c r="A244" s="381" t="s">
        <v>546</v>
      </c>
      <c r="B244" s="381" t="s">
        <v>547</v>
      </c>
      <c r="C244" s="382">
        <v>1213</v>
      </c>
      <c r="D244" s="382">
        <v>0</v>
      </c>
      <c r="E244" s="382">
        <v>107</v>
      </c>
      <c r="F244" s="382">
        <v>0</v>
      </c>
      <c r="G244" s="382">
        <v>483</v>
      </c>
      <c r="H244" s="382">
        <v>1803</v>
      </c>
      <c r="I244" s="382">
        <v>1320</v>
      </c>
      <c r="J244" s="382">
        <v>6</v>
      </c>
      <c r="K244" s="382">
        <v>87.62</v>
      </c>
      <c r="L244" s="382">
        <v>85.73</v>
      </c>
      <c r="M244" s="382">
        <v>4.9800000000000004</v>
      </c>
      <c r="N244" s="382">
        <v>91.64</v>
      </c>
      <c r="O244" s="385">
        <v>749</v>
      </c>
      <c r="P244" s="382">
        <v>134.57</v>
      </c>
      <c r="Q244" s="382">
        <v>70.760000000000005</v>
      </c>
      <c r="R244" s="382">
        <v>99.16</v>
      </c>
      <c r="S244" s="382">
        <v>233.73</v>
      </c>
      <c r="T244" s="385">
        <v>98</v>
      </c>
      <c r="U244" s="382">
        <v>116.39</v>
      </c>
      <c r="V244" s="385">
        <v>345</v>
      </c>
      <c r="W244" s="382">
        <v>0</v>
      </c>
      <c r="X244" s="385">
        <v>0</v>
      </c>
      <c r="Y244" s="382">
        <v>0</v>
      </c>
      <c r="Z244" s="382">
        <v>1</v>
      </c>
      <c r="AA244" s="382">
        <v>0</v>
      </c>
      <c r="AB244" s="382">
        <v>116</v>
      </c>
      <c r="AC244" s="382">
        <v>4</v>
      </c>
      <c r="AD244" s="382">
        <v>1148</v>
      </c>
      <c r="AE244" s="382">
        <v>2</v>
      </c>
      <c r="AF244" s="382">
        <v>4</v>
      </c>
      <c r="AG244" s="382">
        <v>6</v>
      </c>
    </row>
    <row r="245" spans="1:33" x14ac:dyDescent="0.3">
      <c r="A245" s="381" t="s">
        <v>548</v>
      </c>
      <c r="B245" s="381" t="s">
        <v>549</v>
      </c>
      <c r="C245" s="382">
        <v>1858</v>
      </c>
      <c r="D245" s="382">
        <v>0</v>
      </c>
      <c r="E245" s="382">
        <v>141</v>
      </c>
      <c r="F245" s="382">
        <v>268</v>
      </c>
      <c r="G245" s="382">
        <v>568</v>
      </c>
      <c r="H245" s="382">
        <v>2835</v>
      </c>
      <c r="I245" s="382">
        <v>2267</v>
      </c>
      <c r="J245" s="382">
        <v>1</v>
      </c>
      <c r="K245" s="382">
        <v>90.96</v>
      </c>
      <c r="L245" s="382">
        <v>88.9</v>
      </c>
      <c r="M245" s="382">
        <v>5.81</v>
      </c>
      <c r="N245" s="382">
        <v>96.01</v>
      </c>
      <c r="O245" s="385">
        <v>1244</v>
      </c>
      <c r="P245" s="382">
        <v>98.09</v>
      </c>
      <c r="Q245" s="382">
        <v>72.599999999999994</v>
      </c>
      <c r="R245" s="382">
        <v>49.21</v>
      </c>
      <c r="S245" s="382">
        <v>147.31</v>
      </c>
      <c r="T245" s="385">
        <v>276</v>
      </c>
      <c r="U245" s="382">
        <v>112.14</v>
      </c>
      <c r="V245" s="385">
        <v>317</v>
      </c>
      <c r="W245" s="382">
        <v>0</v>
      </c>
      <c r="X245" s="385">
        <v>0</v>
      </c>
      <c r="Y245" s="382">
        <v>55</v>
      </c>
      <c r="Z245" s="382">
        <v>1</v>
      </c>
      <c r="AA245" s="382">
        <v>2</v>
      </c>
      <c r="AB245" s="382">
        <v>49</v>
      </c>
      <c r="AC245" s="382">
        <v>12</v>
      </c>
      <c r="AD245" s="382">
        <v>1768</v>
      </c>
      <c r="AE245" s="382">
        <v>8</v>
      </c>
      <c r="AF245" s="382">
        <v>17</v>
      </c>
      <c r="AG245" s="382">
        <v>25</v>
      </c>
    </row>
    <row r="246" spans="1:33" x14ac:dyDescent="0.3">
      <c r="A246" s="381" t="s">
        <v>550</v>
      </c>
      <c r="B246" s="381" t="s">
        <v>551</v>
      </c>
      <c r="C246" s="382">
        <v>4109</v>
      </c>
      <c r="D246" s="382">
        <v>0</v>
      </c>
      <c r="E246" s="382">
        <v>212</v>
      </c>
      <c r="F246" s="382">
        <v>536</v>
      </c>
      <c r="G246" s="382">
        <v>239</v>
      </c>
      <c r="H246" s="382">
        <v>5096</v>
      </c>
      <c r="I246" s="382">
        <v>4857</v>
      </c>
      <c r="J246" s="382">
        <v>7</v>
      </c>
      <c r="K246" s="382">
        <v>94.68</v>
      </c>
      <c r="L246" s="382">
        <v>94.14</v>
      </c>
      <c r="M246" s="382">
        <v>4.3099999999999996</v>
      </c>
      <c r="N246" s="382">
        <v>95.96</v>
      </c>
      <c r="O246" s="385">
        <v>3510</v>
      </c>
      <c r="P246" s="382">
        <v>87.5</v>
      </c>
      <c r="Q246" s="382">
        <v>83.68</v>
      </c>
      <c r="R246" s="382">
        <v>41.9</v>
      </c>
      <c r="S246" s="382">
        <v>128.83000000000001</v>
      </c>
      <c r="T246" s="385">
        <v>658</v>
      </c>
      <c r="U246" s="382">
        <v>116.47</v>
      </c>
      <c r="V246" s="385">
        <v>493</v>
      </c>
      <c r="W246" s="382">
        <v>210</v>
      </c>
      <c r="X246" s="385">
        <v>24</v>
      </c>
      <c r="Y246" s="382">
        <v>0</v>
      </c>
      <c r="Z246" s="382">
        <v>20</v>
      </c>
      <c r="AA246" s="382">
        <v>0</v>
      </c>
      <c r="AB246" s="382">
        <v>11</v>
      </c>
      <c r="AC246" s="382">
        <v>3</v>
      </c>
      <c r="AD246" s="382">
        <v>4023</v>
      </c>
      <c r="AE246" s="382">
        <v>20</v>
      </c>
      <c r="AF246" s="382">
        <v>9</v>
      </c>
      <c r="AG246" s="382">
        <v>29</v>
      </c>
    </row>
    <row r="247" spans="1:33" x14ac:dyDescent="0.3">
      <c r="A247" s="381" t="s">
        <v>552</v>
      </c>
      <c r="B247" s="381" t="s">
        <v>553</v>
      </c>
      <c r="C247" s="382">
        <v>6716</v>
      </c>
      <c r="D247" s="382">
        <v>0</v>
      </c>
      <c r="E247" s="382">
        <v>215</v>
      </c>
      <c r="F247" s="382">
        <v>819</v>
      </c>
      <c r="G247" s="382">
        <v>721</v>
      </c>
      <c r="H247" s="382">
        <v>8471</v>
      </c>
      <c r="I247" s="382">
        <v>7750</v>
      </c>
      <c r="J247" s="382">
        <v>3</v>
      </c>
      <c r="K247" s="382">
        <v>90.71</v>
      </c>
      <c r="L247" s="382">
        <v>89.97</v>
      </c>
      <c r="M247" s="382">
        <v>5.19</v>
      </c>
      <c r="N247" s="382">
        <v>92.29</v>
      </c>
      <c r="O247" s="385">
        <v>4465</v>
      </c>
      <c r="P247" s="382">
        <v>91.92</v>
      </c>
      <c r="Q247" s="382">
        <v>82.68</v>
      </c>
      <c r="R247" s="382">
        <v>43.94</v>
      </c>
      <c r="S247" s="382">
        <v>135.86000000000001</v>
      </c>
      <c r="T247" s="385">
        <v>987</v>
      </c>
      <c r="U247" s="382">
        <v>118.76</v>
      </c>
      <c r="V247" s="385">
        <v>2033</v>
      </c>
      <c r="W247" s="382">
        <v>0</v>
      </c>
      <c r="X247" s="385">
        <v>0</v>
      </c>
      <c r="Y247" s="382">
        <v>6</v>
      </c>
      <c r="Z247" s="382">
        <v>8</v>
      </c>
      <c r="AA247" s="382">
        <v>22</v>
      </c>
      <c r="AB247" s="382">
        <v>30</v>
      </c>
      <c r="AC247" s="382">
        <v>12</v>
      </c>
      <c r="AD247" s="382">
        <v>6710</v>
      </c>
      <c r="AE247" s="382">
        <v>57</v>
      </c>
      <c r="AF247" s="382">
        <v>12</v>
      </c>
      <c r="AG247" s="382">
        <v>69</v>
      </c>
    </row>
    <row r="248" spans="1:33" x14ac:dyDescent="0.3">
      <c r="A248" s="381" t="s">
        <v>554</v>
      </c>
      <c r="B248" s="381" t="s">
        <v>555</v>
      </c>
      <c r="C248" s="382">
        <v>6733</v>
      </c>
      <c r="D248" s="382">
        <v>2</v>
      </c>
      <c r="E248" s="382">
        <v>244</v>
      </c>
      <c r="F248" s="382">
        <v>787</v>
      </c>
      <c r="G248" s="382">
        <v>1099</v>
      </c>
      <c r="H248" s="382">
        <v>8865</v>
      </c>
      <c r="I248" s="382">
        <v>7766</v>
      </c>
      <c r="J248" s="382">
        <v>0</v>
      </c>
      <c r="K248" s="382">
        <v>114.9</v>
      </c>
      <c r="L248" s="382">
        <v>113.13</v>
      </c>
      <c r="M248" s="382">
        <v>5.51</v>
      </c>
      <c r="N248" s="382">
        <v>117.02</v>
      </c>
      <c r="O248" s="385">
        <v>5370</v>
      </c>
      <c r="P248" s="382">
        <v>98.15</v>
      </c>
      <c r="Q248" s="382">
        <v>94.11</v>
      </c>
      <c r="R248" s="382">
        <v>30.17</v>
      </c>
      <c r="S248" s="382">
        <v>126.52</v>
      </c>
      <c r="T248" s="385">
        <v>824</v>
      </c>
      <c r="U248" s="382">
        <v>184.95</v>
      </c>
      <c r="V248" s="385">
        <v>1255</v>
      </c>
      <c r="W248" s="382">
        <v>168.09</v>
      </c>
      <c r="X248" s="385">
        <v>76</v>
      </c>
      <c r="Y248" s="382">
        <v>3</v>
      </c>
      <c r="Z248" s="382">
        <v>5</v>
      </c>
      <c r="AA248" s="382">
        <v>1</v>
      </c>
      <c r="AB248" s="382">
        <v>109</v>
      </c>
      <c r="AC248" s="382">
        <v>29</v>
      </c>
      <c r="AD248" s="382">
        <v>6654</v>
      </c>
      <c r="AE248" s="382">
        <v>34</v>
      </c>
      <c r="AF248" s="382">
        <v>25</v>
      </c>
      <c r="AG248" s="382">
        <v>59</v>
      </c>
    </row>
    <row r="249" spans="1:33" x14ac:dyDescent="0.3">
      <c r="A249" s="381" t="s">
        <v>556</v>
      </c>
      <c r="B249" s="381" t="s">
        <v>557</v>
      </c>
      <c r="C249" s="382">
        <v>4034</v>
      </c>
      <c r="D249" s="382">
        <v>3</v>
      </c>
      <c r="E249" s="382">
        <v>267</v>
      </c>
      <c r="F249" s="382">
        <v>1048</v>
      </c>
      <c r="G249" s="382">
        <v>277</v>
      </c>
      <c r="H249" s="382">
        <v>5629</v>
      </c>
      <c r="I249" s="382">
        <v>5352</v>
      </c>
      <c r="J249" s="382">
        <v>4</v>
      </c>
      <c r="K249" s="382">
        <v>89.42</v>
      </c>
      <c r="L249" s="382">
        <v>85.7</v>
      </c>
      <c r="M249" s="382">
        <v>2.64</v>
      </c>
      <c r="N249" s="382">
        <v>91.97</v>
      </c>
      <c r="O249" s="385">
        <v>3564</v>
      </c>
      <c r="P249" s="382">
        <v>91.9</v>
      </c>
      <c r="Q249" s="382">
        <v>82.59</v>
      </c>
      <c r="R249" s="382">
        <v>26.18</v>
      </c>
      <c r="S249" s="382">
        <v>117.61</v>
      </c>
      <c r="T249" s="385">
        <v>1231</v>
      </c>
      <c r="U249" s="382">
        <v>107.56</v>
      </c>
      <c r="V249" s="385">
        <v>456</v>
      </c>
      <c r="W249" s="382">
        <v>0</v>
      </c>
      <c r="X249" s="385">
        <v>0</v>
      </c>
      <c r="Y249" s="382">
        <v>0</v>
      </c>
      <c r="Z249" s="382">
        <v>6</v>
      </c>
      <c r="AA249" s="382">
        <v>1</v>
      </c>
      <c r="AB249" s="382">
        <v>30</v>
      </c>
      <c r="AC249" s="382">
        <v>4</v>
      </c>
      <c r="AD249" s="382">
        <v>4032</v>
      </c>
      <c r="AE249" s="382">
        <v>10</v>
      </c>
      <c r="AF249" s="382">
        <v>4</v>
      </c>
      <c r="AG249" s="382">
        <v>14</v>
      </c>
    </row>
    <row r="250" spans="1:33" x14ac:dyDescent="0.3">
      <c r="A250" s="381" t="s">
        <v>558</v>
      </c>
      <c r="B250" s="381" t="s">
        <v>559</v>
      </c>
      <c r="C250" s="382">
        <v>9399</v>
      </c>
      <c r="D250" s="382">
        <v>63</v>
      </c>
      <c r="E250" s="382">
        <v>319</v>
      </c>
      <c r="F250" s="382">
        <v>1698</v>
      </c>
      <c r="G250" s="382">
        <v>810</v>
      </c>
      <c r="H250" s="382">
        <v>12289</v>
      </c>
      <c r="I250" s="382">
        <v>11479</v>
      </c>
      <c r="J250" s="382">
        <v>9</v>
      </c>
      <c r="K250" s="382">
        <v>94.69</v>
      </c>
      <c r="L250" s="382">
        <v>90.86</v>
      </c>
      <c r="M250" s="382">
        <v>4.07</v>
      </c>
      <c r="N250" s="382">
        <v>96.02</v>
      </c>
      <c r="O250" s="385">
        <v>8362</v>
      </c>
      <c r="P250" s="382">
        <v>89.66</v>
      </c>
      <c r="Q250" s="382">
        <v>80.06</v>
      </c>
      <c r="R250" s="382">
        <v>29.82</v>
      </c>
      <c r="S250" s="382">
        <v>119.41</v>
      </c>
      <c r="T250" s="385">
        <v>1964</v>
      </c>
      <c r="U250" s="382">
        <v>123.55</v>
      </c>
      <c r="V250" s="385">
        <v>738</v>
      </c>
      <c r="W250" s="382">
        <v>156.99</v>
      </c>
      <c r="X250" s="385">
        <v>14</v>
      </c>
      <c r="Y250" s="382">
        <v>15</v>
      </c>
      <c r="Z250" s="382">
        <v>44</v>
      </c>
      <c r="AA250" s="382">
        <v>6</v>
      </c>
      <c r="AB250" s="382">
        <v>98</v>
      </c>
      <c r="AC250" s="382">
        <v>25</v>
      </c>
      <c r="AD250" s="382">
        <v>9298</v>
      </c>
      <c r="AE250" s="382">
        <v>39</v>
      </c>
      <c r="AF250" s="382">
        <v>105</v>
      </c>
      <c r="AG250" s="382">
        <v>144</v>
      </c>
    </row>
    <row r="251" spans="1:33" x14ac:dyDescent="0.3">
      <c r="A251" s="381" t="s">
        <v>560</v>
      </c>
      <c r="B251" s="381" t="s">
        <v>561</v>
      </c>
      <c r="C251" s="382">
        <v>5847</v>
      </c>
      <c r="D251" s="382">
        <v>0</v>
      </c>
      <c r="E251" s="382">
        <v>279</v>
      </c>
      <c r="F251" s="382">
        <v>664</v>
      </c>
      <c r="G251" s="382">
        <v>498</v>
      </c>
      <c r="H251" s="382">
        <v>7288</v>
      </c>
      <c r="I251" s="382">
        <v>6790</v>
      </c>
      <c r="J251" s="382">
        <v>0</v>
      </c>
      <c r="K251" s="382">
        <v>90.59</v>
      </c>
      <c r="L251" s="382">
        <v>87.06</v>
      </c>
      <c r="M251" s="382">
        <v>5.54</v>
      </c>
      <c r="N251" s="382">
        <v>92.26</v>
      </c>
      <c r="O251" s="385">
        <v>5689</v>
      </c>
      <c r="P251" s="382">
        <v>85.77</v>
      </c>
      <c r="Q251" s="382">
        <v>78.31</v>
      </c>
      <c r="R251" s="382">
        <v>42.7</v>
      </c>
      <c r="S251" s="382">
        <v>127.08</v>
      </c>
      <c r="T251" s="385">
        <v>793</v>
      </c>
      <c r="U251" s="382">
        <v>107.94</v>
      </c>
      <c r="V251" s="385">
        <v>121</v>
      </c>
      <c r="W251" s="382">
        <v>187.12</v>
      </c>
      <c r="X251" s="385">
        <v>139</v>
      </c>
      <c r="Y251" s="382">
        <v>6</v>
      </c>
      <c r="Z251" s="382">
        <v>6</v>
      </c>
      <c r="AA251" s="382">
        <v>0</v>
      </c>
      <c r="AB251" s="382">
        <v>75</v>
      </c>
      <c r="AC251" s="382">
        <v>4</v>
      </c>
      <c r="AD251" s="382">
        <v>5847</v>
      </c>
      <c r="AE251" s="382">
        <v>27</v>
      </c>
      <c r="AF251" s="382">
        <v>36</v>
      </c>
      <c r="AG251" s="382">
        <v>63</v>
      </c>
    </row>
    <row r="252" spans="1:33" x14ac:dyDescent="0.3">
      <c r="A252" s="381" t="s">
        <v>562</v>
      </c>
      <c r="B252" s="381" t="s">
        <v>563</v>
      </c>
      <c r="C252" s="382">
        <v>3879</v>
      </c>
      <c r="D252" s="382">
        <v>0</v>
      </c>
      <c r="E252" s="382">
        <v>438</v>
      </c>
      <c r="F252" s="382">
        <v>1002</v>
      </c>
      <c r="G252" s="382">
        <v>227</v>
      </c>
      <c r="H252" s="382">
        <v>5546</v>
      </c>
      <c r="I252" s="382">
        <v>5319</v>
      </c>
      <c r="J252" s="382">
        <v>14</v>
      </c>
      <c r="K252" s="382">
        <v>82.14</v>
      </c>
      <c r="L252" s="382">
        <v>79.09</v>
      </c>
      <c r="M252" s="382">
        <v>3.17</v>
      </c>
      <c r="N252" s="382">
        <v>84.27</v>
      </c>
      <c r="O252" s="385">
        <v>3133</v>
      </c>
      <c r="P252" s="382">
        <v>86.38</v>
      </c>
      <c r="Q252" s="382">
        <v>76.62</v>
      </c>
      <c r="R252" s="382">
        <v>65.94</v>
      </c>
      <c r="S252" s="382">
        <v>151.82</v>
      </c>
      <c r="T252" s="385">
        <v>943</v>
      </c>
      <c r="U252" s="382">
        <v>99.58</v>
      </c>
      <c r="V252" s="385">
        <v>660</v>
      </c>
      <c r="W252" s="382">
        <v>125.21</v>
      </c>
      <c r="X252" s="385">
        <v>322</v>
      </c>
      <c r="Y252" s="382">
        <v>0</v>
      </c>
      <c r="Z252" s="382">
        <v>3</v>
      </c>
      <c r="AA252" s="382">
        <v>0</v>
      </c>
      <c r="AB252" s="382">
        <v>4</v>
      </c>
      <c r="AC252" s="382">
        <v>6</v>
      </c>
      <c r="AD252" s="382">
        <v>3678</v>
      </c>
      <c r="AE252" s="382">
        <v>50</v>
      </c>
      <c r="AF252" s="382">
        <v>66</v>
      </c>
      <c r="AG252" s="382">
        <v>116</v>
      </c>
    </row>
    <row r="253" spans="1:33" x14ac:dyDescent="0.3">
      <c r="A253" s="381" t="s">
        <v>564</v>
      </c>
      <c r="B253" s="381" t="s">
        <v>565</v>
      </c>
      <c r="C253" s="382">
        <v>5882</v>
      </c>
      <c r="D253" s="382">
        <v>102</v>
      </c>
      <c r="E253" s="382">
        <v>830</v>
      </c>
      <c r="F253" s="382">
        <v>1087</v>
      </c>
      <c r="G253" s="382">
        <v>990</v>
      </c>
      <c r="H253" s="382">
        <v>8891</v>
      </c>
      <c r="I253" s="382">
        <v>7901</v>
      </c>
      <c r="J253" s="382">
        <v>4</v>
      </c>
      <c r="K253" s="382">
        <v>107.45</v>
      </c>
      <c r="L253" s="382">
        <v>104.88</v>
      </c>
      <c r="M253" s="382">
        <v>7.06</v>
      </c>
      <c r="N253" s="382">
        <v>113.59</v>
      </c>
      <c r="O253" s="385">
        <v>4665</v>
      </c>
      <c r="P253" s="382">
        <v>96.77</v>
      </c>
      <c r="Q253" s="382">
        <v>87.48</v>
      </c>
      <c r="R253" s="382">
        <v>40.520000000000003</v>
      </c>
      <c r="S253" s="382">
        <v>137.07</v>
      </c>
      <c r="T253" s="385">
        <v>1455</v>
      </c>
      <c r="U253" s="382">
        <v>146.07</v>
      </c>
      <c r="V253" s="385">
        <v>816</v>
      </c>
      <c r="W253" s="382">
        <v>149.88999999999999</v>
      </c>
      <c r="X253" s="385">
        <v>24</v>
      </c>
      <c r="Y253" s="382">
        <v>62</v>
      </c>
      <c r="Z253" s="382">
        <v>1</v>
      </c>
      <c r="AA253" s="382">
        <v>12</v>
      </c>
      <c r="AB253" s="382">
        <v>36</v>
      </c>
      <c r="AC253" s="382">
        <v>32</v>
      </c>
      <c r="AD253" s="382">
        <v>5743</v>
      </c>
      <c r="AE253" s="382">
        <v>21</v>
      </c>
      <c r="AF253" s="382">
        <v>24</v>
      </c>
      <c r="AG253" s="382">
        <v>45</v>
      </c>
    </row>
    <row r="254" spans="1:33" x14ac:dyDescent="0.3">
      <c r="A254" s="381" t="s">
        <v>566</v>
      </c>
      <c r="B254" s="381" t="s">
        <v>567</v>
      </c>
      <c r="C254" s="382">
        <v>2850</v>
      </c>
      <c r="D254" s="382">
        <v>0</v>
      </c>
      <c r="E254" s="382">
        <v>559</v>
      </c>
      <c r="F254" s="382">
        <v>318</v>
      </c>
      <c r="G254" s="382">
        <v>451</v>
      </c>
      <c r="H254" s="382">
        <v>4178</v>
      </c>
      <c r="I254" s="382">
        <v>3727</v>
      </c>
      <c r="J254" s="382">
        <v>32</v>
      </c>
      <c r="K254" s="382">
        <v>99.79</v>
      </c>
      <c r="L254" s="382">
        <v>98.09</v>
      </c>
      <c r="M254" s="382">
        <v>14.28</v>
      </c>
      <c r="N254" s="382">
        <v>111.01</v>
      </c>
      <c r="O254" s="385">
        <v>2443</v>
      </c>
      <c r="P254" s="382">
        <v>92.27</v>
      </c>
      <c r="Q254" s="382">
        <v>84.61</v>
      </c>
      <c r="R254" s="382">
        <v>64.19</v>
      </c>
      <c r="S254" s="382">
        <v>154.69</v>
      </c>
      <c r="T254" s="385">
        <v>508</v>
      </c>
      <c r="U254" s="382">
        <v>152.27000000000001</v>
      </c>
      <c r="V254" s="385">
        <v>366</v>
      </c>
      <c r="W254" s="382">
        <v>329.58</v>
      </c>
      <c r="X254" s="385">
        <v>115</v>
      </c>
      <c r="Y254" s="382">
        <v>0</v>
      </c>
      <c r="Z254" s="382">
        <v>0</v>
      </c>
      <c r="AA254" s="382">
        <v>1</v>
      </c>
      <c r="AB254" s="382">
        <v>11</v>
      </c>
      <c r="AC254" s="382">
        <v>7</v>
      </c>
      <c r="AD254" s="382">
        <v>2850</v>
      </c>
      <c r="AE254" s="382">
        <v>15</v>
      </c>
      <c r="AF254" s="382">
        <v>2</v>
      </c>
      <c r="AG254" s="382">
        <v>17</v>
      </c>
    </row>
    <row r="255" spans="1:33" x14ac:dyDescent="0.3">
      <c r="A255" s="381" t="s">
        <v>568</v>
      </c>
      <c r="B255" s="381" t="s">
        <v>569</v>
      </c>
      <c r="C255" s="382">
        <v>14832</v>
      </c>
      <c r="D255" s="382">
        <v>447</v>
      </c>
      <c r="E255" s="382">
        <v>1461</v>
      </c>
      <c r="F255" s="382">
        <v>715</v>
      </c>
      <c r="G255" s="382">
        <v>3070</v>
      </c>
      <c r="H255" s="382">
        <v>20525</v>
      </c>
      <c r="I255" s="382">
        <v>17455</v>
      </c>
      <c r="J255" s="382">
        <v>164</v>
      </c>
      <c r="K255" s="382">
        <v>125.52</v>
      </c>
      <c r="L255" s="382">
        <v>127.27</v>
      </c>
      <c r="M255" s="382">
        <v>15.11</v>
      </c>
      <c r="N255" s="382">
        <v>137.57</v>
      </c>
      <c r="O255" s="385">
        <v>12175</v>
      </c>
      <c r="P255" s="382">
        <v>110.59</v>
      </c>
      <c r="Q255" s="382">
        <v>104.36</v>
      </c>
      <c r="R255" s="382">
        <v>58.07</v>
      </c>
      <c r="S255" s="382">
        <v>165.01</v>
      </c>
      <c r="T255" s="385">
        <v>1830</v>
      </c>
      <c r="U255" s="382">
        <v>206.08</v>
      </c>
      <c r="V255" s="385">
        <v>1206</v>
      </c>
      <c r="W255" s="382">
        <v>213.93</v>
      </c>
      <c r="X255" s="385">
        <v>24</v>
      </c>
      <c r="Y255" s="382">
        <v>0</v>
      </c>
      <c r="Z255" s="382">
        <v>3</v>
      </c>
      <c r="AA255" s="382">
        <v>26</v>
      </c>
      <c r="AB255" s="382">
        <v>102</v>
      </c>
      <c r="AC255" s="382">
        <v>126</v>
      </c>
      <c r="AD255" s="382">
        <v>14134</v>
      </c>
      <c r="AE255" s="382">
        <v>155</v>
      </c>
      <c r="AF255" s="382">
        <v>88</v>
      </c>
      <c r="AG255" s="382">
        <v>243</v>
      </c>
    </row>
    <row r="256" spans="1:33" x14ac:dyDescent="0.3">
      <c r="A256" s="381" t="s">
        <v>570</v>
      </c>
      <c r="B256" s="381" t="s">
        <v>571</v>
      </c>
      <c r="C256" s="382">
        <v>4919</v>
      </c>
      <c r="D256" s="382">
        <v>3</v>
      </c>
      <c r="E256" s="382">
        <v>112</v>
      </c>
      <c r="F256" s="382">
        <v>338</v>
      </c>
      <c r="G256" s="382">
        <v>483</v>
      </c>
      <c r="H256" s="382">
        <v>5855</v>
      </c>
      <c r="I256" s="382">
        <v>5372</v>
      </c>
      <c r="J256" s="382">
        <v>9</v>
      </c>
      <c r="K256" s="382">
        <v>119.3</v>
      </c>
      <c r="L256" s="382">
        <v>113.95</v>
      </c>
      <c r="M256" s="382">
        <v>6</v>
      </c>
      <c r="N256" s="382">
        <v>124.66</v>
      </c>
      <c r="O256" s="385">
        <v>4716</v>
      </c>
      <c r="P256" s="382">
        <v>112.46</v>
      </c>
      <c r="Q256" s="382">
        <v>104.83</v>
      </c>
      <c r="R256" s="382">
        <v>77.099999999999994</v>
      </c>
      <c r="S256" s="382">
        <v>189.11</v>
      </c>
      <c r="T256" s="385">
        <v>346</v>
      </c>
      <c r="U256" s="382">
        <v>219.45</v>
      </c>
      <c r="V256" s="385">
        <v>185</v>
      </c>
      <c r="W256" s="382">
        <v>152.51</v>
      </c>
      <c r="X256" s="385">
        <v>11</v>
      </c>
      <c r="Y256" s="382">
        <v>0</v>
      </c>
      <c r="Z256" s="382">
        <v>2</v>
      </c>
      <c r="AA256" s="382">
        <v>0</v>
      </c>
      <c r="AB256" s="382">
        <v>34</v>
      </c>
      <c r="AC256" s="382">
        <v>14</v>
      </c>
      <c r="AD256" s="382">
        <v>4919</v>
      </c>
      <c r="AE256" s="382">
        <v>42</v>
      </c>
      <c r="AF256" s="382">
        <v>7</v>
      </c>
      <c r="AG256" s="382">
        <v>49</v>
      </c>
    </row>
    <row r="257" spans="1:33" x14ac:dyDescent="0.3">
      <c r="A257" s="381" t="s">
        <v>572</v>
      </c>
      <c r="B257" s="381" t="s">
        <v>573</v>
      </c>
      <c r="C257" s="382">
        <v>2244</v>
      </c>
      <c r="D257" s="382">
        <v>0</v>
      </c>
      <c r="E257" s="382">
        <v>276</v>
      </c>
      <c r="F257" s="382">
        <v>206</v>
      </c>
      <c r="G257" s="382">
        <v>289</v>
      </c>
      <c r="H257" s="382">
        <v>3015</v>
      </c>
      <c r="I257" s="382">
        <v>2726</v>
      </c>
      <c r="J257" s="382">
        <v>3</v>
      </c>
      <c r="K257" s="382">
        <v>124.92</v>
      </c>
      <c r="L257" s="382">
        <v>121.18</v>
      </c>
      <c r="M257" s="382">
        <v>7.95</v>
      </c>
      <c r="N257" s="382">
        <v>131.32</v>
      </c>
      <c r="O257" s="385">
        <v>1618</v>
      </c>
      <c r="P257" s="382">
        <v>123.95</v>
      </c>
      <c r="Q257" s="382">
        <v>107.27</v>
      </c>
      <c r="R257" s="382">
        <v>40.01</v>
      </c>
      <c r="S257" s="382">
        <v>162.99</v>
      </c>
      <c r="T257" s="385">
        <v>415</v>
      </c>
      <c r="U257" s="382">
        <v>204.96</v>
      </c>
      <c r="V257" s="385">
        <v>386</v>
      </c>
      <c r="W257" s="382">
        <v>193.06</v>
      </c>
      <c r="X257" s="385">
        <v>16</v>
      </c>
      <c r="Y257" s="382">
        <v>52</v>
      </c>
      <c r="Z257" s="382">
        <v>0</v>
      </c>
      <c r="AA257" s="382">
        <v>4</v>
      </c>
      <c r="AB257" s="382">
        <v>35</v>
      </c>
      <c r="AC257" s="382">
        <v>10</v>
      </c>
      <c r="AD257" s="382">
        <v>2232</v>
      </c>
      <c r="AE257" s="382">
        <v>27</v>
      </c>
      <c r="AF257" s="382">
        <v>7</v>
      </c>
      <c r="AG257" s="382">
        <v>34</v>
      </c>
    </row>
    <row r="258" spans="1:33" x14ac:dyDescent="0.3">
      <c r="A258" s="381" t="s">
        <v>574</v>
      </c>
      <c r="B258" s="381" t="s">
        <v>575</v>
      </c>
      <c r="C258" s="382">
        <v>14543</v>
      </c>
      <c r="D258" s="382">
        <v>0</v>
      </c>
      <c r="E258" s="382">
        <v>623</v>
      </c>
      <c r="F258" s="382">
        <v>2094</v>
      </c>
      <c r="G258" s="382">
        <v>591</v>
      </c>
      <c r="H258" s="382">
        <v>17851</v>
      </c>
      <c r="I258" s="382">
        <v>17260</v>
      </c>
      <c r="J258" s="382">
        <v>10</v>
      </c>
      <c r="K258" s="382">
        <v>90.72</v>
      </c>
      <c r="L258" s="382">
        <v>87.3</v>
      </c>
      <c r="M258" s="382">
        <v>2</v>
      </c>
      <c r="N258" s="382">
        <v>92.52</v>
      </c>
      <c r="O258" s="385">
        <v>13048</v>
      </c>
      <c r="P258" s="382">
        <v>95.57</v>
      </c>
      <c r="Q258" s="382">
        <v>80.48</v>
      </c>
      <c r="R258" s="382">
        <v>44.8</v>
      </c>
      <c r="S258" s="382">
        <v>139.58000000000001</v>
      </c>
      <c r="T258" s="385">
        <v>2326</v>
      </c>
      <c r="U258" s="382">
        <v>102.94</v>
      </c>
      <c r="V258" s="385">
        <v>1405</v>
      </c>
      <c r="W258" s="382">
        <v>149.15</v>
      </c>
      <c r="X258" s="385">
        <v>219</v>
      </c>
      <c r="Y258" s="382">
        <v>0</v>
      </c>
      <c r="Z258" s="382">
        <v>58</v>
      </c>
      <c r="AA258" s="382">
        <v>1</v>
      </c>
      <c r="AB258" s="382">
        <v>22</v>
      </c>
      <c r="AC258" s="382">
        <v>16</v>
      </c>
      <c r="AD258" s="382">
        <v>14499</v>
      </c>
      <c r="AE258" s="382">
        <v>145</v>
      </c>
      <c r="AF258" s="382">
        <v>93</v>
      </c>
      <c r="AG258" s="382">
        <v>238</v>
      </c>
    </row>
    <row r="259" spans="1:33" x14ac:dyDescent="0.3">
      <c r="A259" s="381" t="s">
        <v>576</v>
      </c>
      <c r="B259" s="381" t="s">
        <v>577</v>
      </c>
      <c r="C259" s="382">
        <v>7221</v>
      </c>
      <c r="D259" s="382">
        <v>0</v>
      </c>
      <c r="E259" s="382">
        <v>264</v>
      </c>
      <c r="F259" s="382">
        <v>1094</v>
      </c>
      <c r="G259" s="382">
        <v>518</v>
      </c>
      <c r="H259" s="382">
        <v>9097</v>
      </c>
      <c r="I259" s="382">
        <v>8579</v>
      </c>
      <c r="J259" s="382">
        <v>0</v>
      </c>
      <c r="K259" s="382">
        <v>84.84</v>
      </c>
      <c r="L259" s="382">
        <v>84.57</v>
      </c>
      <c r="M259" s="382">
        <v>4.59</v>
      </c>
      <c r="N259" s="382">
        <v>87.77</v>
      </c>
      <c r="O259" s="385">
        <v>6388</v>
      </c>
      <c r="P259" s="382">
        <v>87.09</v>
      </c>
      <c r="Q259" s="382">
        <v>78.58</v>
      </c>
      <c r="R259" s="382">
        <v>27.11</v>
      </c>
      <c r="S259" s="382">
        <v>114.17</v>
      </c>
      <c r="T259" s="385">
        <v>1185</v>
      </c>
      <c r="U259" s="382">
        <v>110.66</v>
      </c>
      <c r="V259" s="385">
        <v>797</v>
      </c>
      <c r="W259" s="382">
        <v>187.51</v>
      </c>
      <c r="X259" s="385">
        <v>169</v>
      </c>
      <c r="Y259" s="382">
        <v>56</v>
      </c>
      <c r="Z259" s="382">
        <v>15</v>
      </c>
      <c r="AA259" s="382">
        <v>17</v>
      </c>
      <c r="AB259" s="382">
        <v>63</v>
      </c>
      <c r="AC259" s="382">
        <v>8</v>
      </c>
      <c r="AD259" s="382">
        <v>7221</v>
      </c>
      <c r="AE259" s="382">
        <v>31</v>
      </c>
      <c r="AF259" s="382">
        <v>42</v>
      </c>
      <c r="AG259" s="382">
        <v>73</v>
      </c>
    </row>
    <row r="260" spans="1:33" x14ac:dyDescent="0.3">
      <c r="A260" s="381" t="s">
        <v>578</v>
      </c>
      <c r="B260" s="381" t="s">
        <v>579</v>
      </c>
      <c r="C260" s="382">
        <v>3409</v>
      </c>
      <c r="D260" s="382">
        <v>5</v>
      </c>
      <c r="E260" s="382">
        <v>133</v>
      </c>
      <c r="F260" s="382">
        <v>279</v>
      </c>
      <c r="G260" s="382">
        <v>104</v>
      </c>
      <c r="H260" s="382">
        <v>3930</v>
      </c>
      <c r="I260" s="382">
        <v>3826</v>
      </c>
      <c r="J260" s="382">
        <v>1</v>
      </c>
      <c r="K260" s="382">
        <v>87.23</v>
      </c>
      <c r="L260" s="382">
        <v>83.92</v>
      </c>
      <c r="M260" s="382">
        <v>4.71</v>
      </c>
      <c r="N260" s="382">
        <v>89.23</v>
      </c>
      <c r="O260" s="385">
        <v>3041</v>
      </c>
      <c r="P260" s="382">
        <v>84.21</v>
      </c>
      <c r="Q260" s="382">
        <v>77.180000000000007</v>
      </c>
      <c r="R260" s="382">
        <v>74.19</v>
      </c>
      <c r="S260" s="382">
        <v>158.18</v>
      </c>
      <c r="T260" s="385">
        <v>330</v>
      </c>
      <c r="U260" s="382">
        <v>100.73</v>
      </c>
      <c r="V260" s="385">
        <v>269</v>
      </c>
      <c r="W260" s="382">
        <v>151.76</v>
      </c>
      <c r="X260" s="385">
        <v>72</v>
      </c>
      <c r="Y260" s="382">
        <v>6</v>
      </c>
      <c r="Z260" s="382">
        <v>15</v>
      </c>
      <c r="AA260" s="382">
        <v>3</v>
      </c>
      <c r="AB260" s="382">
        <v>4</v>
      </c>
      <c r="AC260" s="382">
        <v>2</v>
      </c>
      <c r="AD260" s="382">
        <v>3339</v>
      </c>
      <c r="AE260" s="382">
        <v>30</v>
      </c>
      <c r="AF260" s="382">
        <v>4</v>
      </c>
      <c r="AG260" s="382">
        <v>34</v>
      </c>
    </row>
    <row r="261" spans="1:33" x14ac:dyDescent="0.3">
      <c r="A261" s="381" t="s">
        <v>580</v>
      </c>
      <c r="B261" s="381" t="s">
        <v>581</v>
      </c>
      <c r="C261" s="382">
        <v>1722</v>
      </c>
      <c r="D261" s="382">
        <v>14</v>
      </c>
      <c r="E261" s="382">
        <v>171</v>
      </c>
      <c r="F261" s="382">
        <v>311</v>
      </c>
      <c r="G261" s="382">
        <v>598</v>
      </c>
      <c r="H261" s="382">
        <v>2816</v>
      </c>
      <c r="I261" s="382">
        <v>2218</v>
      </c>
      <c r="J261" s="382">
        <v>3</v>
      </c>
      <c r="K261" s="382">
        <v>116</v>
      </c>
      <c r="L261" s="382">
        <v>111.86</v>
      </c>
      <c r="M261" s="382">
        <v>7.19</v>
      </c>
      <c r="N261" s="382">
        <v>122.42</v>
      </c>
      <c r="O261" s="385">
        <v>1425</v>
      </c>
      <c r="P261" s="382">
        <v>108.35</v>
      </c>
      <c r="Q261" s="382">
        <v>89.75</v>
      </c>
      <c r="R261" s="382">
        <v>37.69</v>
      </c>
      <c r="S261" s="382">
        <v>145.13</v>
      </c>
      <c r="T261" s="385">
        <v>415</v>
      </c>
      <c r="U261" s="382">
        <v>146.91</v>
      </c>
      <c r="V261" s="385">
        <v>164</v>
      </c>
      <c r="W261" s="382">
        <v>0</v>
      </c>
      <c r="X261" s="385">
        <v>0</v>
      </c>
      <c r="Y261" s="382">
        <v>0</v>
      </c>
      <c r="Z261" s="382">
        <v>0</v>
      </c>
      <c r="AA261" s="382">
        <v>1</v>
      </c>
      <c r="AB261" s="382">
        <v>37</v>
      </c>
      <c r="AC261" s="382">
        <v>8</v>
      </c>
      <c r="AD261" s="382">
        <v>1608</v>
      </c>
      <c r="AE261" s="382">
        <v>8</v>
      </c>
      <c r="AF261" s="382">
        <v>3</v>
      </c>
      <c r="AG261" s="382">
        <v>11</v>
      </c>
    </row>
    <row r="262" spans="1:33" x14ac:dyDescent="0.3">
      <c r="A262" s="381" t="s">
        <v>582</v>
      </c>
      <c r="B262" s="381" t="s">
        <v>583</v>
      </c>
      <c r="C262" s="382">
        <v>4751</v>
      </c>
      <c r="D262" s="382">
        <v>0</v>
      </c>
      <c r="E262" s="382">
        <v>581</v>
      </c>
      <c r="F262" s="382">
        <v>1241</v>
      </c>
      <c r="G262" s="382">
        <v>1286</v>
      </c>
      <c r="H262" s="382">
        <v>7859</v>
      </c>
      <c r="I262" s="382">
        <v>6573</v>
      </c>
      <c r="J262" s="382">
        <v>4</v>
      </c>
      <c r="K262" s="382">
        <v>85.28</v>
      </c>
      <c r="L262" s="382">
        <v>83.75</v>
      </c>
      <c r="M262" s="382">
        <v>7.16</v>
      </c>
      <c r="N262" s="382">
        <v>89.4</v>
      </c>
      <c r="O262" s="385">
        <v>3845</v>
      </c>
      <c r="P262" s="382">
        <v>87.12</v>
      </c>
      <c r="Q262" s="382">
        <v>79.69</v>
      </c>
      <c r="R262" s="382">
        <v>31.96</v>
      </c>
      <c r="S262" s="382">
        <v>118.42</v>
      </c>
      <c r="T262" s="385">
        <v>1619</v>
      </c>
      <c r="U262" s="382">
        <v>117.97</v>
      </c>
      <c r="V262" s="385">
        <v>661</v>
      </c>
      <c r="W262" s="382">
        <v>180.97</v>
      </c>
      <c r="X262" s="385">
        <v>52</v>
      </c>
      <c r="Y262" s="382">
        <v>6</v>
      </c>
      <c r="Z262" s="382">
        <v>14</v>
      </c>
      <c r="AA262" s="382">
        <v>12</v>
      </c>
      <c r="AB262" s="382">
        <v>18</v>
      </c>
      <c r="AC262" s="382">
        <v>23</v>
      </c>
      <c r="AD262" s="382">
        <v>4275</v>
      </c>
      <c r="AE262" s="382">
        <v>27</v>
      </c>
      <c r="AF262" s="382">
        <v>7</v>
      </c>
      <c r="AG262" s="382">
        <v>34</v>
      </c>
    </row>
    <row r="263" spans="1:33" x14ac:dyDescent="0.3">
      <c r="A263" s="381" t="s">
        <v>584</v>
      </c>
      <c r="B263" s="381" t="s">
        <v>585</v>
      </c>
      <c r="C263" s="382">
        <v>12863</v>
      </c>
      <c r="D263" s="382">
        <v>0</v>
      </c>
      <c r="E263" s="382">
        <v>372</v>
      </c>
      <c r="F263" s="382">
        <v>827</v>
      </c>
      <c r="G263" s="382">
        <v>322</v>
      </c>
      <c r="H263" s="382">
        <v>14384</v>
      </c>
      <c r="I263" s="382">
        <v>14062</v>
      </c>
      <c r="J263" s="382">
        <v>2</v>
      </c>
      <c r="K263" s="382">
        <v>83.92</v>
      </c>
      <c r="L263" s="382">
        <v>86.85</v>
      </c>
      <c r="M263" s="382">
        <v>12.26</v>
      </c>
      <c r="N263" s="382">
        <v>87.32</v>
      </c>
      <c r="O263" s="385">
        <v>10658</v>
      </c>
      <c r="P263" s="382">
        <v>89.61</v>
      </c>
      <c r="Q263" s="382">
        <v>80.88</v>
      </c>
      <c r="R263" s="382">
        <v>56.84</v>
      </c>
      <c r="S263" s="382">
        <v>145.75</v>
      </c>
      <c r="T263" s="385">
        <v>1054</v>
      </c>
      <c r="U263" s="382">
        <v>102.81</v>
      </c>
      <c r="V263" s="385">
        <v>2034</v>
      </c>
      <c r="W263" s="382">
        <v>165.24</v>
      </c>
      <c r="X263" s="385">
        <v>60</v>
      </c>
      <c r="Y263" s="382">
        <v>1</v>
      </c>
      <c r="Z263" s="382">
        <v>47</v>
      </c>
      <c r="AA263" s="382">
        <v>0</v>
      </c>
      <c r="AB263" s="382">
        <v>11</v>
      </c>
      <c r="AC263" s="382">
        <v>10</v>
      </c>
      <c r="AD263" s="382">
        <v>12707</v>
      </c>
      <c r="AE263" s="382">
        <v>90</v>
      </c>
      <c r="AF263" s="382">
        <v>72</v>
      </c>
      <c r="AG263" s="382">
        <v>162</v>
      </c>
    </row>
    <row r="264" spans="1:33" x14ac:dyDescent="0.3">
      <c r="A264" s="381" t="s">
        <v>586</v>
      </c>
      <c r="B264" s="381" t="s">
        <v>587</v>
      </c>
      <c r="C264" s="382">
        <v>6082</v>
      </c>
      <c r="D264" s="382">
        <v>4</v>
      </c>
      <c r="E264" s="382">
        <v>827</v>
      </c>
      <c r="F264" s="382">
        <v>1524</v>
      </c>
      <c r="G264" s="382">
        <v>249</v>
      </c>
      <c r="H264" s="382">
        <v>8686</v>
      </c>
      <c r="I264" s="382">
        <v>8437</v>
      </c>
      <c r="J264" s="382">
        <v>90</v>
      </c>
      <c r="K264" s="382">
        <v>78.27</v>
      </c>
      <c r="L264" s="382">
        <v>77.569999999999993</v>
      </c>
      <c r="M264" s="382">
        <v>4.78</v>
      </c>
      <c r="N264" s="382">
        <v>81.64</v>
      </c>
      <c r="O264" s="385">
        <v>4854</v>
      </c>
      <c r="P264" s="382">
        <v>98.26</v>
      </c>
      <c r="Q264" s="382">
        <v>86.53</v>
      </c>
      <c r="R264" s="382">
        <v>69.95</v>
      </c>
      <c r="S264" s="382">
        <v>167.94</v>
      </c>
      <c r="T264" s="385">
        <v>1790</v>
      </c>
      <c r="U264" s="382">
        <v>101.84</v>
      </c>
      <c r="V264" s="385">
        <v>760</v>
      </c>
      <c r="W264" s="382">
        <v>231.51</v>
      </c>
      <c r="X264" s="385">
        <v>143</v>
      </c>
      <c r="Y264" s="382">
        <v>163</v>
      </c>
      <c r="Z264" s="382">
        <v>6</v>
      </c>
      <c r="AA264" s="382">
        <v>7</v>
      </c>
      <c r="AB264" s="382">
        <v>0</v>
      </c>
      <c r="AC264" s="382">
        <v>10</v>
      </c>
      <c r="AD264" s="382">
        <v>5485</v>
      </c>
      <c r="AE264" s="382">
        <v>60</v>
      </c>
      <c r="AF264" s="382">
        <v>56</v>
      </c>
      <c r="AG264" s="382">
        <v>116</v>
      </c>
    </row>
    <row r="265" spans="1:33" x14ac:dyDescent="0.3">
      <c r="A265" s="381" t="s">
        <v>588</v>
      </c>
      <c r="B265" s="381" t="s">
        <v>589</v>
      </c>
      <c r="C265" s="382">
        <v>7517</v>
      </c>
      <c r="D265" s="382">
        <v>2</v>
      </c>
      <c r="E265" s="382">
        <v>97</v>
      </c>
      <c r="F265" s="382">
        <v>834</v>
      </c>
      <c r="G265" s="382">
        <v>1115</v>
      </c>
      <c r="H265" s="382">
        <v>9565</v>
      </c>
      <c r="I265" s="382">
        <v>8450</v>
      </c>
      <c r="J265" s="382">
        <v>4</v>
      </c>
      <c r="K265" s="382">
        <v>109.11</v>
      </c>
      <c r="L265" s="382">
        <v>106.24</v>
      </c>
      <c r="M265" s="382">
        <v>5.95</v>
      </c>
      <c r="N265" s="382">
        <v>112.1</v>
      </c>
      <c r="O265" s="385">
        <v>6748</v>
      </c>
      <c r="P265" s="382">
        <v>102.69</v>
      </c>
      <c r="Q265" s="382">
        <v>95.5</v>
      </c>
      <c r="R265" s="382">
        <v>44.9</v>
      </c>
      <c r="S265" s="382">
        <v>146.83000000000001</v>
      </c>
      <c r="T265" s="385">
        <v>771</v>
      </c>
      <c r="U265" s="382">
        <v>146.04</v>
      </c>
      <c r="V265" s="385">
        <v>412</v>
      </c>
      <c r="W265" s="382">
        <v>178.98</v>
      </c>
      <c r="X265" s="385">
        <v>91</v>
      </c>
      <c r="Y265" s="382">
        <v>26</v>
      </c>
      <c r="Z265" s="382">
        <v>4</v>
      </c>
      <c r="AA265" s="382">
        <v>3</v>
      </c>
      <c r="AB265" s="382">
        <v>147</v>
      </c>
      <c r="AC265" s="382">
        <v>22</v>
      </c>
      <c r="AD265" s="382">
        <v>7087</v>
      </c>
      <c r="AE265" s="382">
        <v>125</v>
      </c>
      <c r="AF265" s="382">
        <v>38</v>
      </c>
      <c r="AG265" s="382">
        <v>163</v>
      </c>
    </row>
    <row r="266" spans="1:33" x14ac:dyDescent="0.3">
      <c r="A266" s="381" t="s">
        <v>590</v>
      </c>
      <c r="B266" s="381" t="s">
        <v>591</v>
      </c>
      <c r="C266" s="382">
        <v>1809</v>
      </c>
      <c r="D266" s="382">
        <v>12</v>
      </c>
      <c r="E266" s="382">
        <v>155</v>
      </c>
      <c r="F266" s="382">
        <v>139</v>
      </c>
      <c r="G266" s="382">
        <v>675</v>
      </c>
      <c r="H266" s="382">
        <v>2790</v>
      </c>
      <c r="I266" s="382">
        <v>2115</v>
      </c>
      <c r="J266" s="382">
        <v>1</v>
      </c>
      <c r="K266" s="382">
        <v>101.49</v>
      </c>
      <c r="L266" s="382">
        <v>98.75</v>
      </c>
      <c r="M266" s="382">
        <v>5.87</v>
      </c>
      <c r="N266" s="382">
        <v>105.98</v>
      </c>
      <c r="O266" s="385">
        <v>1093</v>
      </c>
      <c r="P266" s="382">
        <v>89.46</v>
      </c>
      <c r="Q266" s="382">
        <v>83.18</v>
      </c>
      <c r="R266" s="382">
        <v>53.85</v>
      </c>
      <c r="S266" s="382">
        <v>142.07</v>
      </c>
      <c r="T266" s="385">
        <v>218</v>
      </c>
      <c r="U266" s="382">
        <v>130.31</v>
      </c>
      <c r="V266" s="385">
        <v>626</v>
      </c>
      <c r="W266" s="382">
        <v>0</v>
      </c>
      <c r="X266" s="385">
        <v>0</v>
      </c>
      <c r="Y266" s="382">
        <v>6</v>
      </c>
      <c r="Z266" s="382">
        <v>1</v>
      </c>
      <c r="AA266" s="382">
        <v>1</v>
      </c>
      <c r="AB266" s="382">
        <v>103</v>
      </c>
      <c r="AC266" s="382">
        <v>8</v>
      </c>
      <c r="AD266" s="382">
        <v>1729</v>
      </c>
      <c r="AE266" s="382">
        <v>23</v>
      </c>
      <c r="AF266" s="382">
        <v>11</v>
      </c>
      <c r="AG266" s="382">
        <v>34</v>
      </c>
    </row>
    <row r="267" spans="1:33" x14ac:dyDescent="0.3">
      <c r="A267" s="381" t="s">
        <v>592</v>
      </c>
      <c r="B267" s="381" t="s">
        <v>593</v>
      </c>
      <c r="C267" s="382">
        <v>31704</v>
      </c>
      <c r="D267" s="382">
        <v>2</v>
      </c>
      <c r="E267" s="382">
        <v>745</v>
      </c>
      <c r="F267" s="382">
        <v>2060</v>
      </c>
      <c r="G267" s="382">
        <v>411</v>
      </c>
      <c r="H267" s="382">
        <v>34922</v>
      </c>
      <c r="I267" s="382">
        <v>34511</v>
      </c>
      <c r="J267" s="382">
        <v>5</v>
      </c>
      <c r="K267" s="382">
        <v>81.31</v>
      </c>
      <c r="L267" s="382">
        <v>81.040000000000006</v>
      </c>
      <c r="M267" s="382">
        <v>7.47</v>
      </c>
      <c r="N267" s="382">
        <v>82.79</v>
      </c>
      <c r="O267" s="385">
        <v>28959</v>
      </c>
      <c r="P267" s="382">
        <v>93.64</v>
      </c>
      <c r="Q267" s="382">
        <v>80.75</v>
      </c>
      <c r="R267" s="382">
        <v>48.53</v>
      </c>
      <c r="S267" s="382">
        <v>140.94</v>
      </c>
      <c r="T267" s="385">
        <v>2507</v>
      </c>
      <c r="U267" s="382">
        <v>99.64</v>
      </c>
      <c r="V267" s="385">
        <v>2376</v>
      </c>
      <c r="W267" s="382">
        <v>222.9</v>
      </c>
      <c r="X267" s="385">
        <v>218</v>
      </c>
      <c r="Y267" s="382">
        <v>0</v>
      </c>
      <c r="Z267" s="382">
        <v>119</v>
      </c>
      <c r="AA267" s="382">
        <v>14</v>
      </c>
      <c r="AB267" s="382">
        <v>18</v>
      </c>
      <c r="AC267" s="382">
        <v>3</v>
      </c>
      <c r="AD267" s="382">
        <v>31409</v>
      </c>
      <c r="AE267" s="382">
        <v>252</v>
      </c>
      <c r="AF267" s="382">
        <v>64</v>
      </c>
      <c r="AG267" s="382">
        <v>316</v>
      </c>
    </row>
    <row r="268" spans="1:33" x14ac:dyDescent="0.3">
      <c r="A268" s="381" t="s">
        <v>594</v>
      </c>
      <c r="B268" s="381" t="s">
        <v>595</v>
      </c>
      <c r="C268" s="382">
        <v>3232</v>
      </c>
      <c r="D268" s="382">
        <v>44</v>
      </c>
      <c r="E268" s="382">
        <v>104</v>
      </c>
      <c r="F268" s="382">
        <v>302</v>
      </c>
      <c r="G268" s="382">
        <v>382</v>
      </c>
      <c r="H268" s="382">
        <v>4064</v>
      </c>
      <c r="I268" s="382">
        <v>3682</v>
      </c>
      <c r="J268" s="382">
        <v>14</v>
      </c>
      <c r="K268" s="382">
        <v>114.17</v>
      </c>
      <c r="L268" s="382">
        <v>111.55</v>
      </c>
      <c r="M268" s="382">
        <v>7.57</v>
      </c>
      <c r="N268" s="382">
        <v>118.55</v>
      </c>
      <c r="O268" s="385">
        <v>2943</v>
      </c>
      <c r="P268" s="382">
        <v>111.91</v>
      </c>
      <c r="Q268" s="382">
        <v>92.03</v>
      </c>
      <c r="R268" s="382">
        <v>35.700000000000003</v>
      </c>
      <c r="S268" s="382">
        <v>147.5</v>
      </c>
      <c r="T268" s="385">
        <v>346</v>
      </c>
      <c r="U268" s="382">
        <v>211.54</v>
      </c>
      <c r="V268" s="385">
        <v>238</v>
      </c>
      <c r="W268" s="382">
        <v>0</v>
      </c>
      <c r="X268" s="385">
        <v>0</v>
      </c>
      <c r="Y268" s="382">
        <v>0</v>
      </c>
      <c r="Z268" s="382">
        <v>1</v>
      </c>
      <c r="AA268" s="382">
        <v>0</v>
      </c>
      <c r="AB268" s="382">
        <v>31</v>
      </c>
      <c r="AC268" s="382">
        <v>8</v>
      </c>
      <c r="AD268" s="382">
        <v>3229</v>
      </c>
      <c r="AE268" s="382">
        <v>36</v>
      </c>
      <c r="AF268" s="382">
        <v>9</v>
      </c>
      <c r="AG268" s="382">
        <v>45</v>
      </c>
    </row>
    <row r="269" spans="1:33" x14ac:dyDescent="0.3">
      <c r="A269" s="381" t="s">
        <v>596</v>
      </c>
      <c r="B269" s="381" t="s">
        <v>597</v>
      </c>
      <c r="C269" s="382">
        <v>4618</v>
      </c>
      <c r="D269" s="382">
        <v>8</v>
      </c>
      <c r="E269" s="382">
        <v>391</v>
      </c>
      <c r="F269" s="382">
        <v>951</v>
      </c>
      <c r="G269" s="382">
        <v>984</v>
      </c>
      <c r="H269" s="382">
        <v>6952</v>
      </c>
      <c r="I269" s="382">
        <v>5968</v>
      </c>
      <c r="J269" s="382">
        <v>11</v>
      </c>
      <c r="K269" s="382">
        <v>120.72</v>
      </c>
      <c r="L269" s="382">
        <v>119.34</v>
      </c>
      <c r="M269" s="382">
        <v>8.6999999999999993</v>
      </c>
      <c r="N269" s="382">
        <v>128.88999999999999</v>
      </c>
      <c r="O269" s="385">
        <v>4022</v>
      </c>
      <c r="P269" s="382">
        <v>121.38</v>
      </c>
      <c r="Q269" s="382">
        <v>108.57</v>
      </c>
      <c r="R269" s="382">
        <v>44.57</v>
      </c>
      <c r="S269" s="382">
        <v>163.93</v>
      </c>
      <c r="T269" s="385">
        <v>819</v>
      </c>
      <c r="U269" s="382">
        <v>188.94</v>
      </c>
      <c r="V269" s="385">
        <v>372</v>
      </c>
      <c r="W269" s="382">
        <v>177.71</v>
      </c>
      <c r="X269" s="385">
        <v>18</v>
      </c>
      <c r="Y269" s="382">
        <v>7</v>
      </c>
      <c r="Z269" s="382">
        <v>3</v>
      </c>
      <c r="AA269" s="382">
        <v>1</v>
      </c>
      <c r="AB269" s="382">
        <v>15</v>
      </c>
      <c r="AC269" s="382">
        <v>33</v>
      </c>
      <c r="AD269" s="382">
        <v>4453</v>
      </c>
      <c r="AE269" s="382">
        <v>46</v>
      </c>
      <c r="AF269" s="382">
        <v>21</v>
      </c>
      <c r="AG269" s="382">
        <v>67</v>
      </c>
    </row>
    <row r="270" spans="1:33" x14ac:dyDescent="0.3">
      <c r="A270" s="381" t="s">
        <v>598</v>
      </c>
      <c r="B270" s="381" t="s">
        <v>599</v>
      </c>
      <c r="C270" s="382">
        <v>7961</v>
      </c>
      <c r="D270" s="382">
        <v>0</v>
      </c>
      <c r="E270" s="382">
        <v>238</v>
      </c>
      <c r="F270" s="382">
        <v>438</v>
      </c>
      <c r="G270" s="382">
        <v>829</v>
      </c>
      <c r="H270" s="382">
        <v>9466</v>
      </c>
      <c r="I270" s="382">
        <v>8637</v>
      </c>
      <c r="J270" s="382">
        <v>25</v>
      </c>
      <c r="K270" s="382">
        <v>100.38</v>
      </c>
      <c r="L270" s="382">
        <v>99.94</v>
      </c>
      <c r="M270" s="382">
        <v>7</v>
      </c>
      <c r="N270" s="382">
        <v>103.61</v>
      </c>
      <c r="O270" s="385">
        <v>6564</v>
      </c>
      <c r="P270" s="382">
        <v>95.5</v>
      </c>
      <c r="Q270" s="382">
        <v>83.91</v>
      </c>
      <c r="R270" s="382">
        <v>55.07</v>
      </c>
      <c r="S270" s="382">
        <v>146.01</v>
      </c>
      <c r="T270" s="385">
        <v>605</v>
      </c>
      <c r="U270" s="382">
        <v>141.04</v>
      </c>
      <c r="V270" s="385">
        <v>1282</v>
      </c>
      <c r="W270" s="382">
        <v>0</v>
      </c>
      <c r="X270" s="385">
        <v>0</v>
      </c>
      <c r="Y270" s="382">
        <v>6</v>
      </c>
      <c r="Z270" s="382">
        <v>2</v>
      </c>
      <c r="AA270" s="382">
        <v>16</v>
      </c>
      <c r="AB270" s="382">
        <v>138</v>
      </c>
      <c r="AC270" s="382">
        <v>18</v>
      </c>
      <c r="AD270" s="382">
        <v>7866</v>
      </c>
      <c r="AE270" s="382">
        <v>66</v>
      </c>
      <c r="AF270" s="382">
        <v>47</v>
      </c>
      <c r="AG270" s="382">
        <v>113</v>
      </c>
    </row>
    <row r="271" spans="1:33" x14ac:dyDescent="0.3">
      <c r="A271" s="381" t="s">
        <v>600</v>
      </c>
      <c r="B271" s="381" t="s">
        <v>601</v>
      </c>
      <c r="C271" s="382">
        <v>4191</v>
      </c>
      <c r="D271" s="382">
        <v>0</v>
      </c>
      <c r="E271" s="382">
        <v>560</v>
      </c>
      <c r="F271" s="382">
        <v>923</v>
      </c>
      <c r="G271" s="382">
        <v>1129</v>
      </c>
      <c r="H271" s="382">
        <v>6803</v>
      </c>
      <c r="I271" s="382">
        <v>5674</v>
      </c>
      <c r="J271" s="382">
        <v>2</v>
      </c>
      <c r="K271" s="382">
        <v>100.41</v>
      </c>
      <c r="L271" s="382">
        <v>97.88</v>
      </c>
      <c r="M271" s="382">
        <v>6.82</v>
      </c>
      <c r="N271" s="382">
        <v>105.74</v>
      </c>
      <c r="O271" s="385">
        <v>3086</v>
      </c>
      <c r="P271" s="382">
        <v>88.59</v>
      </c>
      <c r="Q271" s="382">
        <v>85.97</v>
      </c>
      <c r="R271" s="382">
        <v>53.17</v>
      </c>
      <c r="S271" s="382">
        <v>139.72</v>
      </c>
      <c r="T271" s="385">
        <v>1433</v>
      </c>
      <c r="U271" s="382">
        <v>139.68</v>
      </c>
      <c r="V271" s="385">
        <v>921</v>
      </c>
      <c r="W271" s="382">
        <v>124.19</v>
      </c>
      <c r="X271" s="385">
        <v>1</v>
      </c>
      <c r="Y271" s="382">
        <v>0</v>
      </c>
      <c r="Z271" s="382">
        <v>0</v>
      </c>
      <c r="AA271" s="382">
        <v>1</v>
      </c>
      <c r="AB271" s="382">
        <v>58</v>
      </c>
      <c r="AC271" s="382">
        <v>34</v>
      </c>
      <c r="AD271" s="382">
        <v>4135</v>
      </c>
      <c r="AE271" s="382">
        <v>23</v>
      </c>
      <c r="AF271" s="382">
        <v>11</v>
      </c>
      <c r="AG271" s="382">
        <v>34</v>
      </c>
    </row>
    <row r="272" spans="1:33" x14ac:dyDescent="0.3">
      <c r="A272" s="381" t="s">
        <v>602</v>
      </c>
      <c r="B272" s="381" t="s">
        <v>603</v>
      </c>
      <c r="C272" s="382">
        <v>20186</v>
      </c>
      <c r="D272" s="382">
        <v>0</v>
      </c>
      <c r="E272" s="382">
        <v>655</v>
      </c>
      <c r="F272" s="382">
        <v>1373</v>
      </c>
      <c r="G272" s="382">
        <v>225</v>
      </c>
      <c r="H272" s="382">
        <v>22439</v>
      </c>
      <c r="I272" s="382">
        <v>22214</v>
      </c>
      <c r="J272" s="382">
        <v>15</v>
      </c>
      <c r="K272" s="382">
        <v>83.75</v>
      </c>
      <c r="L272" s="382">
        <v>80.78</v>
      </c>
      <c r="M272" s="382">
        <v>3.8</v>
      </c>
      <c r="N272" s="382">
        <v>87.2</v>
      </c>
      <c r="O272" s="385">
        <v>16664</v>
      </c>
      <c r="P272" s="382">
        <v>84.1</v>
      </c>
      <c r="Q272" s="382">
        <v>74.349999999999994</v>
      </c>
      <c r="R272" s="382">
        <v>40.229999999999997</v>
      </c>
      <c r="S272" s="382">
        <v>122.12</v>
      </c>
      <c r="T272" s="385">
        <v>1841</v>
      </c>
      <c r="U272" s="382">
        <v>108.21</v>
      </c>
      <c r="V272" s="385">
        <v>2528</v>
      </c>
      <c r="W272" s="382">
        <v>133.37</v>
      </c>
      <c r="X272" s="385">
        <v>52</v>
      </c>
      <c r="Y272" s="382">
        <v>0</v>
      </c>
      <c r="Z272" s="382">
        <v>74</v>
      </c>
      <c r="AA272" s="382">
        <v>0</v>
      </c>
      <c r="AB272" s="382">
        <v>1</v>
      </c>
      <c r="AC272" s="382">
        <v>4</v>
      </c>
      <c r="AD272" s="382">
        <v>19211</v>
      </c>
      <c r="AE272" s="382">
        <v>173</v>
      </c>
      <c r="AF272" s="382">
        <v>34</v>
      </c>
      <c r="AG272" s="382">
        <v>207</v>
      </c>
    </row>
    <row r="273" spans="1:33" x14ac:dyDescent="0.3">
      <c r="A273" s="381" t="s">
        <v>604</v>
      </c>
      <c r="B273" s="381" t="s">
        <v>605</v>
      </c>
      <c r="C273" s="382">
        <v>1670</v>
      </c>
      <c r="D273" s="382">
        <v>0</v>
      </c>
      <c r="E273" s="382">
        <v>130</v>
      </c>
      <c r="F273" s="382">
        <v>110</v>
      </c>
      <c r="G273" s="382">
        <v>246</v>
      </c>
      <c r="H273" s="382">
        <v>2156</v>
      </c>
      <c r="I273" s="382">
        <v>1910</v>
      </c>
      <c r="J273" s="382">
        <v>0</v>
      </c>
      <c r="K273" s="382">
        <v>90.38</v>
      </c>
      <c r="L273" s="382">
        <v>86.94</v>
      </c>
      <c r="M273" s="382">
        <v>5.67</v>
      </c>
      <c r="N273" s="382">
        <v>95.23</v>
      </c>
      <c r="O273" s="385">
        <v>1241</v>
      </c>
      <c r="P273" s="382">
        <v>84.55</v>
      </c>
      <c r="Q273" s="382">
        <v>79.34</v>
      </c>
      <c r="R273" s="382">
        <v>39.24</v>
      </c>
      <c r="S273" s="382">
        <v>123.78</v>
      </c>
      <c r="T273" s="385">
        <v>190</v>
      </c>
      <c r="U273" s="382">
        <v>118.24</v>
      </c>
      <c r="V273" s="385">
        <v>415</v>
      </c>
      <c r="W273" s="382">
        <v>0</v>
      </c>
      <c r="X273" s="385">
        <v>0</v>
      </c>
      <c r="Y273" s="382">
        <v>15</v>
      </c>
      <c r="Z273" s="382">
        <v>0</v>
      </c>
      <c r="AA273" s="382">
        <v>0</v>
      </c>
      <c r="AB273" s="382">
        <v>44</v>
      </c>
      <c r="AC273" s="382">
        <v>4</v>
      </c>
      <c r="AD273" s="382">
        <v>1670</v>
      </c>
      <c r="AE273" s="382">
        <v>17</v>
      </c>
      <c r="AF273" s="382">
        <v>2</v>
      </c>
      <c r="AG273" s="382">
        <v>19</v>
      </c>
    </row>
    <row r="274" spans="1:33" x14ac:dyDescent="0.3">
      <c r="A274" s="381" t="s">
        <v>606</v>
      </c>
      <c r="B274" s="381" t="s">
        <v>607</v>
      </c>
      <c r="C274" s="382">
        <v>1192</v>
      </c>
      <c r="D274" s="382">
        <v>0</v>
      </c>
      <c r="E274" s="382">
        <v>128</v>
      </c>
      <c r="F274" s="382">
        <v>75</v>
      </c>
      <c r="G274" s="382">
        <v>367</v>
      </c>
      <c r="H274" s="382">
        <v>1762</v>
      </c>
      <c r="I274" s="382">
        <v>1395</v>
      </c>
      <c r="J274" s="382">
        <v>1</v>
      </c>
      <c r="K274" s="382">
        <v>127.27</v>
      </c>
      <c r="L274" s="382">
        <v>125.16</v>
      </c>
      <c r="M274" s="382">
        <v>8.32</v>
      </c>
      <c r="N274" s="382">
        <v>135.21</v>
      </c>
      <c r="O274" s="385">
        <v>721</v>
      </c>
      <c r="P274" s="382">
        <v>153.46</v>
      </c>
      <c r="Q274" s="382">
        <v>97.45</v>
      </c>
      <c r="R274" s="382">
        <v>51.26</v>
      </c>
      <c r="S274" s="382">
        <v>201.94</v>
      </c>
      <c r="T274" s="385">
        <v>92</v>
      </c>
      <c r="U274" s="382">
        <v>188.35</v>
      </c>
      <c r="V274" s="385">
        <v>366</v>
      </c>
      <c r="W274" s="382">
        <v>147.69999999999999</v>
      </c>
      <c r="X274" s="385">
        <v>8</v>
      </c>
      <c r="Y274" s="382">
        <v>0</v>
      </c>
      <c r="Z274" s="382">
        <v>0</v>
      </c>
      <c r="AA274" s="382">
        <v>0</v>
      </c>
      <c r="AB274" s="382">
        <v>26</v>
      </c>
      <c r="AC274" s="382">
        <v>7</v>
      </c>
      <c r="AD274" s="382">
        <v>1150</v>
      </c>
      <c r="AE274" s="382">
        <v>9</v>
      </c>
      <c r="AF274" s="382">
        <v>0</v>
      </c>
      <c r="AG274" s="382">
        <v>9</v>
      </c>
    </row>
    <row r="275" spans="1:33" x14ac:dyDescent="0.3">
      <c r="A275" s="381" t="s">
        <v>608</v>
      </c>
      <c r="B275" s="381" t="s">
        <v>609</v>
      </c>
      <c r="C275" s="382">
        <v>4310</v>
      </c>
      <c r="D275" s="382">
        <v>0</v>
      </c>
      <c r="E275" s="382">
        <v>218</v>
      </c>
      <c r="F275" s="382">
        <v>1383</v>
      </c>
      <c r="G275" s="382">
        <v>700</v>
      </c>
      <c r="H275" s="382">
        <v>6611</v>
      </c>
      <c r="I275" s="382">
        <v>5911</v>
      </c>
      <c r="J275" s="382">
        <v>0</v>
      </c>
      <c r="K275" s="382">
        <v>88.62</v>
      </c>
      <c r="L275" s="382">
        <v>88</v>
      </c>
      <c r="M275" s="382">
        <v>4.0999999999999996</v>
      </c>
      <c r="N275" s="382">
        <v>92.53</v>
      </c>
      <c r="O275" s="385">
        <v>3388</v>
      </c>
      <c r="P275" s="382">
        <v>86.27</v>
      </c>
      <c r="Q275" s="382">
        <v>81.98</v>
      </c>
      <c r="R275" s="382">
        <v>15.47</v>
      </c>
      <c r="S275" s="382">
        <v>101.61</v>
      </c>
      <c r="T275" s="385">
        <v>1273</v>
      </c>
      <c r="U275" s="382">
        <v>131.38999999999999</v>
      </c>
      <c r="V275" s="385">
        <v>843</v>
      </c>
      <c r="W275" s="382">
        <v>100.53</v>
      </c>
      <c r="X275" s="385">
        <v>10</v>
      </c>
      <c r="Y275" s="382">
        <v>6</v>
      </c>
      <c r="Z275" s="382">
        <v>12</v>
      </c>
      <c r="AA275" s="382">
        <v>7</v>
      </c>
      <c r="AB275" s="382">
        <v>19</v>
      </c>
      <c r="AC275" s="382">
        <v>21</v>
      </c>
      <c r="AD275" s="382">
        <v>4290</v>
      </c>
      <c r="AE275" s="382">
        <v>6</v>
      </c>
      <c r="AF275" s="382">
        <v>13</v>
      </c>
      <c r="AG275" s="382">
        <v>19</v>
      </c>
    </row>
    <row r="276" spans="1:33" x14ac:dyDescent="0.3">
      <c r="A276" s="381" t="s">
        <v>610</v>
      </c>
      <c r="B276" s="381" t="s">
        <v>611</v>
      </c>
      <c r="C276" s="382">
        <v>11531</v>
      </c>
      <c r="D276" s="382">
        <v>0</v>
      </c>
      <c r="E276" s="382">
        <v>361</v>
      </c>
      <c r="F276" s="382">
        <v>1958</v>
      </c>
      <c r="G276" s="382">
        <v>621</v>
      </c>
      <c r="H276" s="382">
        <v>14471</v>
      </c>
      <c r="I276" s="382">
        <v>13850</v>
      </c>
      <c r="J276" s="382">
        <v>129</v>
      </c>
      <c r="K276" s="382">
        <v>92.03</v>
      </c>
      <c r="L276" s="382">
        <v>89.13</v>
      </c>
      <c r="M276" s="382">
        <v>6.18</v>
      </c>
      <c r="N276" s="382">
        <v>94.54</v>
      </c>
      <c r="O276" s="385">
        <v>9575</v>
      </c>
      <c r="P276" s="382">
        <v>91.53</v>
      </c>
      <c r="Q276" s="382">
        <v>88.18</v>
      </c>
      <c r="R276" s="382">
        <v>42.28</v>
      </c>
      <c r="S276" s="382">
        <v>133.77000000000001</v>
      </c>
      <c r="T276" s="385">
        <v>1909</v>
      </c>
      <c r="U276" s="382">
        <v>118.47</v>
      </c>
      <c r="V276" s="385">
        <v>1576</v>
      </c>
      <c r="W276" s="382">
        <v>205.71</v>
      </c>
      <c r="X276" s="385">
        <v>263</v>
      </c>
      <c r="Y276" s="382">
        <v>0</v>
      </c>
      <c r="Z276" s="382">
        <v>50</v>
      </c>
      <c r="AA276" s="382">
        <v>72</v>
      </c>
      <c r="AB276" s="382">
        <v>68</v>
      </c>
      <c r="AC276" s="382">
        <v>9</v>
      </c>
      <c r="AD276" s="382">
        <v>11527</v>
      </c>
      <c r="AE276" s="382">
        <v>259</v>
      </c>
      <c r="AF276" s="382">
        <v>60</v>
      </c>
      <c r="AG276" s="382">
        <v>319</v>
      </c>
    </row>
    <row r="277" spans="1:33" x14ac:dyDescent="0.3">
      <c r="A277" s="381" t="s">
        <v>612</v>
      </c>
      <c r="B277" s="381" t="s">
        <v>613</v>
      </c>
      <c r="C277" s="382">
        <v>2131</v>
      </c>
      <c r="D277" s="382">
        <v>0</v>
      </c>
      <c r="E277" s="382">
        <v>246</v>
      </c>
      <c r="F277" s="382">
        <v>553</v>
      </c>
      <c r="G277" s="382">
        <v>198</v>
      </c>
      <c r="H277" s="382">
        <v>3128</v>
      </c>
      <c r="I277" s="382">
        <v>2930</v>
      </c>
      <c r="J277" s="382">
        <v>4</v>
      </c>
      <c r="K277" s="382">
        <v>102.03</v>
      </c>
      <c r="L277" s="382">
        <v>99.93</v>
      </c>
      <c r="M277" s="382">
        <v>4.53</v>
      </c>
      <c r="N277" s="382">
        <v>105.82</v>
      </c>
      <c r="O277" s="385">
        <v>1723</v>
      </c>
      <c r="P277" s="382">
        <v>92.02</v>
      </c>
      <c r="Q277" s="382">
        <v>84.61</v>
      </c>
      <c r="R277" s="382">
        <v>38.880000000000003</v>
      </c>
      <c r="S277" s="382">
        <v>129.21</v>
      </c>
      <c r="T277" s="385">
        <v>762</v>
      </c>
      <c r="U277" s="382">
        <v>135.33000000000001</v>
      </c>
      <c r="V277" s="385">
        <v>359</v>
      </c>
      <c r="W277" s="382">
        <v>0</v>
      </c>
      <c r="X277" s="385">
        <v>0</v>
      </c>
      <c r="Y277" s="382">
        <v>12</v>
      </c>
      <c r="Z277" s="382">
        <v>0</v>
      </c>
      <c r="AA277" s="382">
        <v>2</v>
      </c>
      <c r="AB277" s="382">
        <v>13</v>
      </c>
      <c r="AC277" s="382">
        <v>2</v>
      </c>
      <c r="AD277" s="382">
        <v>2131</v>
      </c>
      <c r="AE277" s="382">
        <v>15</v>
      </c>
      <c r="AF277" s="382">
        <v>12</v>
      </c>
      <c r="AG277" s="382">
        <v>27</v>
      </c>
    </row>
    <row r="278" spans="1:33" x14ac:dyDescent="0.3">
      <c r="A278" s="381" t="s">
        <v>614</v>
      </c>
      <c r="B278" s="381" t="s">
        <v>615</v>
      </c>
      <c r="C278" s="382">
        <v>7707</v>
      </c>
      <c r="D278" s="382">
        <v>0</v>
      </c>
      <c r="E278" s="382">
        <v>363</v>
      </c>
      <c r="F278" s="382">
        <v>347</v>
      </c>
      <c r="G278" s="382">
        <v>1118</v>
      </c>
      <c r="H278" s="382">
        <v>9535</v>
      </c>
      <c r="I278" s="382">
        <v>8417</v>
      </c>
      <c r="J278" s="382">
        <v>4</v>
      </c>
      <c r="K278" s="382">
        <v>110.47</v>
      </c>
      <c r="L278" s="382">
        <v>108.31</v>
      </c>
      <c r="M278" s="382">
        <v>4.8099999999999996</v>
      </c>
      <c r="N278" s="382">
        <v>114.48</v>
      </c>
      <c r="O278" s="385">
        <v>6273</v>
      </c>
      <c r="P278" s="382">
        <v>97.13</v>
      </c>
      <c r="Q278" s="382">
        <v>92.7</v>
      </c>
      <c r="R278" s="382">
        <v>39.619999999999997</v>
      </c>
      <c r="S278" s="382">
        <v>135.79</v>
      </c>
      <c r="T278" s="385">
        <v>539</v>
      </c>
      <c r="U278" s="382">
        <v>156.32</v>
      </c>
      <c r="V278" s="385">
        <v>1194</v>
      </c>
      <c r="W278" s="382">
        <v>270.05</v>
      </c>
      <c r="X278" s="385">
        <v>40</v>
      </c>
      <c r="Y278" s="382">
        <v>68</v>
      </c>
      <c r="Z278" s="382">
        <v>14</v>
      </c>
      <c r="AA278" s="382">
        <v>12</v>
      </c>
      <c r="AB278" s="382">
        <v>146</v>
      </c>
      <c r="AC278" s="382">
        <v>36</v>
      </c>
      <c r="AD278" s="382">
        <v>7547</v>
      </c>
      <c r="AE278" s="382">
        <v>57</v>
      </c>
      <c r="AF278" s="382">
        <v>34</v>
      </c>
      <c r="AG278" s="382">
        <v>91</v>
      </c>
    </row>
    <row r="279" spans="1:33" x14ac:dyDescent="0.3">
      <c r="A279" s="381" t="s">
        <v>616</v>
      </c>
      <c r="B279" s="381" t="s">
        <v>617</v>
      </c>
      <c r="C279" s="382">
        <v>4813</v>
      </c>
      <c r="D279" s="382">
        <v>0</v>
      </c>
      <c r="E279" s="382">
        <v>78</v>
      </c>
      <c r="F279" s="382">
        <v>571</v>
      </c>
      <c r="G279" s="382">
        <v>974</v>
      </c>
      <c r="H279" s="382">
        <v>6436</v>
      </c>
      <c r="I279" s="382">
        <v>5462</v>
      </c>
      <c r="J279" s="382">
        <v>0</v>
      </c>
      <c r="K279" s="382">
        <v>97.86</v>
      </c>
      <c r="L279" s="382">
        <v>94.14</v>
      </c>
      <c r="M279" s="382">
        <v>5.88</v>
      </c>
      <c r="N279" s="382">
        <v>100.98</v>
      </c>
      <c r="O279" s="385">
        <v>3849</v>
      </c>
      <c r="P279" s="382">
        <v>90.45</v>
      </c>
      <c r="Q279" s="382">
        <v>83.4</v>
      </c>
      <c r="R279" s="382">
        <v>42.24</v>
      </c>
      <c r="S279" s="382">
        <v>132.56</v>
      </c>
      <c r="T279" s="385">
        <v>624</v>
      </c>
      <c r="U279" s="382">
        <v>138.71</v>
      </c>
      <c r="V279" s="385">
        <v>954</v>
      </c>
      <c r="W279" s="382">
        <v>124.85</v>
      </c>
      <c r="X279" s="385">
        <v>17</v>
      </c>
      <c r="Y279" s="382">
        <v>0</v>
      </c>
      <c r="Z279" s="382">
        <v>7</v>
      </c>
      <c r="AA279" s="382">
        <v>6</v>
      </c>
      <c r="AB279" s="382">
        <v>116</v>
      </c>
      <c r="AC279" s="382">
        <v>29</v>
      </c>
      <c r="AD279" s="382">
        <v>4807</v>
      </c>
      <c r="AE279" s="382">
        <v>93</v>
      </c>
      <c r="AF279" s="382">
        <v>5</v>
      </c>
      <c r="AG279" s="382">
        <v>98</v>
      </c>
    </row>
    <row r="280" spans="1:33" x14ac:dyDescent="0.3">
      <c r="A280" s="381" t="s">
        <v>618</v>
      </c>
      <c r="B280" s="381" t="s">
        <v>619</v>
      </c>
      <c r="C280" s="382">
        <v>3877</v>
      </c>
      <c r="D280" s="382">
        <v>0</v>
      </c>
      <c r="E280" s="382">
        <v>96</v>
      </c>
      <c r="F280" s="382">
        <v>691</v>
      </c>
      <c r="G280" s="382">
        <v>230</v>
      </c>
      <c r="H280" s="382">
        <v>4894</v>
      </c>
      <c r="I280" s="382">
        <v>4664</v>
      </c>
      <c r="J280" s="382">
        <v>26</v>
      </c>
      <c r="K280" s="382">
        <v>94.32</v>
      </c>
      <c r="L280" s="382">
        <v>91.36</v>
      </c>
      <c r="M280" s="382">
        <v>8.7200000000000006</v>
      </c>
      <c r="N280" s="382">
        <v>100.56</v>
      </c>
      <c r="O280" s="385">
        <v>3511</v>
      </c>
      <c r="P280" s="382">
        <v>97.63</v>
      </c>
      <c r="Q280" s="382">
        <v>80.45</v>
      </c>
      <c r="R280" s="382">
        <v>60.09</v>
      </c>
      <c r="S280" s="382">
        <v>154.74</v>
      </c>
      <c r="T280" s="385">
        <v>765</v>
      </c>
      <c r="U280" s="382">
        <v>123.51</v>
      </c>
      <c r="V280" s="385">
        <v>329</v>
      </c>
      <c r="W280" s="382">
        <v>0</v>
      </c>
      <c r="X280" s="385">
        <v>0</v>
      </c>
      <c r="Y280" s="382">
        <v>0</v>
      </c>
      <c r="Z280" s="382">
        <v>0</v>
      </c>
      <c r="AA280" s="382">
        <v>30</v>
      </c>
      <c r="AB280" s="382">
        <v>46</v>
      </c>
      <c r="AC280" s="382">
        <v>6</v>
      </c>
      <c r="AD280" s="382">
        <v>3876</v>
      </c>
      <c r="AE280" s="382">
        <v>48</v>
      </c>
      <c r="AF280" s="382">
        <v>16</v>
      </c>
      <c r="AG280" s="382">
        <v>64</v>
      </c>
    </row>
    <row r="281" spans="1:33" x14ac:dyDescent="0.3">
      <c r="A281" s="381" t="s">
        <v>620</v>
      </c>
      <c r="B281" s="381" t="s">
        <v>621</v>
      </c>
      <c r="C281" s="382">
        <v>4617</v>
      </c>
      <c r="D281" s="382">
        <v>21</v>
      </c>
      <c r="E281" s="382">
        <v>61</v>
      </c>
      <c r="F281" s="382">
        <v>856</v>
      </c>
      <c r="G281" s="382">
        <v>340</v>
      </c>
      <c r="H281" s="382">
        <v>5895</v>
      </c>
      <c r="I281" s="382">
        <v>5555</v>
      </c>
      <c r="J281" s="382">
        <v>19</v>
      </c>
      <c r="K281" s="382">
        <v>116.4</v>
      </c>
      <c r="L281" s="382">
        <v>122.93</v>
      </c>
      <c r="M281" s="382">
        <v>6.9</v>
      </c>
      <c r="N281" s="382">
        <v>119.46</v>
      </c>
      <c r="O281" s="385">
        <v>4302</v>
      </c>
      <c r="P281" s="382">
        <v>103.82</v>
      </c>
      <c r="Q281" s="382">
        <v>99.15</v>
      </c>
      <c r="R281" s="382">
        <v>20.86</v>
      </c>
      <c r="S281" s="382">
        <v>122.71</v>
      </c>
      <c r="T281" s="385">
        <v>869</v>
      </c>
      <c r="U281" s="382">
        <v>172.73</v>
      </c>
      <c r="V281" s="385">
        <v>227</v>
      </c>
      <c r="W281" s="382">
        <v>188.31</v>
      </c>
      <c r="X281" s="385">
        <v>4</v>
      </c>
      <c r="Y281" s="382">
        <v>35</v>
      </c>
      <c r="Z281" s="382">
        <v>2</v>
      </c>
      <c r="AA281" s="382">
        <v>28</v>
      </c>
      <c r="AB281" s="382">
        <v>40</v>
      </c>
      <c r="AC281" s="382">
        <v>4</v>
      </c>
      <c r="AD281" s="382">
        <v>4617</v>
      </c>
      <c r="AE281" s="382">
        <v>70</v>
      </c>
      <c r="AF281" s="382">
        <v>8</v>
      </c>
      <c r="AG281" s="382">
        <v>78</v>
      </c>
    </row>
    <row r="282" spans="1:33" x14ac:dyDescent="0.3">
      <c r="A282" s="381" t="s">
        <v>622</v>
      </c>
      <c r="B282" s="381" t="s">
        <v>623</v>
      </c>
      <c r="C282" s="382">
        <v>1926</v>
      </c>
      <c r="D282" s="382">
        <v>0</v>
      </c>
      <c r="E282" s="382">
        <v>137</v>
      </c>
      <c r="F282" s="382">
        <v>93</v>
      </c>
      <c r="G282" s="382">
        <v>459</v>
      </c>
      <c r="H282" s="382">
        <v>2615</v>
      </c>
      <c r="I282" s="382">
        <v>2156</v>
      </c>
      <c r="J282" s="382">
        <v>23</v>
      </c>
      <c r="K282" s="382">
        <v>105.18</v>
      </c>
      <c r="L282" s="382">
        <v>106.32</v>
      </c>
      <c r="M282" s="382">
        <v>9.35</v>
      </c>
      <c r="N282" s="382">
        <v>111.72</v>
      </c>
      <c r="O282" s="385">
        <v>1189</v>
      </c>
      <c r="P282" s="382">
        <v>125.24</v>
      </c>
      <c r="Q282" s="382">
        <v>106.38</v>
      </c>
      <c r="R282" s="382">
        <v>87.96</v>
      </c>
      <c r="S282" s="382">
        <v>210.47</v>
      </c>
      <c r="T282" s="385">
        <v>194</v>
      </c>
      <c r="U282" s="382">
        <v>164.53</v>
      </c>
      <c r="V282" s="385">
        <v>585</v>
      </c>
      <c r="W282" s="382">
        <v>165.01</v>
      </c>
      <c r="X282" s="385">
        <v>4</v>
      </c>
      <c r="Y282" s="382">
        <v>0</v>
      </c>
      <c r="Z282" s="382">
        <v>0</v>
      </c>
      <c r="AA282" s="382">
        <v>0</v>
      </c>
      <c r="AB282" s="382">
        <v>22</v>
      </c>
      <c r="AC282" s="382">
        <v>12</v>
      </c>
      <c r="AD282" s="382">
        <v>1907</v>
      </c>
      <c r="AE282" s="382">
        <v>39</v>
      </c>
      <c r="AF282" s="382">
        <v>3</v>
      </c>
      <c r="AG282" s="382">
        <v>42</v>
      </c>
    </row>
    <row r="283" spans="1:33" x14ac:dyDescent="0.3">
      <c r="A283" s="381" t="s">
        <v>624</v>
      </c>
      <c r="B283" s="381" t="s">
        <v>625</v>
      </c>
      <c r="C283" s="382">
        <v>7769</v>
      </c>
      <c r="D283" s="382">
        <v>1</v>
      </c>
      <c r="E283" s="382">
        <v>147</v>
      </c>
      <c r="F283" s="382">
        <v>640</v>
      </c>
      <c r="G283" s="382">
        <v>1121</v>
      </c>
      <c r="H283" s="382">
        <v>9678</v>
      </c>
      <c r="I283" s="382">
        <v>8557</v>
      </c>
      <c r="J283" s="382">
        <v>4</v>
      </c>
      <c r="K283" s="382">
        <v>116.74</v>
      </c>
      <c r="L283" s="382">
        <v>116.64</v>
      </c>
      <c r="M283" s="382">
        <v>5.65</v>
      </c>
      <c r="N283" s="382">
        <v>117.8</v>
      </c>
      <c r="O283" s="385">
        <v>6493</v>
      </c>
      <c r="P283" s="382">
        <v>101.39</v>
      </c>
      <c r="Q283" s="382">
        <v>92.74</v>
      </c>
      <c r="R283" s="382">
        <v>43.09</v>
      </c>
      <c r="S283" s="382">
        <v>141.41</v>
      </c>
      <c r="T283" s="385">
        <v>560</v>
      </c>
      <c r="U283" s="382">
        <v>152.59</v>
      </c>
      <c r="V283" s="385">
        <v>1212</v>
      </c>
      <c r="W283" s="382">
        <v>243.94</v>
      </c>
      <c r="X283" s="385">
        <v>131</v>
      </c>
      <c r="Y283" s="382">
        <v>0</v>
      </c>
      <c r="Z283" s="382">
        <v>2</v>
      </c>
      <c r="AA283" s="382">
        <v>0</v>
      </c>
      <c r="AB283" s="382">
        <v>46</v>
      </c>
      <c r="AC283" s="382">
        <v>16</v>
      </c>
      <c r="AD283" s="382">
        <v>7762</v>
      </c>
      <c r="AE283" s="382">
        <v>137</v>
      </c>
      <c r="AF283" s="382">
        <v>4</v>
      </c>
      <c r="AG283" s="382">
        <v>141</v>
      </c>
    </row>
    <row r="284" spans="1:33" x14ac:dyDescent="0.3">
      <c r="A284" s="381" t="s">
        <v>626</v>
      </c>
      <c r="B284" s="381" t="s">
        <v>627</v>
      </c>
      <c r="C284" s="382">
        <v>4251</v>
      </c>
      <c r="D284" s="382">
        <v>11</v>
      </c>
      <c r="E284" s="382">
        <v>290</v>
      </c>
      <c r="F284" s="382">
        <v>879</v>
      </c>
      <c r="G284" s="382">
        <v>542</v>
      </c>
      <c r="H284" s="382">
        <v>5973</v>
      </c>
      <c r="I284" s="382">
        <v>5431</v>
      </c>
      <c r="J284" s="382">
        <v>4</v>
      </c>
      <c r="K284" s="382">
        <v>90.09</v>
      </c>
      <c r="L284" s="382">
        <v>89.2</v>
      </c>
      <c r="M284" s="382">
        <v>6.43</v>
      </c>
      <c r="N284" s="382">
        <v>95.62</v>
      </c>
      <c r="O284" s="385">
        <v>3684</v>
      </c>
      <c r="P284" s="382">
        <v>90.69</v>
      </c>
      <c r="Q284" s="382">
        <v>83.69</v>
      </c>
      <c r="R284" s="382">
        <v>41.82</v>
      </c>
      <c r="S284" s="382">
        <v>131.82</v>
      </c>
      <c r="T284" s="385">
        <v>896</v>
      </c>
      <c r="U284" s="382">
        <v>123.03</v>
      </c>
      <c r="V284" s="385">
        <v>473</v>
      </c>
      <c r="W284" s="382">
        <v>111.27</v>
      </c>
      <c r="X284" s="385">
        <v>17</v>
      </c>
      <c r="Y284" s="382">
        <v>0</v>
      </c>
      <c r="Z284" s="382">
        <v>5</v>
      </c>
      <c r="AA284" s="382">
        <v>20</v>
      </c>
      <c r="AB284" s="382">
        <v>2</v>
      </c>
      <c r="AC284" s="382">
        <v>14</v>
      </c>
      <c r="AD284" s="382">
        <v>4173</v>
      </c>
      <c r="AE284" s="382">
        <v>12</v>
      </c>
      <c r="AF284" s="382">
        <v>22</v>
      </c>
      <c r="AG284" s="382">
        <v>34</v>
      </c>
    </row>
    <row r="285" spans="1:33" x14ac:dyDescent="0.3">
      <c r="A285" s="381" t="s">
        <v>628</v>
      </c>
      <c r="B285" s="381" t="s">
        <v>629</v>
      </c>
      <c r="C285" s="382">
        <v>2422</v>
      </c>
      <c r="D285" s="382">
        <v>0</v>
      </c>
      <c r="E285" s="382">
        <v>32</v>
      </c>
      <c r="F285" s="382">
        <v>386</v>
      </c>
      <c r="G285" s="382">
        <v>203</v>
      </c>
      <c r="H285" s="382">
        <v>3043</v>
      </c>
      <c r="I285" s="382">
        <v>2840</v>
      </c>
      <c r="J285" s="382">
        <v>0</v>
      </c>
      <c r="K285" s="382">
        <v>85.58</v>
      </c>
      <c r="L285" s="382">
        <v>84.94</v>
      </c>
      <c r="M285" s="382">
        <v>3.52</v>
      </c>
      <c r="N285" s="382">
        <v>87.75</v>
      </c>
      <c r="O285" s="385">
        <v>2274</v>
      </c>
      <c r="P285" s="382">
        <v>73.77</v>
      </c>
      <c r="Q285" s="382">
        <v>71.17</v>
      </c>
      <c r="R285" s="382">
        <v>31.17</v>
      </c>
      <c r="S285" s="382">
        <v>100.86</v>
      </c>
      <c r="T285" s="385">
        <v>344</v>
      </c>
      <c r="U285" s="382">
        <v>111.82</v>
      </c>
      <c r="V285" s="385">
        <v>144</v>
      </c>
      <c r="W285" s="382">
        <v>213.16</v>
      </c>
      <c r="X285" s="385">
        <v>41</v>
      </c>
      <c r="Y285" s="382">
        <v>0</v>
      </c>
      <c r="Z285" s="382">
        <v>5</v>
      </c>
      <c r="AA285" s="382">
        <v>2</v>
      </c>
      <c r="AB285" s="382">
        <v>11</v>
      </c>
      <c r="AC285" s="382">
        <v>8</v>
      </c>
      <c r="AD285" s="382">
        <v>2406</v>
      </c>
      <c r="AE285" s="382">
        <v>2</v>
      </c>
      <c r="AF285" s="382">
        <v>2</v>
      </c>
      <c r="AG285" s="382">
        <v>4</v>
      </c>
    </row>
    <row r="286" spans="1:33" x14ac:dyDescent="0.3">
      <c r="A286" s="381" t="s">
        <v>630</v>
      </c>
      <c r="B286" s="381" t="s">
        <v>631</v>
      </c>
      <c r="C286" s="382">
        <v>30278</v>
      </c>
      <c r="D286" s="382">
        <v>86</v>
      </c>
      <c r="E286" s="382">
        <v>1466</v>
      </c>
      <c r="F286" s="382">
        <v>904</v>
      </c>
      <c r="G286" s="382">
        <v>3754</v>
      </c>
      <c r="H286" s="382">
        <v>36488</v>
      </c>
      <c r="I286" s="382">
        <v>32734</v>
      </c>
      <c r="J286" s="382">
        <v>312</v>
      </c>
      <c r="K286" s="382">
        <v>128.69999999999999</v>
      </c>
      <c r="L286" s="382">
        <v>132.58000000000001</v>
      </c>
      <c r="M286" s="382">
        <v>18.36</v>
      </c>
      <c r="N286" s="382">
        <v>145.54</v>
      </c>
      <c r="O286" s="385">
        <v>25372</v>
      </c>
      <c r="P286" s="382">
        <v>117.91</v>
      </c>
      <c r="Q286" s="382">
        <v>112.18</v>
      </c>
      <c r="R286" s="382">
        <v>77.56</v>
      </c>
      <c r="S286" s="382">
        <v>194.27</v>
      </c>
      <c r="T286" s="385">
        <v>1819</v>
      </c>
      <c r="U286" s="382">
        <v>221.81</v>
      </c>
      <c r="V286" s="385">
        <v>3174</v>
      </c>
      <c r="W286" s="382">
        <v>233.91</v>
      </c>
      <c r="X286" s="385">
        <v>214</v>
      </c>
      <c r="Y286" s="382">
        <v>32</v>
      </c>
      <c r="Z286" s="382">
        <v>10</v>
      </c>
      <c r="AA286" s="382">
        <v>111</v>
      </c>
      <c r="AB286" s="382">
        <v>324</v>
      </c>
      <c r="AC286" s="382">
        <v>124</v>
      </c>
      <c r="AD286" s="382">
        <v>29111</v>
      </c>
      <c r="AE286" s="382">
        <v>230</v>
      </c>
      <c r="AF286" s="382">
        <v>399</v>
      </c>
      <c r="AG286" s="382">
        <v>629</v>
      </c>
    </row>
    <row r="287" spans="1:33" x14ac:dyDescent="0.3">
      <c r="A287" s="381" t="s">
        <v>632</v>
      </c>
      <c r="B287" s="381" t="s">
        <v>633</v>
      </c>
      <c r="C287" s="382">
        <v>11814</v>
      </c>
      <c r="D287" s="382">
        <v>0</v>
      </c>
      <c r="E287" s="382">
        <v>504</v>
      </c>
      <c r="F287" s="382">
        <v>3251</v>
      </c>
      <c r="G287" s="382">
        <v>600</v>
      </c>
      <c r="H287" s="382">
        <v>16169</v>
      </c>
      <c r="I287" s="382">
        <v>15569</v>
      </c>
      <c r="J287" s="382">
        <v>0</v>
      </c>
      <c r="K287" s="382">
        <v>90.1</v>
      </c>
      <c r="L287" s="382">
        <v>89.96</v>
      </c>
      <c r="M287" s="382">
        <v>5.35</v>
      </c>
      <c r="N287" s="382">
        <v>94.08</v>
      </c>
      <c r="O287" s="385">
        <v>9805</v>
      </c>
      <c r="P287" s="382">
        <v>92.49</v>
      </c>
      <c r="Q287" s="382">
        <v>88.19</v>
      </c>
      <c r="R287" s="382">
        <v>27.82</v>
      </c>
      <c r="S287" s="382">
        <v>120.25</v>
      </c>
      <c r="T287" s="385">
        <v>3570</v>
      </c>
      <c r="U287" s="382">
        <v>124.47</v>
      </c>
      <c r="V287" s="385">
        <v>1901</v>
      </c>
      <c r="W287" s="382">
        <v>168.91</v>
      </c>
      <c r="X287" s="385">
        <v>117</v>
      </c>
      <c r="Y287" s="382">
        <v>0</v>
      </c>
      <c r="Z287" s="382">
        <v>28</v>
      </c>
      <c r="AA287" s="382">
        <v>5</v>
      </c>
      <c r="AB287" s="382">
        <v>24</v>
      </c>
      <c r="AC287" s="382">
        <v>22</v>
      </c>
      <c r="AD287" s="382">
        <v>11763</v>
      </c>
      <c r="AE287" s="382">
        <v>62</v>
      </c>
      <c r="AF287" s="382">
        <v>121</v>
      </c>
      <c r="AG287" s="382">
        <v>183</v>
      </c>
    </row>
    <row r="288" spans="1:33" x14ac:dyDescent="0.3">
      <c r="A288" s="381" t="s">
        <v>634</v>
      </c>
      <c r="B288" s="381" t="s">
        <v>635</v>
      </c>
      <c r="C288" s="382">
        <v>6416</v>
      </c>
      <c r="D288" s="382">
        <v>0</v>
      </c>
      <c r="E288" s="382">
        <v>178</v>
      </c>
      <c r="F288" s="382">
        <v>789</v>
      </c>
      <c r="G288" s="382">
        <v>556</v>
      </c>
      <c r="H288" s="382">
        <v>7939</v>
      </c>
      <c r="I288" s="382">
        <v>7383</v>
      </c>
      <c r="J288" s="382">
        <v>6</v>
      </c>
      <c r="K288" s="382">
        <v>113.43</v>
      </c>
      <c r="L288" s="382">
        <v>108.44</v>
      </c>
      <c r="M288" s="382">
        <v>4.54</v>
      </c>
      <c r="N288" s="382">
        <v>117.2</v>
      </c>
      <c r="O288" s="385">
        <v>5452</v>
      </c>
      <c r="P288" s="382">
        <v>104.89</v>
      </c>
      <c r="Q288" s="382">
        <v>87.87</v>
      </c>
      <c r="R288" s="382">
        <v>35.54</v>
      </c>
      <c r="S288" s="382">
        <v>138.91999999999999</v>
      </c>
      <c r="T288" s="385">
        <v>682</v>
      </c>
      <c r="U288" s="382">
        <v>164.15</v>
      </c>
      <c r="V288" s="385">
        <v>743</v>
      </c>
      <c r="W288" s="382">
        <v>135.49</v>
      </c>
      <c r="X288" s="385">
        <v>131</v>
      </c>
      <c r="Y288" s="382">
        <v>27</v>
      </c>
      <c r="Z288" s="382">
        <v>2</v>
      </c>
      <c r="AA288" s="382">
        <v>18</v>
      </c>
      <c r="AB288" s="382">
        <v>45</v>
      </c>
      <c r="AC288" s="382">
        <v>5</v>
      </c>
      <c r="AD288" s="382">
        <v>6251</v>
      </c>
      <c r="AE288" s="382">
        <v>62</v>
      </c>
      <c r="AF288" s="382">
        <v>61</v>
      </c>
      <c r="AG288" s="382">
        <v>123</v>
      </c>
    </row>
    <row r="289" spans="1:33" x14ac:dyDescent="0.3">
      <c r="A289" s="381" t="s">
        <v>636</v>
      </c>
      <c r="B289" s="381" t="s">
        <v>637</v>
      </c>
      <c r="C289" s="382">
        <v>1914</v>
      </c>
      <c r="D289" s="382">
        <v>0</v>
      </c>
      <c r="E289" s="382">
        <v>86</v>
      </c>
      <c r="F289" s="382">
        <v>260</v>
      </c>
      <c r="G289" s="382">
        <v>588</v>
      </c>
      <c r="H289" s="382">
        <v>2848</v>
      </c>
      <c r="I289" s="382">
        <v>2260</v>
      </c>
      <c r="J289" s="382">
        <v>1</v>
      </c>
      <c r="K289" s="382">
        <v>111.07</v>
      </c>
      <c r="L289" s="382">
        <v>109.98</v>
      </c>
      <c r="M289" s="382">
        <v>6.5</v>
      </c>
      <c r="N289" s="382">
        <v>115.65</v>
      </c>
      <c r="O289" s="385">
        <v>995</v>
      </c>
      <c r="P289" s="382">
        <v>108.92</v>
      </c>
      <c r="Q289" s="382">
        <v>96.87</v>
      </c>
      <c r="R289" s="382">
        <v>64.73</v>
      </c>
      <c r="S289" s="382">
        <v>172.67</v>
      </c>
      <c r="T289" s="385">
        <v>266</v>
      </c>
      <c r="U289" s="382">
        <v>165.3</v>
      </c>
      <c r="V289" s="385">
        <v>899</v>
      </c>
      <c r="W289" s="382">
        <v>178.78</v>
      </c>
      <c r="X289" s="385">
        <v>79</v>
      </c>
      <c r="Y289" s="382">
        <v>1</v>
      </c>
      <c r="Z289" s="382">
        <v>0</v>
      </c>
      <c r="AA289" s="382">
        <v>0</v>
      </c>
      <c r="AB289" s="382">
        <v>19</v>
      </c>
      <c r="AC289" s="382">
        <v>15</v>
      </c>
      <c r="AD289" s="382">
        <v>1913</v>
      </c>
      <c r="AE289" s="382">
        <v>9</v>
      </c>
      <c r="AF289" s="382">
        <v>10</v>
      </c>
      <c r="AG289" s="382">
        <v>19</v>
      </c>
    </row>
    <row r="290" spans="1:33" x14ac:dyDescent="0.3">
      <c r="A290" s="381" t="s">
        <v>638</v>
      </c>
      <c r="B290" s="381" t="s">
        <v>639</v>
      </c>
      <c r="C290" s="382">
        <v>7725</v>
      </c>
      <c r="D290" s="382">
        <v>0</v>
      </c>
      <c r="E290" s="382">
        <v>253</v>
      </c>
      <c r="F290" s="382">
        <v>433</v>
      </c>
      <c r="G290" s="382">
        <v>1078</v>
      </c>
      <c r="H290" s="382">
        <v>9489</v>
      </c>
      <c r="I290" s="382">
        <v>8411</v>
      </c>
      <c r="J290" s="382">
        <v>1</v>
      </c>
      <c r="K290" s="382">
        <v>110.04</v>
      </c>
      <c r="L290" s="382">
        <v>107.05</v>
      </c>
      <c r="M290" s="382">
        <v>6.19</v>
      </c>
      <c r="N290" s="382">
        <v>111.29</v>
      </c>
      <c r="O290" s="385">
        <v>5543</v>
      </c>
      <c r="P290" s="382">
        <v>101.29</v>
      </c>
      <c r="Q290" s="382">
        <v>93.99</v>
      </c>
      <c r="R290" s="382">
        <v>28.57</v>
      </c>
      <c r="S290" s="382">
        <v>127.46</v>
      </c>
      <c r="T290" s="385">
        <v>595</v>
      </c>
      <c r="U290" s="382">
        <v>176.1</v>
      </c>
      <c r="V290" s="385">
        <v>2175</v>
      </c>
      <c r="W290" s="382">
        <v>190.51</v>
      </c>
      <c r="X290" s="385">
        <v>27</v>
      </c>
      <c r="Y290" s="382">
        <v>46</v>
      </c>
      <c r="Z290" s="382">
        <v>2</v>
      </c>
      <c r="AA290" s="382">
        <v>12</v>
      </c>
      <c r="AB290" s="382">
        <v>85</v>
      </c>
      <c r="AC290" s="382">
        <v>25</v>
      </c>
      <c r="AD290" s="382">
        <v>7676</v>
      </c>
      <c r="AE290" s="382">
        <v>86</v>
      </c>
      <c r="AF290" s="382">
        <v>7</v>
      </c>
      <c r="AG290" s="382">
        <v>93</v>
      </c>
    </row>
    <row r="291" spans="1:33" x14ac:dyDescent="0.3">
      <c r="A291" s="381" t="s">
        <v>640</v>
      </c>
      <c r="B291" s="381" t="s">
        <v>641</v>
      </c>
      <c r="C291" s="382">
        <v>32452</v>
      </c>
      <c r="D291" s="382">
        <v>1</v>
      </c>
      <c r="E291" s="382">
        <v>2106</v>
      </c>
      <c r="F291" s="382">
        <v>655</v>
      </c>
      <c r="G291" s="382">
        <v>1167</v>
      </c>
      <c r="H291" s="382">
        <v>36381</v>
      </c>
      <c r="I291" s="382">
        <v>35214</v>
      </c>
      <c r="J291" s="382">
        <v>0</v>
      </c>
      <c r="K291" s="382">
        <v>84.79</v>
      </c>
      <c r="L291" s="382">
        <v>85.07</v>
      </c>
      <c r="M291" s="382">
        <v>4.47</v>
      </c>
      <c r="N291" s="382">
        <v>85.59</v>
      </c>
      <c r="O291" s="385">
        <v>29698</v>
      </c>
      <c r="P291" s="382">
        <v>85.21</v>
      </c>
      <c r="Q291" s="382">
        <v>79.2</v>
      </c>
      <c r="R291" s="382">
        <v>40.29</v>
      </c>
      <c r="S291" s="382">
        <v>125.25</v>
      </c>
      <c r="T291" s="385">
        <v>2507</v>
      </c>
      <c r="U291" s="382">
        <v>101.86</v>
      </c>
      <c r="V291" s="385">
        <v>2436</v>
      </c>
      <c r="W291" s="382">
        <v>149.22999999999999</v>
      </c>
      <c r="X291" s="385">
        <v>26</v>
      </c>
      <c r="Y291" s="382">
        <v>9</v>
      </c>
      <c r="Z291" s="382">
        <v>176</v>
      </c>
      <c r="AA291" s="382">
        <v>7</v>
      </c>
      <c r="AB291" s="382">
        <v>125</v>
      </c>
      <c r="AC291" s="382">
        <v>31</v>
      </c>
      <c r="AD291" s="382">
        <v>32428</v>
      </c>
      <c r="AE291" s="382">
        <v>190</v>
      </c>
      <c r="AF291" s="382">
        <v>186</v>
      </c>
      <c r="AG291" s="382">
        <v>376</v>
      </c>
    </row>
    <row r="292" spans="1:33" x14ac:dyDescent="0.3">
      <c r="A292" s="381" t="s">
        <v>642</v>
      </c>
      <c r="B292" s="381" t="s">
        <v>643</v>
      </c>
      <c r="C292" s="382">
        <v>26485</v>
      </c>
      <c r="D292" s="382">
        <v>7</v>
      </c>
      <c r="E292" s="382">
        <v>495</v>
      </c>
      <c r="F292" s="382">
        <v>792</v>
      </c>
      <c r="G292" s="382">
        <v>512</v>
      </c>
      <c r="H292" s="382">
        <v>28291</v>
      </c>
      <c r="I292" s="382">
        <v>27779</v>
      </c>
      <c r="J292" s="382">
        <v>17</v>
      </c>
      <c r="K292" s="382">
        <v>87.3</v>
      </c>
      <c r="L292" s="382">
        <v>87.29</v>
      </c>
      <c r="M292" s="382">
        <v>10.35</v>
      </c>
      <c r="N292" s="382">
        <v>92.57</v>
      </c>
      <c r="O292" s="385">
        <v>23930</v>
      </c>
      <c r="P292" s="382">
        <v>102.02</v>
      </c>
      <c r="Q292" s="382">
        <v>90.79</v>
      </c>
      <c r="R292" s="382">
        <v>51.82</v>
      </c>
      <c r="S292" s="382">
        <v>151.9</v>
      </c>
      <c r="T292" s="385">
        <v>1015</v>
      </c>
      <c r="U292" s="382">
        <v>113.75</v>
      </c>
      <c r="V292" s="385">
        <v>2324</v>
      </c>
      <c r="W292" s="382">
        <v>146.74</v>
      </c>
      <c r="X292" s="385">
        <v>201</v>
      </c>
      <c r="Y292" s="382">
        <v>0</v>
      </c>
      <c r="Z292" s="382">
        <v>104</v>
      </c>
      <c r="AA292" s="382">
        <v>8</v>
      </c>
      <c r="AB292" s="382">
        <v>4</v>
      </c>
      <c r="AC292" s="382">
        <v>16</v>
      </c>
      <c r="AD292" s="382">
        <v>26428</v>
      </c>
      <c r="AE292" s="382">
        <v>252</v>
      </c>
      <c r="AF292" s="382">
        <v>43</v>
      </c>
      <c r="AG292" s="382">
        <v>295</v>
      </c>
    </row>
    <row r="293" spans="1:33" x14ac:dyDescent="0.3">
      <c r="A293" s="381" t="s">
        <v>644</v>
      </c>
      <c r="B293" s="381" t="s">
        <v>645</v>
      </c>
      <c r="C293" s="382">
        <v>10965</v>
      </c>
      <c r="D293" s="382">
        <v>13</v>
      </c>
      <c r="E293" s="382">
        <v>1001</v>
      </c>
      <c r="F293" s="382">
        <v>861</v>
      </c>
      <c r="G293" s="382">
        <v>1722</v>
      </c>
      <c r="H293" s="382">
        <v>14562</v>
      </c>
      <c r="I293" s="382">
        <v>12840</v>
      </c>
      <c r="J293" s="382">
        <v>61</v>
      </c>
      <c r="K293" s="382">
        <v>119.66</v>
      </c>
      <c r="L293" s="382">
        <v>118.18</v>
      </c>
      <c r="M293" s="382">
        <v>12.42</v>
      </c>
      <c r="N293" s="382">
        <v>126.61</v>
      </c>
      <c r="O293" s="385">
        <v>8762</v>
      </c>
      <c r="P293" s="382">
        <v>104.47</v>
      </c>
      <c r="Q293" s="382">
        <v>97.67</v>
      </c>
      <c r="R293" s="382">
        <v>44.75</v>
      </c>
      <c r="S293" s="382">
        <v>148.68</v>
      </c>
      <c r="T293" s="385">
        <v>1178</v>
      </c>
      <c r="U293" s="382">
        <v>190.36</v>
      </c>
      <c r="V293" s="385">
        <v>1727</v>
      </c>
      <c r="W293" s="382">
        <v>229.99</v>
      </c>
      <c r="X293" s="385">
        <v>82</v>
      </c>
      <c r="Y293" s="382">
        <v>76</v>
      </c>
      <c r="Z293" s="382">
        <v>8</v>
      </c>
      <c r="AA293" s="382">
        <v>6</v>
      </c>
      <c r="AB293" s="382">
        <v>135</v>
      </c>
      <c r="AC293" s="382">
        <v>70</v>
      </c>
      <c r="AD293" s="382">
        <v>10709</v>
      </c>
      <c r="AE293" s="382">
        <v>135</v>
      </c>
      <c r="AF293" s="382">
        <v>56</v>
      </c>
      <c r="AG293" s="382">
        <v>191</v>
      </c>
    </row>
    <row r="294" spans="1:33" x14ac:dyDescent="0.3">
      <c r="A294" s="381" t="s">
        <v>646</v>
      </c>
      <c r="B294" s="381" t="s">
        <v>647</v>
      </c>
      <c r="C294" s="382">
        <v>9020</v>
      </c>
      <c r="D294" s="382">
        <v>6</v>
      </c>
      <c r="E294" s="382">
        <v>1112</v>
      </c>
      <c r="F294" s="382">
        <v>981</v>
      </c>
      <c r="G294" s="382">
        <v>2559</v>
      </c>
      <c r="H294" s="382">
        <v>13678</v>
      </c>
      <c r="I294" s="382">
        <v>11119</v>
      </c>
      <c r="J294" s="382">
        <v>102</v>
      </c>
      <c r="K294" s="382">
        <v>132.52000000000001</v>
      </c>
      <c r="L294" s="382">
        <v>141.71</v>
      </c>
      <c r="M294" s="382">
        <v>10.8</v>
      </c>
      <c r="N294" s="382">
        <v>139.51</v>
      </c>
      <c r="O294" s="385">
        <v>6790</v>
      </c>
      <c r="P294" s="382">
        <v>122.9</v>
      </c>
      <c r="Q294" s="382">
        <v>119.52</v>
      </c>
      <c r="R294" s="382">
        <v>42.54</v>
      </c>
      <c r="S294" s="382">
        <v>162.02000000000001</v>
      </c>
      <c r="T294" s="385">
        <v>1879</v>
      </c>
      <c r="U294" s="382">
        <v>211.68</v>
      </c>
      <c r="V294" s="385">
        <v>929</v>
      </c>
      <c r="W294" s="382">
        <v>237.24</v>
      </c>
      <c r="X294" s="385">
        <v>37</v>
      </c>
      <c r="Y294" s="382">
        <v>0</v>
      </c>
      <c r="Z294" s="382">
        <v>8</v>
      </c>
      <c r="AA294" s="382">
        <v>18</v>
      </c>
      <c r="AB294" s="382">
        <v>116</v>
      </c>
      <c r="AC294" s="382">
        <v>123</v>
      </c>
      <c r="AD294" s="382">
        <v>8653</v>
      </c>
      <c r="AE294" s="382">
        <v>187</v>
      </c>
      <c r="AF294" s="382">
        <v>107</v>
      </c>
      <c r="AG294" s="382">
        <v>294</v>
      </c>
    </row>
    <row r="295" spans="1:33" x14ac:dyDescent="0.3">
      <c r="A295" s="381" t="s">
        <v>648</v>
      </c>
      <c r="B295" s="381" t="s">
        <v>649</v>
      </c>
      <c r="C295" s="382">
        <v>11904</v>
      </c>
      <c r="D295" s="382">
        <v>0</v>
      </c>
      <c r="E295" s="382">
        <v>585</v>
      </c>
      <c r="F295" s="382">
        <v>2166</v>
      </c>
      <c r="G295" s="382">
        <v>698</v>
      </c>
      <c r="H295" s="382">
        <v>15353</v>
      </c>
      <c r="I295" s="382">
        <v>14655</v>
      </c>
      <c r="J295" s="382">
        <v>0</v>
      </c>
      <c r="K295" s="382">
        <v>86.45</v>
      </c>
      <c r="L295" s="382">
        <v>87.04</v>
      </c>
      <c r="M295" s="382">
        <v>4.67</v>
      </c>
      <c r="N295" s="382">
        <v>87.95</v>
      </c>
      <c r="O295" s="385">
        <v>10965</v>
      </c>
      <c r="P295" s="382">
        <v>89.62</v>
      </c>
      <c r="Q295" s="382">
        <v>80.16</v>
      </c>
      <c r="R295" s="382">
        <v>39.44</v>
      </c>
      <c r="S295" s="382">
        <v>125.33</v>
      </c>
      <c r="T295" s="385">
        <v>2591</v>
      </c>
      <c r="U295" s="382">
        <v>109.39</v>
      </c>
      <c r="V295" s="385">
        <v>848</v>
      </c>
      <c r="W295" s="382">
        <v>168.34</v>
      </c>
      <c r="X295" s="385">
        <v>48</v>
      </c>
      <c r="Y295" s="382">
        <v>8</v>
      </c>
      <c r="Z295" s="382">
        <v>73</v>
      </c>
      <c r="AA295" s="382">
        <v>0</v>
      </c>
      <c r="AB295" s="382">
        <v>58</v>
      </c>
      <c r="AC295" s="382">
        <v>26</v>
      </c>
      <c r="AD295" s="382">
        <v>11904</v>
      </c>
      <c r="AE295" s="382">
        <v>82</v>
      </c>
      <c r="AF295" s="382">
        <v>56</v>
      </c>
      <c r="AG295" s="382">
        <v>138</v>
      </c>
    </row>
    <row r="296" spans="1:33" x14ac:dyDescent="0.3">
      <c r="A296" s="381" t="s">
        <v>650</v>
      </c>
      <c r="B296" s="381" t="s">
        <v>651</v>
      </c>
      <c r="C296" s="382">
        <v>3424</v>
      </c>
      <c r="D296" s="382">
        <v>0</v>
      </c>
      <c r="E296" s="382">
        <v>158</v>
      </c>
      <c r="F296" s="382">
        <v>629</v>
      </c>
      <c r="G296" s="382">
        <v>1178</v>
      </c>
      <c r="H296" s="382">
        <v>5389</v>
      </c>
      <c r="I296" s="382">
        <v>4211</v>
      </c>
      <c r="J296" s="382">
        <v>6</v>
      </c>
      <c r="K296" s="382">
        <v>109.52</v>
      </c>
      <c r="L296" s="382">
        <v>107.07</v>
      </c>
      <c r="M296" s="382">
        <v>7.25</v>
      </c>
      <c r="N296" s="382">
        <v>115.64</v>
      </c>
      <c r="O296" s="385">
        <v>2540</v>
      </c>
      <c r="P296" s="382">
        <v>107.36</v>
      </c>
      <c r="Q296" s="382">
        <v>93.03</v>
      </c>
      <c r="R296" s="382">
        <v>55.18</v>
      </c>
      <c r="S296" s="382">
        <v>162.46</v>
      </c>
      <c r="T296" s="385">
        <v>657</v>
      </c>
      <c r="U296" s="382">
        <v>151.66999999999999</v>
      </c>
      <c r="V296" s="385">
        <v>797</v>
      </c>
      <c r="W296" s="382">
        <v>166.11</v>
      </c>
      <c r="X296" s="385">
        <v>25</v>
      </c>
      <c r="Y296" s="382">
        <v>132</v>
      </c>
      <c r="Z296" s="382">
        <v>1</v>
      </c>
      <c r="AA296" s="382">
        <v>2</v>
      </c>
      <c r="AB296" s="382">
        <v>110</v>
      </c>
      <c r="AC296" s="382">
        <v>9</v>
      </c>
      <c r="AD296" s="382">
        <v>3360</v>
      </c>
      <c r="AE296" s="382">
        <v>50</v>
      </c>
      <c r="AF296" s="382">
        <v>67</v>
      </c>
      <c r="AG296" s="382">
        <v>117</v>
      </c>
    </row>
    <row r="297" spans="1:33" x14ac:dyDescent="0.3">
      <c r="A297" s="381" t="s">
        <v>652</v>
      </c>
      <c r="B297" s="381" t="s">
        <v>653</v>
      </c>
      <c r="C297" s="382">
        <v>5689</v>
      </c>
      <c r="D297" s="382">
        <v>156</v>
      </c>
      <c r="E297" s="382">
        <v>371</v>
      </c>
      <c r="F297" s="382">
        <v>589</v>
      </c>
      <c r="G297" s="382">
        <v>340</v>
      </c>
      <c r="H297" s="382">
        <v>7145</v>
      </c>
      <c r="I297" s="382">
        <v>6805</v>
      </c>
      <c r="J297" s="382">
        <v>105</v>
      </c>
      <c r="K297" s="382">
        <v>116.88</v>
      </c>
      <c r="L297" s="382">
        <v>126.39</v>
      </c>
      <c r="M297" s="382">
        <v>9.98</v>
      </c>
      <c r="N297" s="382">
        <v>121.45</v>
      </c>
      <c r="O297" s="385">
        <v>4974</v>
      </c>
      <c r="P297" s="382">
        <v>94.7</v>
      </c>
      <c r="Q297" s="382">
        <v>93.58</v>
      </c>
      <c r="R297" s="382">
        <v>29.27</v>
      </c>
      <c r="S297" s="382">
        <v>122.51</v>
      </c>
      <c r="T297" s="385">
        <v>700</v>
      </c>
      <c r="U297" s="382">
        <v>192.8</v>
      </c>
      <c r="V297" s="385">
        <v>607</v>
      </c>
      <c r="W297" s="382">
        <v>167.5</v>
      </c>
      <c r="X297" s="385">
        <v>2</v>
      </c>
      <c r="Y297" s="382">
        <v>80</v>
      </c>
      <c r="Z297" s="382">
        <v>10</v>
      </c>
      <c r="AA297" s="382">
        <v>2</v>
      </c>
      <c r="AB297" s="382">
        <v>37</v>
      </c>
      <c r="AC297" s="382">
        <v>14</v>
      </c>
      <c r="AD297" s="382">
        <v>5676</v>
      </c>
      <c r="AE297" s="382">
        <v>58</v>
      </c>
      <c r="AF297" s="382">
        <v>34</v>
      </c>
      <c r="AG297" s="382">
        <v>92</v>
      </c>
    </row>
    <row r="298" spans="1:33" x14ac:dyDescent="0.3">
      <c r="A298" s="381" t="s">
        <v>654</v>
      </c>
      <c r="B298" s="381" t="s">
        <v>655</v>
      </c>
      <c r="C298" s="382">
        <v>1473</v>
      </c>
      <c r="D298" s="382">
        <v>0</v>
      </c>
      <c r="E298" s="382">
        <v>146</v>
      </c>
      <c r="F298" s="382">
        <v>164</v>
      </c>
      <c r="G298" s="382">
        <v>596</v>
      </c>
      <c r="H298" s="382">
        <v>2379</v>
      </c>
      <c r="I298" s="382">
        <v>1783</v>
      </c>
      <c r="J298" s="382">
        <v>13</v>
      </c>
      <c r="K298" s="382">
        <v>120.72</v>
      </c>
      <c r="L298" s="382">
        <v>117.13</v>
      </c>
      <c r="M298" s="382">
        <v>5.39</v>
      </c>
      <c r="N298" s="382">
        <v>125.68</v>
      </c>
      <c r="O298" s="385">
        <v>910</v>
      </c>
      <c r="P298" s="382">
        <v>109.4</v>
      </c>
      <c r="Q298" s="382">
        <v>97.63</v>
      </c>
      <c r="R298" s="382">
        <v>41.19</v>
      </c>
      <c r="S298" s="382">
        <v>139.31</v>
      </c>
      <c r="T298" s="385">
        <v>135</v>
      </c>
      <c r="U298" s="382">
        <v>200</v>
      </c>
      <c r="V298" s="385">
        <v>511</v>
      </c>
      <c r="W298" s="382">
        <v>141.81</v>
      </c>
      <c r="X298" s="385">
        <v>12</v>
      </c>
      <c r="Y298" s="382">
        <v>3</v>
      </c>
      <c r="Z298" s="382">
        <v>0</v>
      </c>
      <c r="AA298" s="382">
        <v>0</v>
      </c>
      <c r="AB298" s="382">
        <v>55</v>
      </c>
      <c r="AC298" s="382">
        <v>21</v>
      </c>
      <c r="AD298" s="382">
        <v>1381</v>
      </c>
      <c r="AE298" s="382">
        <v>24</v>
      </c>
      <c r="AF298" s="382">
        <v>2</v>
      </c>
      <c r="AG298" s="382">
        <v>26</v>
      </c>
    </row>
    <row r="299" spans="1:33" x14ac:dyDescent="0.3">
      <c r="A299" s="381" t="s">
        <v>656</v>
      </c>
      <c r="B299" s="381" t="s">
        <v>657</v>
      </c>
      <c r="C299" s="382">
        <v>2627</v>
      </c>
      <c r="D299" s="382">
        <v>0</v>
      </c>
      <c r="E299" s="382">
        <v>95</v>
      </c>
      <c r="F299" s="382">
        <v>325</v>
      </c>
      <c r="G299" s="382">
        <v>771</v>
      </c>
      <c r="H299" s="382">
        <v>3818</v>
      </c>
      <c r="I299" s="382">
        <v>3047</v>
      </c>
      <c r="J299" s="382">
        <v>2</v>
      </c>
      <c r="K299" s="382">
        <v>105.51</v>
      </c>
      <c r="L299" s="382">
        <v>101.15</v>
      </c>
      <c r="M299" s="382">
        <v>6.37</v>
      </c>
      <c r="N299" s="382">
        <v>110.48</v>
      </c>
      <c r="O299" s="385">
        <v>1417</v>
      </c>
      <c r="P299" s="382">
        <v>82.97</v>
      </c>
      <c r="Q299" s="382">
        <v>78.19</v>
      </c>
      <c r="R299" s="382">
        <v>43.32</v>
      </c>
      <c r="S299" s="382">
        <v>124.38</v>
      </c>
      <c r="T299" s="385">
        <v>227</v>
      </c>
      <c r="U299" s="382">
        <v>156.41999999999999</v>
      </c>
      <c r="V299" s="385">
        <v>1183</v>
      </c>
      <c r="W299" s="382">
        <v>201.44</v>
      </c>
      <c r="X299" s="385">
        <v>55</v>
      </c>
      <c r="Y299" s="382">
        <v>30</v>
      </c>
      <c r="Z299" s="382">
        <v>1</v>
      </c>
      <c r="AA299" s="382">
        <v>0</v>
      </c>
      <c r="AB299" s="382">
        <v>77</v>
      </c>
      <c r="AC299" s="382">
        <v>9</v>
      </c>
      <c r="AD299" s="382">
        <v>2621</v>
      </c>
      <c r="AE299" s="382">
        <v>30</v>
      </c>
      <c r="AF299" s="382">
        <v>2</v>
      </c>
      <c r="AG299" s="382">
        <v>32</v>
      </c>
    </row>
    <row r="300" spans="1:33" x14ac:dyDescent="0.3">
      <c r="A300" s="381" t="s">
        <v>658</v>
      </c>
      <c r="B300" s="381" t="s">
        <v>659</v>
      </c>
      <c r="C300" s="382">
        <v>2932</v>
      </c>
      <c r="D300" s="382">
        <v>0</v>
      </c>
      <c r="E300" s="382">
        <v>374</v>
      </c>
      <c r="F300" s="382">
        <v>320</v>
      </c>
      <c r="G300" s="382">
        <v>763</v>
      </c>
      <c r="H300" s="382">
        <v>4389</v>
      </c>
      <c r="I300" s="382">
        <v>3626</v>
      </c>
      <c r="J300" s="382">
        <v>130</v>
      </c>
      <c r="K300" s="382">
        <v>114.04</v>
      </c>
      <c r="L300" s="382">
        <v>112.26</v>
      </c>
      <c r="M300" s="382">
        <v>8.34</v>
      </c>
      <c r="N300" s="382">
        <v>121.15</v>
      </c>
      <c r="O300" s="385">
        <v>2280</v>
      </c>
      <c r="P300" s="382">
        <v>110.32</v>
      </c>
      <c r="Q300" s="382">
        <v>100.02</v>
      </c>
      <c r="R300" s="382">
        <v>46.48</v>
      </c>
      <c r="S300" s="382">
        <v>156.71</v>
      </c>
      <c r="T300" s="385">
        <v>503</v>
      </c>
      <c r="U300" s="382">
        <v>154.66999999999999</v>
      </c>
      <c r="V300" s="385">
        <v>584</v>
      </c>
      <c r="W300" s="382">
        <v>0</v>
      </c>
      <c r="X300" s="385">
        <v>0</v>
      </c>
      <c r="Y300" s="382">
        <v>0</v>
      </c>
      <c r="Z300" s="382">
        <v>0</v>
      </c>
      <c r="AA300" s="382">
        <v>0</v>
      </c>
      <c r="AB300" s="382">
        <v>100</v>
      </c>
      <c r="AC300" s="382">
        <v>14</v>
      </c>
      <c r="AD300" s="382">
        <v>2889</v>
      </c>
      <c r="AE300" s="382">
        <v>25</v>
      </c>
      <c r="AF300" s="382">
        <v>7</v>
      </c>
      <c r="AG300" s="382">
        <v>32</v>
      </c>
    </row>
    <row r="301" spans="1:33" x14ac:dyDescent="0.3">
      <c r="A301" s="381" t="s">
        <v>660</v>
      </c>
      <c r="B301" s="381" t="s">
        <v>661</v>
      </c>
      <c r="C301" s="382">
        <v>8098</v>
      </c>
      <c r="D301" s="382">
        <v>0</v>
      </c>
      <c r="E301" s="382">
        <v>372</v>
      </c>
      <c r="F301" s="382">
        <v>882</v>
      </c>
      <c r="G301" s="382">
        <v>810</v>
      </c>
      <c r="H301" s="382">
        <v>10162</v>
      </c>
      <c r="I301" s="382">
        <v>9352</v>
      </c>
      <c r="J301" s="382">
        <v>7</v>
      </c>
      <c r="K301" s="382">
        <v>121.15</v>
      </c>
      <c r="L301" s="382">
        <v>119.43</v>
      </c>
      <c r="M301" s="382">
        <v>5.64</v>
      </c>
      <c r="N301" s="382">
        <v>124.11</v>
      </c>
      <c r="O301" s="385">
        <v>7680</v>
      </c>
      <c r="P301" s="382">
        <v>110.27</v>
      </c>
      <c r="Q301" s="382">
        <v>102.76</v>
      </c>
      <c r="R301" s="382">
        <v>35.28</v>
      </c>
      <c r="S301" s="382">
        <v>144.75</v>
      </c>
      <c r="T301" s="385">
        <v>1104</v>
      </c>
      <c r="U301" s="382">
        <v>156.83000000000001</v>
      </c>
      <c r="V301" s="385">
        <v>409</v>
      </c>
      <c r="W301" s="382">
        <v>157.31</v>
      </c>
      <c r="X301" s="385">
        <v>42</v>
      </c>
      <c r="Y301" s="382">
        <v>8</v>
      </c>
      <c r="Z301" s="382">
        <v>0</v>
      </c>
      <c r="AA301" s="382">
        <v>9</v>
      </c>
      <c r="AB301" s="382">
        <v>70</v>
      </c>
      <c r="AC301" s="382">
        <v>21</v>
      </c>
      <c r="AD301" s="382">
        <v>8082</v>
      </c>
      <c r="AE301" s="382">
        <v>44</v>
      </c>
      <c r="AF301" s="382">
        <v>42</v>
      </c>
      <c r="AG301" s="382">
        <v>86</v>
      </c>
    </row>
    <row r="302" spans="1:33" x14ac:dyDescent="0.3">
      <c r="A302" s="381" t="s">
        <v>662</v>
      </c>
      <c r="B302" s="381" t="s">
        <v>663</v>
      </c>
      <c r="C302" s="382">
        <v>2203</v>
      </c>
      <c r="D302" s="382">
        <v>2</v>
      </c>
      <c r="E302" s="382">
        <v>21</v>
      </c>
      <c r="F302" s="382">
        <v>319</v>
      </c>
      <c r="G302" s="382">
        <v>150</v>
      </c>
      <c r="H302" s="382">
        <v>2695</v>
      </c>
      <c r="I302" s="382">
        <v>2545</v>
      </c>
      <c r="J302" s="382">
        <v>0</v>
      </c>
      <c r="K302" s="382">
        <v>88.4</v>
      </c>
      <c r="L302" s="382">
        <v>85.05</v>
      </c>
      <c r="M302" s="382">
        <v>3.31</v>
      </c>
      <c r="N302" s="382">
        <v>90.69</v>
      </c>
      <c r="O302" s="385">
        <v>1920</v>
      </c>
      <c r="P302" s="382">
        <v>82.63</v>
      </c>
      <c r="Q302" s="382">
        <v>76.510000000000005</v>
      </c>
      <c r="R302" s="382">
        <v>21.6</v>
      </c>
      <c r="S302" s="382">
        <v>103.99</v>
      </c>
      <c r="T302" s="385">
        <v>272</v>
      </c>
      <c r="U302" s="382">
        <v>122.38</v>
      </c>
      <c r="V302" s="385">
        <v>204</v>
      </c>
      <c r="W302" s="382">
        <v>100.11</v>
      </c>
      <c r="X302" s="385">
        <v>4</v>
      </c>
      <c r="Y302" s="382">
        <v>0</v>
      </c>
      <c r="Z302" s="382">
        <v>2</v>
      </c>
      <c r="AA302" s="382">
        <v>7</v>
      </c>
      <c r="AB302" s="382">
        <v>25</v>
      </c>
      <c r="AC302" s="382">
        <v>7</v>
      </c>
      <c r="AD302" s="382">
        <v>2108</v>
      </c>
      <c r="AE302" s="382">
        <v>11</v>
      </c>
      <c r="AF302" s="382">
        <v>4</v>
      </c>
      <c r="AG302" s="382">
        <v>15</v>
      </c>
    </row>
    <row r="303" spans="1:33" x14ac:dyDescent="0.3">
      <c r="A303" s="381" t="s">
        <v>664</v>
      </c>
      <c r="B303" s="381" t="s">
        <v>665</v>
      </c>
      <c r="C303" s="382">
        <v>1011</v>
      </c>
      <c r="D303" s="382">
        <v>0</v>
      </c>
      <c r="E303" s="382">
        <v>203</v>
      </c>
      <c r="F303" s="382">
        <v>371</v>
      </c>
      <c r="G303" s="382">
        <v>440</v>
      </c>
      <c r="H303" s="382">
        <v>2025</v>
      </c>
      <c r="I303" s="382">
        <v>1585</v>
      </c>
      <c r="J303" s="382">
        <v>3</v>
      </c>
      <c r="K303" s="382">
        <v>94.5</v>
      </c>
      <c r="L303" s="382">
        <v>92.95</v>
      </c>
      <c r="M303" s="382">
        <v>5.59</v>
      </c>
      <c r="N303" s="382">
        <v>98.14</v>
      </c>
      <c r="O303" s="385">
        <v>551</v>
      </c>
      <c r="P303" s="382">
        <v>104.46</v>
      </c>
      <c r="Q303" s="382">
        <v>84.28</v>
      </c>
      <c r="R303" s="382">
        <v>43.72</v>
      </c>
      <c r="S303" s="382">
        <v>147.63</v>
      </c>
      <c r="T303" s="385">
        <v>480</v>
      </c>
      <c r="U303" s="382">
        <v>112.85</v>
      </c>
      <c r="V303" s="385">
        <v>389</v>
      </c>
      <c r="W303" s="382">
        <v>0</v>
      </c>
      <c r="X303" s="385">
        <v>0</v>
      </c>
      <c r="Y303" s="382">
        <v>32</v>
      </c>
      <c r="Z303" s="382">
        <v>2</v>
      </c>
      <c r="AA303" s="382">
        <v>0</v>
      </c>
      <c r="AB303" s="382">
        <v>3</v>
      </c>
      <c r="AC303" s="382">
        <v>6</v>
      </c>
      <c r="AD303" s="382">
        <v>976</v>
      </c>
      <c r="AE303" s="382">
        <v>10</v>
      </c>
      <c r="AF303" s="382">
        <v>0</v>
      </c>
      <c r="AG303" s="382">
        <v>10</v>
      </c>
    </row>
    <row r="304" spans="1:33" x14ac:dyDescent="0.3">
      <c r="A304" s="381" t="s">
        <v>666</v>
      </c>
      <c r="B304" s="381" t="s">
        <v>667</v>
      </c>
      <c r="C304" s="382">
        <v>4314</v>
      </c>
      <c r="D304" s="382">
        <v>0</v>
      </c>
      <c r="E304" s="382">
        <v>128</v>
      </c>
      <c r="F304" s="382">
        <v>422</v>
      </c>
      <c r="G304" s="382">
        <v>360</v>
      </c>
      <c r="H304" s="382">
        <v>5224</v>
      </c>
      <c r="I304" s="382">
        <v>4864</v>
      </c>
      <c r="J304" s="382">
        <v>0</v>
      </c>
      <c r="K304" s="382">
        <v>81.38</v>
      </c>
      <c r="L304" s="382">
        <v>81.22</v>
      </c>
      <c r="M304" s="382">
        <v>4.17</v>
      </c>
      <c r="N304" s="382">
        <v>82.72</v>
      </c>
      <c r="O304" s="385">
        <v>3770</v>
      </c>
      <c r="P304" s="382">
        <v>81.05</v>
      </c>
      <c r="Q304" s="382">
        <v>74.430000000000007</v>
      </c>
      <c r="R304" s="382">
        <v>37.47</v>
      </c>
      <c r="S304" s="382">
        <v>118.53</v>
      </c>
      <c r="T304" s="385">
        <v>491</v>
      </c>
      <c r="U304" s="382">
        <v>104.6</v>
      </c>
      <c r="V304" s="385">
        <v>519</v>
      </c>
      <c r="W304" s="382">
        <v>122.16</v>
      </c>
      <c r="X304" s="385">
        <v>36</v>
      </c>
      <c r="Y304" s="382">
        <v>0</v>
      </c>
      <c r="Z304" s="382">
        <v>10</v>
      </c>
      <c r="AA304" s="382">
        <v>1</v>
      </c>
      <c r="AB304" s="382">
        <v>8</v>
      </c>
      <c r="AC304" s="382">
        <v>5</v>
      </c>
      <c r="AD304" s="382">
        <v>4261</v>
      </c>
      <c r="AE304" s="382">
        <v>18</v>
      </c>
      <c r="AF304" s="382">
        <v>18</v>
      </c>
      <c r="AG304" s="382">
        <v>36</v>
      </c>
    </row>
    <row r="305" spans="1:33" x14ac:dyDescent="0.3">
      <c r="A305" s="381" t="s">
        <v>815</v>
      </c>
      <c r="B305" s="381" t="s">
        <v>813</v>
      </c>
      <c r="C305" s="382">
        <v>11804</v>
      </c>
      <c r="D305" s="382">
        <v>9</v>
      </c>
      <c r="E305" s="382">
        <v>472</v>
      </c>
      <c r="F305" s="382">
        <v>2259</v>
      </c>
      <c r="G305" s="382">
        <v>2627</v>
      </c>
      <c r="H305" s="382">
        <v>17171</v>
      </c>
      <c r="I305" s="382">
        <v>14544</v>
      </c>
      <c r="J305" s="382">
        <v>1</v>
      </c>
      <c r="K305" s="382">
        <v>99.82</v>
      </c>
      <c r="L305" s="382">
        <v>99.42</v>
      </c>
      <c r="M305" s="382">
        <v>6.11</v>
      </c>
      <c r="N305" s="382">
        <v>103.65</v>
      </c>
      <c r="O305" s="385">
        <v>9196</v>
      </c>
      <c r="P305" s="382">
        <v>99.52</v>
      </c>
      <c r="Q305" s="382">
        <v>91.56</v>
      </c>
      <c r="R305" s="382">
        <v>37.61</v>
      </c>
      <c r="S305" s="382">
        <v>128.53</v>
      </c>
      <c r="T305" s="385">
        <v>2693</v>
      </c>
      <c r="U305" s="382">
        <v>133.04</v>
      </c>
      <c r="V305" s="385">
        <v>2157</v>
      </c>
      <c r="W305" s="382">
        <v>116.51</v>
      </c>
      <c r="X305" s="385">
        <v>2</v>
      </c>
      <c r="Y305" s="382">
        <v>12</v>
      </c>
      <c r="Z305" s="382">
        <v>21</v>
      </c>
      <c r="AA305" s="382">
        <v>1</v>
      </c>
      <c r="AB305" s="382">
        <v>205</v>
      </c>
      <c r="AC305" s="382">
        <v>43</v>
      </c>
      <c r="AD305" s="382">
        <v>11537</v>
      </c>
      <c r="AE305" s="382">
        <v>126</v>
      </c>
      <c r="AF305" s="382">
        <v>41</v>
      </c>
      <c r="AG305" s="382">
        <v>167</v>
      </c>
    </row>
    <row r="306" spans="1:33" x14ac:dyDescent="0.3">
      <c r="A306" s="381" t="s">
        <v>668</v>
      </c>
      <c r="B306" s="381" t="s">
        <v>669</v>
      </c>
      <c r="C306" s="382">
        <v>6314</v>
      </c>
      <c r="D306" s="382">
        <v>2</v>
      </c>
      <c r="E306" s="382">
        <v>132</v>
      </c>
      <c r="F306" s="382">
        <v>219</v>
      </c>
      <c r="G306" s="382">
        <v>1032</v>
      </c>
      <c r="H306" s="382">
        <v>7699</v>
      </c>
      <c r="I306" s="382">
        <v>6667</v>
      </c>
      <c r="J306" s="382">
        <v>2</v>
      </c>
      <c r="K306" s="382">
        <v>113.01</v>
      </c>
      <c r="L306" s="382">
        <v>115.15</v>
      </c>
      <c r="M306" s="382">
        <v>4.24</v>
      </c>
      <c r="N306" s="382">
        <v>114.88</v>
      </c>
      <c r="O306" s="385">
        <v>5001</v>
      </c>
      <c r="P306" s="382">
        <v>105.15</v>
      </c>
      <c r="Q306" s="382">
        <v>98.41</v>
      </c>
      <c r="R306" s="382">
        <v>56.22</v>
      </c>
      <c r="S306" s="382">
        <v>157.83000000000001</v>
      </c>
      <c r="T306" s="385">
        <v>349</v>
      </c>
      <c r="U306" s="382">
        <v>177.15</v>
      </c>
      <c r="V306" s="385">
        <v>1315</v>
      </c>
      <c r="W306" s="382">
        <v>154.74</v>
      </c>
      <c r="X306" s="385">
        <v>2</v>
      </c>
      <c r="Y306" s="382">
        <v>79</v>
      </c>
      <c r="Z306" s="382">
        <v>4</v>
      </c>
      <c r="AA306" s="382">
        <v>9</v>
      </c>
      <c r="AB306" s="382">
        <v>102</v>
      </c>
      <c r="AC306" s="382">
        <v>19</v>
      </c>
      <c r="AD306" s="382">
        <v>6282</v>
      </c>
      <c r="AE306" s="382">
        <v>79</v>
      </c>
      <c r="AF306" s="382">
        <v>63</v>
      </c>
      <c r="AG306" s="382">
        <v>142</v>
      </c>
    </row>
    <row r="307" spans="1:33" x14ac:dyDescent="0.3">
      <c r="A307" s="381" t="s">
        <v>670</v>
      </c>
      <c r="B307" s="381" t="s">
        <v>671</v>
      </c>
      <c r="C307" s="382">
        <v>11169</v>
      </c>
      <c r="D307" s="382">
        <v>0</v>
      </c>
      <c r="E307" s="382">
        <v>428</v>
      </c>
      <c r="F307" s="382">
        <v>1098</v>
      </c>
      <c r="G307" s="382">
        <v>934</v>
      </c>
      <c r="H307" s="382">
        <v>13629</v>
      </c>
      <c r="I307" s="382">
        <v>12695</v>
      </c>
      <c r="J307" s="382">
        <v>0</v>
      </c>
      <c r="K307" s="382">
        <v>93.13</v>
      </c>
      <c r="L307" s="382">
        <v>92.11</v>
      </c>
      <c r="M307" s="382">
        <v>5.16</v>
      </c>
      <c r="N307" s="382">
        <v>94.75</v>
      </c>
      <c r="O307" s="385">
        <v>8933</v>
      </c>
      <c r="P307" s="382">
        <v>89.6</v>
      </c>
      <c r="Q307" s="382">
        <v>84.52</v>
      </c>
      <c r="R307" s="382">
        <v>44.59</v>
      </c>
      <c r="S307" s="382">
        <v>132.16999999999999</v>
      </c>
      <c r="T307" s="385">
        <v>1498</v>
      </c>
      <c r="U307" s="382">
        <v>135.75</v>
      </c>
      <c r="V307" s="385">
        <v>1991</v>
      </c>
      <c r="W307" s="382">
        <v>108.46</v>
      </c>
      <c r="X307" s="385">
        <v>15</v>
      </c>
      <c r="Y307" s="382">
        <v>80</v>
      </c>
      <c r="Z307" s="382">
        <v>23</v>
      </c>
      <c r="AA307" s="382">
        <v>10</v>
      </c>
      <c r="AB307" s="382">
        <v>106</v>
      </c>
      <c r="AC307" s="382">
        <v>18</v>
      </c>
      <c r="AD307" s="382">
        <v>11120</v>
      </c>
      <c r="AE307" s="382">
        <v>86</v>
      </c>
      <c r="AF307" s="382">
        <v>84</v>
      </c>
      <c r="AG307" s="382">
        <v>170</v>
      </c>
    </row>
    <row r="308" spans="1:33" x14ac:dyDescent="0.3">
      <c r="A308" s="381" t="s">
        <v>672</v>
      </c>
      <c r="B308" s="381" t="s">
        <v>673</v>
      </c>
      <c r="C308" s="382">
        <v>12362</v>
      </c>
      <c r="D308" s="382">
        <v>821</v>
      </c>
      <c r="E308" s="382">
        <v>1347</v>
      </c>
      <c r="F308" s="382">
        <v>759</v>
      </c>
      <c r="G308" s="382">
        <v>566</v>
      </c>
      <c r="H308" s="382">
        <v>15855</v>
      </c>
      <c r="I308" s="382">
        <v>15289</v>
      </c>
      <c r="J308" s="382">
        <v>55</v>
      </c>
      <c r="K308" s="382">
        <v>134.88</v>
      </c>
      <c r="L308" s="382">
        <v>148.31</v>
      </c>
      <c r="M308" s="382">
        <v>12.93</v>
      </c>
      <c r="N308" s="382">
        <v>145.38999999999999</v>
      </c>
      <c r="O308" s="385">
        <v>9517</v>
      </c>
      <c r="P308" s="382">
        <v>115.01</v>
      </c>
      <c r="Q308" s="382">
        <v>119.82</v>
      </c>
      <c r="R308" s="382">
        <v>79.900000000000006</v>
      </c>
      <c r="S308" s="382">
        <v>184.81</v>
      </c>
      <c r="T308" s="385">
        <v>1866</v>
      </c>
      <c r="U308" s="382">
        <v>208.25</v>
      </c>
      <c r="V308" s="385">
        <v>807</v>
      </c>
      <c r="W308" s="382">
        <v>177.44</v>
      </c>
      <c r="X308" s="385">
        <v>2</v>
      </c>
      <c r="Y308" s="382">
        <v>0</v>
      </c>
      <c r="Z308" s="382">
        <v>1</v>
      </c>
      <c r="AA308" s="382">
        <v>21</v>
      </c>
      <c r="AB308" s="382">
        <v>0</v>
      </c>
      <c r="AC308" s="382">
        <v>15</v>
      </c>
      <c r="AD308" s="382">
        <v>10555</v>
      </c>
      <c r="AE308" s="382">
        <v>72</v>
      </c>
      <c r="AF308" s="382">
        <v>66</v>
      </c>
      <c r="AG308" s="382">
        <v>138</v>
      </c>
    </row>
    <row r="309" spans="1:33" x14ac:dyDescent="0.3">
      <c r="A309" s="381" t="s">
        <v>674</v>
      </c>
      <c r="B309" s="381" t="s">
        <v>675</v>
      </c>
      <c r="C309" s="382">
        <v>2641</v>
      </c>
      <c r="D309" s="382">
        <v>0</v>
      </c>
      <c r="E309" s="382">
        <v>932</v>
      </c>
      <c r="F309" s="382">
        <v>831</v>
      </c>
      <c r="G309" s="382">
        <v>649</v>
      </c>
      <c r="H309" s="382">
        <v>5053</v>
      </c>
      <c r="I309" s="382">
        <v>4404</v>
      </c>
      <c r="J309" s="382">
        <v>2</v>
      </c>
      <c r="K309" s="382">
        <v>81.3</v>
      </c>
      <c r="L309" s="382">
        <v>77.88</v>
      </c>
      <c r="M309" s="382">
        <v>7.8</v>
      </c>
      <c r="N309" s="382">
        <v>85.76</v>
      </c>
      <c r="O309" s="385">
        <v>1735</v>
      </c>
      <c r="P309" s="382">
        <v>96.46</v>
      </c>
      <c r="Q309" s="382">
        <v>70.42</v>
      </c>
      <c r="R309" s="382">
        <v>84.17</v>
      </c>
      <c r="S309" s="382">
        <v>180.42</v>
      </c>
      <c r="T309" s="385">
        <v>1584</v>
      </c>
      <c r="U309" s="382">
        <v>102.68</v>
      </c>
      <c r="V309" s="385">
        <v>814</v>
      </c>
      <c r="W309" s="382">
        <v>206.52</v>
      </c>
      <c r="X309" s="385">
        <v>2</v>
      </c>
      <c r="Y309" s="382">
        <v>6</v>
      </c>
      <c r="Z309" s="382">
        <v>1</v>
      </c>
      <c r="AA309" s="382">
        <v>11</v>
      </c>
      <c r="AB309" s="382">
        <v>96</v>
      </c>
      <c r="AC309" s="382">
        <v>19</v>
      </c>
      <c r="AD309" s="382">
        <v>2617</v>
      </c>
      <c r="AE309" s="382">
        <v>33</v>
      </c>
      <c r="AF309" s="382">
        <v>13</v>
      </c>
      <c r="AG309" s="382">
        <v>46</v>
      </c>
    </row>
    <row r="310" spans="1:33" x14ac:dyDescent="0.3">
      <c r="A310" s="381" t="s">
        <v>676</v>
      </c>
      <c r="B310" s="381" t="s">
        <v>677</v>
      </c>
      <c r="C310" s="382">
        <v>22797</v>
      </c>
      <c r="D310" s="382">
        <v>0</v>
      </c>
      <c r="E310" s="382">
        <v>627</v>
      </c>
      <c r="F310" s="382">
        <v>2961</v>
      </c>
      <c r="G310" s="382">
        <v>2427</v>
      </c>
      <c r="H310" s="382">
        <v>28812</v>
      </c>
      <c r="I310" s="382">
        <v>26385</v>
      </c>
      <c r="J310" s="382">
        <v>21</v>
      </c>
      <c r="K310" s="382">
        <v>102.16</v>
      </c>
      <c r="L310" s="382">
        <v>101.38</v>
      </c>
      <c r="M310" s="382">
        <v>4.03</v>
      </c>
      <c r="N310" s="382">
        <v>104.59</v>
      </c>
      <c r="O310" s="385">
        <v>18858</v>
      </c>
      <c r="P310" s="382">
        <v>96.53</v>
      </c>
      <c r="Q310" s="382">
        <v>90.5</v>
      </c>
      <c r="R310" s="382">
        <v>28.31</v>
      </c>
      <c r="S310" s="382">
        <v>123.9</v>
      </c>
      <c r="T310" s="385">
        <v>3163</v>
      </c>
      <c r="U310" s="382">
        <v>137</v>
      </c>
      <c r="V310" s="385">
        <v>3527</v>
      </c>
      <c r="W310" s="382">
        <v>173.81</v>
      </c>
      <c r="X310" s="385">
        <v>74</v>
      </c>
      <c r="Y310" s="382">
        <v>18</v>
      </c>
      <c r="Z310" s="382">
        <v>56</v>
      </c>
      <c r="AA310" s="382">
        <v>45</v>
      </c>
      <c r="AB310" s="382">
        <v>254</v>
      </c>
      <c r="AC310" s="382">
        <v>50</v>
      </c>
      <c r="AD310" s="382">
        <v>22404</v>
      </c>
      <c r="AE310" s="382">
        <v>134</v>
      </c>
      <c r="AF310" s="382">
        <v>153</v>
      </c>
      <c r="AG310" s="382">
        <v>287</v>
      </c>
    </row>
    <row r="311" spans="1:33" x14ac:dyDescent="0.3">
      <c r="A311" s="381" t="s">
        <v>678</v>
      </c>
      <c r="B311" s="381" t="s">
        <v>679</v>
      </c>
      <c r="C311" s="382">
        <v>2774</v>
      </c>
      <c r="D311" s="382">
        <v>8</v>
      </c>
      <c r="E311" s="382">
        <v>240</v>
      </c>
      <c r="F311" s="382">
        <v>244</v>
      </c>
      <c r="G311" s="382">
        <v>697</v>
      </c>
      <c r="H311" s="382">
        <v>3963</v>
      </c>
      <c r="I311" s="382">
        <v>3266</v>
      </c>
      <c r="J311" s="382">
        <v>1</v>
      </c>
      <c r="K311" s="382">
        <v>116.41</v>
      </c>
      <c r="L311" s="382">
        <v>112.58</v>
      </c>
      <c r="M311" s="382">
        <v>7.98</v>
      </c>
      <c r="N311" s="382">
        <v>123.86</v>
      </c>
      <c r="O311" s="385">
        <v>1838</v>
      </c>
      <c r="P311" s="382">
        <v>103.59</v>
      </c>
      <c r="Q311" s="382">
        <v>92.14</v>
      </c>
      <c r="R311" s="382">
        <v>53.88</v>
      </c>
      <c r="S311" s="382">
        <v>153.97</v>
      </c>
      <c r="T311" s="385">
        <v>431</v>
      </c>
      <c r="U311" s="382">
        <v>173.46</v>
      </c>
      <c r="V311" s="385">
        <v>788</v>
      </c>
      <c r="W311" s="382">
        <v>0</v>
      </c>
      <c r="X311" s="385">
        <v>0</v>
      </c>
      <c r="Y311" s="382">
        <v>0</v>
      </c>
      <c r="Z311" s="382">
        <v>2</v>
      </c>
      <c r="AA311" s="382">
        <v>1</v>
      </c>
      <c r="AB311" s="382">
        <v>151</v>
      </c>
      <c r="AC311" s="382">
        <v>18</v>
      </c>
      <c r="AD311" s="382">
        <v>2545</v>
      </c>
      <c r="AE311" s="382">
        <v>12</v>
      </c>
      <c r="AF311" s="382">
        <v>11</v>
      </c>
      <c r="AG311" s="382">
        <v>23</v>
      </c>
    </row>
    <row r="312" spans="1:33" x14ac:dyDescent="0.3">
      <c r="A312" s="381" t="s">
        <v>680</v>
      </c>
      <c r="B312" s="381" t="s">
        <v>681</v>
      </c>
      <c r="C312" s="382">
        <v>6797</v>
      </c>
      <c r="D312" s="382">
        <v>16</v>
      </c>
      <c r="E312" s="382">
        <v>187</v>
      </c>
      <c r="F312" s="382">
        <v>860</v>
      </c>
      <c r="G312" s="382">
        <v>388</v>
      </c>
      <c r="H312" s="382">
        <v>8248</v>
      </c>
      <c r="I312" s="382">
        <v>7860</v>
      </c>
      <c r="J312" s="382">
        <v>0</v>
      </c>
      <c r="K312" s="382">
        <v>124.64</v>
      </c>
      <c r="L312" s="382">
        <v>126.34</v>
      </c>
      <c r="M312" s="382">
        <v>5.5</v>
      </c>
      <c r="N312" s="382">
        <v>128.94999999999999</v>
      </c>
      <c r="O312" s="385">
        <v>6227</v>
      </c>
      <c r="P312" s="382">
        <v>111.86</v>
      </c>
      <c r="Q312" s="382">
        <v>108.62</v>
      </c>
      <c r="R312" s="382">
        <v>30.09</v>
      </c>
      <c r="S312" s="382">
        <v>141.6</v>
      </c>
      <c r="T312" s="385">
        <v>1043</v>
      </c>
      <c r="U312" s="382">
        <v>188.14</v>
      </c>
      <c r="V312" s="385">
        <v>349</v>
      </c>
      <c r="W312" s="382">
        <v>148.41</v>
      </c>
      <c r="X312" s="385">
        <v>1</v>
      </c>
      <c r="Y312" s="382">
        <v>0</v>
      </c>
      <c r="Z312" s="382">
        <v>8</v>
      </c>
      <c r="AA312" s="382">
        <v>2</v>
      </c>
      <c r="AB312" s="382">
        <v>65</v>
      </c>
      <c r="AC312" s="382">
        <v>11</v>
      </c>
      <c r="AD312" s="382">
        <v>6790</v>
      </c>
      <c r="AE312" s="382">
        <v>22</v>
      </c>
      <c r="AF312" s="382">
        <v>37</v>
      </c>
      <c r="AG312" s="382">
        <v>59</v>
      </c>
    </row>
    <row r="313" spans="1:33" x14ac:dyDescent="0.3">
      <c r="A313" s="381" t="s">
        <v>682</v>
      </c>
      <c r="B313" s="381" t="s">
        <v>683</v>
      </c>
      <c r="C313" s="382">
        <v>18058</v>
      </c>
      <c r="D313" s="382">
        <v>0</v>
      </c>
      <c r="E313" s="382">
        <v>1351</v>
      </c>
      <c r="F313" s="382">
        <v>3835</v>
      </c>
      <c r="G313" s="382">
        <v>610</v>
      </c>
      <c r="H313" s="382">
        <v>23854</v>
      </c>
      <c r="I313" s="382">
        <v>23244</v>
      </c>
      <c r="J313" s="382">
        <v>19</v>
      </c>
      <c r="K313" s="382">
        <v>87.94</v>
      </c>
      <c r="L313" s="382">
        <v>85.61</v>
      </c>
      <c r="M313" s="382">
        <v>9.19</v>
      </c>
      <c r="N313" s="382">
        <v>91.23</v>
      </c>
      <c r="O313" s="385">
        <v>13717</v>
      </c>
      <c r="P313" s="382">
        <v>89.43</v>
      </c>
      <c r="Q313" s="382">
        <v>78.27</v>
      </c>
      <c r="R313" s="382">
        <v>29.83</v>
      </c>
      <c r="S313" s="382">
        <v>117.68</v>
      </c>
      <c r="T313" s="385">
        <v>3878</v>
      </c>
      <c r="U313" s="382">
        <v>111.68</v>
      </c>
      <c r="V313" s="385">
        <v>2385</v>
      </c>
      <c r="W313" s="382">
        <v>190.18</v>
      </c>
      <c r="X313" s="385">
        <v>159</v>
      </c>
      <c r="Y313" s="382">
        <v>0</v>
      </c>
      <c r="Z313" s="382">
        <v>80</v>
      </c>
      <c r="AA313" s="382">
        <v>44</v>
      </c>
      <c r="AB313" s="382">
        <v>18</v>
      </c>
      <c r="AC313" s="382">
        <v>2</v>
      </c>
      <c r="AD313" s="382">
        <v>16026</v>
      </c>
      <c r="AE313" s="382">
        <v>68</v>
      </c>
      <c r="AF313" s="382">
        <v>126</v>
      </c>
      <c r="AG313" s="382">
        <v>194</v>
      </c>
    </row>
    <row r="314" spans="1:33" x14ac:dyDescent="0.3">
      <c r="A314" s="381" t="s">
        <v>684</v>
      </c>
      <c r="B314" s="381" t="s">
        <v>685</v>
      </c>
      <c r="C314" s="382">
        <v>1135</v>
      </c>
      <c r="D314" s="382">
        <v>4</v>
      </c>
      <c r="E314" s="382">
        <v>173</v>
      </c>
      <c r="F314" s="382">
        <v>342</v>
      </c>
      <c r="G314" s="382">
        <v>250</v>
      </c>
      <c r="H314" s="382">
        <v>1904</v>
      </c>
      <c r="I314" s="382">
        <v>1654</v>
      </c>
      <c r="J314" s="382">
        <v>11</v>
      </c>
      <c r="K314" s="382">
        <v>134.05000000000001</v>
      </c>
      <c r="L314" s="382">
        <v>123.12</v>
      </c>
      <c r="M314" s="382">
        <v>9.24</v>
      </c>
      <c r="N314" s="382">
        <v>142.03</v>
      </c>
      <c r="O314" s="385">
        <v>954</v>
      </c>
      <c r="P314" s="382">
        <v>104.6</v>
      </c>
      <c r="Q314" s="382">
        <v>97.7</v>
      </c>
      <c r="R314" s="382">
        <v>35.450000000000003</v>
      </c>
      <c r="S314" s="382">
        <v>134.66999999999999</v>
      </c>
      <c r="T314" s="385">
        <v>244</v>
      </c>
      <c r="U314" s="382">
        <v>212.8</v>
      </c>
      <c r="V314" s="385">
        <v>67</v>
      </c>
      <c r="W314" s="382">
        <v>157.62</v>
      </c>
      <c r="X314" s="385">
        <v>34</v>
      </c>
      <c r="Y314" s="382">
        <v>0</v>
      </c>
      <c r="Z314" s="382">
        <v>0</v>
      </c>
      <c r="AA314" s="382">
        <v>17</v>
      </c>
      <c r="AB314" s="382">
        <v>9</v>
      </c>
      <c r="AC314" s="382">
        <v>11</v>
      </c>
      <c r="AD314" s="382">
        <v>1025</v>
      </c>
      <c r="AE314" s="382">
        <v>7</v>
      </c>
      <c r="AF314" s="382">
        <v>2</v>
      </c>
      <c r="AG314" s="382">
        <v>9</v>
      </c>
    </row>
    <row r="315" spans="1:33" x14ac:dyDescent="0.3">
      <c r="A315" s="381" t="s">
        <v>686</v>
      </c>
      <c r="B315" s="381" t="s">
        <v>687</v>
      </c>
      <c r="C315" s="382">
        <v>2222</v>
      </c>
      <c r="D315" s="382">
        <v>0</v>
      </c>
      <c r="E315" s="382">
        <v>192</v>
      </c>
      <c r="F315" s="382">
        <v>219</v>
      </c>
      <c r="G315" s="382">
        <v>1409</v>
      </c>
      <c r="H315" s="382">
        <v>4042</v>
      </c>
      <c r="I315" s="382">
        <v>2633</v>
      </c>
      <c r="J315" s="382">
        <v>1</v>
      </c>
      <c r="K315" s="382">
        <v>134.62</v>
      </c>
      <c r="L315" s="382">
        <v>132.54</v>
      </c>
      <c r="M315" s="382">
        <v>7.91</v>
      </c>
      <c r="N315" s="382">
        <v>141.72999999999999</v>
      </c>
      <c r="O315" s="385">
        <v>1909</v>
      </c>
      <c r="P315" s="382">
        <v>114.27</v>
      </c>
      <c r="Q315" s="382">
        <v>111.15</v>
      </c>
      <c r="R315" s="382">
        <v>49.93</v>
      </c>
      <c r="S315" s="382">
        <v>164.02</v>
      </c>
      <c r="T315" s="385">
        <v>283</v>
      </c>
      <c r="U315" s="382">
        <v>177.89</v>
      </c>
      <c r="V315" s="385">
        <v>238</v>
      </c>
      <c r="W315" s="382">
        <v>158.29</v>
      </c>
      <c r="X315" s="385">
        <v>63</v>
      </c>
      <c r="Y315" s="382">
        <v>25</v>
      </c>
      <c r="Z315" s="382">
        <v>0</v>
      </c>
      <c r="AA315" s="382">
        <v>2</v>
      </c>
      <c r="AB315" s="382">
        <v>107</v>
      </c>
      <c r="AC315" s="382">
        <v>31</v>
      </c>
      <c r="AD315" s="382">
        <v>2166</v>
      </c>
      <c r="AE315" s="382">
        <v>6</v>
      </c>
      <c r="AF315" s="382">
        <v>7</v>
      </c>
      <c r="AG315" s="382">
        <v>13</v>
      </c>
    </row>
    <row r="316" spans="1:33" x14ac:dyDescent="0.3">
      <c r="A316" s="381" t="s">
        <v>688</v>
      </c>
      <c r="B316" s="381" t="s">
        <v>689</v>
      </c>
      <c r="C316" s="382">
        <v>5121</v>
      </c>
      <c r="D316" s="382">
        <v>34</v>
      </c>
      <c r="E316" s="382">
        <v>539</v>
      </c>
      <c r="F316" s="382">
        <v>1281</v>
      </c>
      <c r="G316" s="382">
        <v>337</v>
      </c>
      <c r="H316" s="382">
        <v>7312</v>
      </c>
      <c r="I316" s="382">
        <v>6975</v>
      </c>
      <c r="J316" s="382">
        <v>15</v>
      </c>
      <c r="K316" s="382">
        <v>90.33</v>
      </c>
      <c r="L316" s="382">
        <v>86.51</v>
      </c>
      <c r="M316" s="382">
        <v>7.69</v>
      </c>
      <c r="N316" s="382">
        <v>97.11</v>
      </c>
      <c r="O316" s="385">
        <v>4076</v>
      </c>
      <c r="P316" s="382">
        <v>100.94</v>
      </c>
      <c r="Q316" s="382">
        <v>85.83</v>
      </c>
      <c r="R316" s="382">
        <v>64.56</v>
      </c>
      <c r="S316" s="382">
        <v>164.12</v>
      </c>
      <c r="T316" s="385">
        <v>1582</v>
      </c>
      <c r="U316" s="382">
        <v>115.8</v>
      </c>
      <c r="V316" s="385">
        <v>925</v>
      </c>
      <c r="W316" s="382">
        <v>178.93</v>
      </c>
      <c r="X316" s="385">
        <v>36</v>
      </c>
      <c r="Y316" s="382">
        <v>22</v>
      </c>
      <c r="Z316" s="382">
        <v>2</v>
      </c>
      <c r="AA316" s="382">
        <v>0</v>
      </c>
      <c r="AB316" s="382">
        <v>35</v>
      </c>
      <c r="AC316" s="382">
        <v>11</v>
      </c>
      <c r="AD316" s="382">
        <v>5085</v>
      </c>
      <c r="AE316" s="382">
        <v>54</v>
      </c>
      <c r="AF316" s="382">
        <v>5</v>
      </c>
      <c r="AG316" s="382">
        <v>59</v>
      </c>
    </row>
    <row r="317" spans="1:33" x14ac:dyDescent="0.3">
      <c r="A317" s="381" t="s">
        <v>690</v>
      </c>
      <c r="B317" s="381" t="s">
        <v>691</v>
      </c>
      <c r="C317" s="382">
        <v>6331</v>
      </c>
      <c r="D317" s="382">
        <v>46</v>
      </c>
      <c r="E317" s="382">
        <v>457</v>
      </c>
      <c r="F317" s="382">
        <v>993</v>
      </c>
      <c r="G317" s="382">
        <v>442</v>
      </c>
      <c r="H317" s="382">
        <v>8269</v>
      </c>
      <c r="I317" s="382">
        <v>7827</v>
      </c>
      <c r="J317" s="382">
        <v>15</v>
      </c>
      <c r="K317" s="382">
        <v>89.18</v>
      </c>
      <c r="L317" s="382">
        <v>90.48</v>
      </c>
      <c r="M317" s="382">
        <v>5.83</v>
      </c>
      <c r="N317" s="382">
        <v>94.57</v>
      </c>
      <c r="O317" s="385">
        <v>5322</v>
      </c>
      <c r="P317" s="382">
        <v>86.31</v>
      </c>
      <c r="Q317" s="382">
        <v>81.900000000000006</v>
      </c>
      <c r="R317" s="382">
        <v>47.98</v>
      </c>
      <c r="S317" s="382">
        <v>133.43</v>
      </c>
      <c r="T317" s="385">
        <v>1121</v>
      </c>
      <c r="U317" s="382">
        <v>115.59</v>
      </c>
      <c r="V317" s="385">
        <v>962</v>
      </c>
      <c r="W317" s="382">
        <v>202.84</v>
      </c>
      <c r="X317" s="385">
        <v>163</v>
      </c>
      <c r="Y317" s="382">
        <v>0</v>
      </c>
      <c r="Z317" s="382">
        <v>13</v>
      </c>
      <c r="AA317" s="382">
        <v>2</v>
      </c>
      <c r="AB317" s="382">
        <v>73</v>
      </c>
      <c r="AC317" s="382">
        <v>11</v>
      </c>
      <c r="AD317" s="382">
        <v>6257</v>
      </c>
      <c r="AE317" s="382">
        <v>46</v>
      </c>
      <c r="AF317" s="382">
        <v>13</v>
      </c>
      <c r="AG317" s="382">
        <v>59</v>
      </c>
    </row>
    <row r="318" spans="1:33" x14ac:dyDescent="0.3">
      <c r="A318" s="381" t="s">
        <v>692</v>
      </c>
      <c r="B318" s="381" t="s">
        <v>693</v>
      </c>
      <c r="C318" s="382">
        <v>4119</v>
      </c>
      <c r="D318" s="382">
        <v>0</v>
      </c>
      <c r="E318" s="382">
        <v>173</v>
      </c>
      <c r="F318" s="382">
        <v>556</v>
      </c>
      <c r="G318" s="382">
        <v>203</v>
      </c>
      <c r="H318" s="382">
        <v>5051</v>
      </c>
      <c r="I318" s="382">
        <v>4848</v>
      </c>
      <c r="J318" s="382">
        <v>35</v>
      </c>
      <c r="K318" s="382">
        <v>104.09</v>
      </c>
      <c r="L318" s="382">
        <v>102.53</v>
      </c>
      <c r="M318" s="382">
        <v>7.6</v>
      </c>
      <c r="N318" s="382">
        <v>108.46</v>
      </c>
      <c r="O318" s="385">
        <v>3726</v>
      </c>
      <c r="P318" s="382">
        <v>91.15</v>
      </c>
      <c r="Q318" s="382">
        <v>84.56</v>
      </c>
      <c r="R318" s="382">
        <v>42.12</v>
      </c>
      <c r="S318" s="382">
        <v>132.80000000000001</v>
      </c>
      <c r="T318" s="385">
        <v>529</v>
      </c>
      <c r="U318" s="382">
        <v>154.61000000000001</v>
      </c>
      <c r="V318" s="385">
        <v>246</v>
      </c>
      <c r="W318" s="382">
        <v>0</v>
      </c>
      <c r="X318" s="385">
        <v>0</v>
      </c>
      <c r="Y318" s="382">
        <v>0</v>
      </c>
      <c r="Z318" s="382">
        <v>6</v>
      </c>
      <c r="AA318" s="382">
        <v>10</v>
      </c>
      <c r="AB318" s="382">
        <v>6</v>
      </c>
      <c r="AC318" s="382">
        <v>2</v>
      </c>
      <c r="AD318" s="382">
        <v>4103</v>
      </c>
      <c r="AE318" s="382">
        <v>19</v>
      </c>
      <c r="AF318" s="382">
        <v>8</v>
      </c>
      <c r="AG318" s="382">
        <v>27</v>
      </c>
    </row>
    <row r="319" spans="1:33" x14ac:dyDescent="0.3">
      <c r="A319" s="381" t="s">
        <v>694</v>
      </c>
      <c r="B319" s="381" t="s">
        <v>695</v>
      </c>
      <c r="C319" s="382">
        <v>8292</v>
      </c>
      <c r="D319" s="382">
        <v>0</v>
      </c>
      <c r="E319" s="382">
        <v>121</v>
      </c>
      <c r="F319" s="382">
        <v>906</v>
      </c>
      <c r="G319" s="382">
        <v>705</v>
      </c>
      <c r="H319" s="382">
        <v>10024</v>
      </c>
      <c r="I319" s="382">
        <v>9319</v>
      </c>
      <c r="J319" s="382">
        <v>36</v>
      </c>
      <c r="K319" s="382">
        <v>97.06</v>
      </c>
      <c r="L319" s="382">
        <v>95.28</v>
      </c>
      <c r="M319" s="382">
        <v>4.28</v>
      </c>
      <c r="N319" s="382">
        <v>99.44</v>
      </c>
      <c r="O319" s="385">
        <v>7083</v>
      </c>
      <c r="P319" s="382">
        <v>90.3</v>
      </c>
      <c r="Q319" s="382">
        <v>85.73</v>
      </c>
      <c r="R319" s="382">
        <v>39.22</v>
      </c>
      <c r="S319" s="382">
        <v>127.7</v>
      </c>
      <c r="T319" s="385">
        <v>883</v>
      </c>
      <c r="U319" s="382">
        <v>122.14</v>
      </c>
      <c r="V319" s="385">
        <v>1191</v>
      </c>
      <c r="W319" s="382">
        <v>228</v>
      </c>
      <c r="X319" s="385">
        <v>84</v>
      </c>
      <c r="Y319" s="382">
        <v>0</v>
      </c>
      <c r="Z319" s="382">
        <v>3</v>
      </c>
      <c r="AA319" s="382">
        <v>1</v>
      </c>
      <c r="AB319" s="382">
        <v>62</v>
      </c>
      <c r="AC319" s="382">
        <v>14</v>
      </c>
      <c r="AD319" s="382">
        <v>8282</v>
      </c>
      <c r="AE319" s="382">
        <v>70</v>
      </c>
      <c r="AF319" s="382">
        <v>22</v>
      </c>
      <c r="AG319" s="382">
        <v>92</v>
      </c>
    </row>
    <row r="320" spans="1:33" x14ac:dyDescent="0.3">
      <c r="A320" s="381" t="s">
        <v>696</v>
      </c>
      <c r="B320" s="381" t="s">
        <v>697</v>
      </c>
      <c r="C320" s="382">
        <v>3389</v>
      </c>
      <c r="D320" s="382">
        <v>0</v>
      </c>
      <c r="E320" s="382">
        <v>252</v>
      </c>
      <c r="F320" s="382">
        <v>475</v>
      </c>
      <c r="G320" s="382">
        <v>327</v>
      </c>
      <c r="H320" s="382">
        <v>4443</v>
      </c>
      <c r="I320" s="382">
        <v>4116</v>
      </c>
      <c r="J320" s="382">
        <v>49</v>
      </c>
      <c r="K320" s="382">
        <v>88.62</v>
      </c>
      <c r="L320" s="382">
        <v>88.02</v>
      </c>
      <c r="M320" s="382">
        <v>4.4400000000000004</v>
      </c>
      <c r="N320" s="382">
        <v>91.27</v>
      </c>
      <c r="O320" s="385">
        <v>2835</v>
      </c>
      <c r="P320" s="382">
        <v>97.18</v>
      </c>
      <c r="Q320" s="382">
        <v>87.82</v>
      </c>
      <c r="R320" s="382">
        <v>35.619999999999997</v>
      </c>
      <c r="S320" s="382">
        <v>131.27000000000001</v>
      </c>
      <c r="T320" s="385">
        <v>557</v>
      </c>
      <c r="U320" s="382">
        <v>112.33</v>
      </c>
      <c r="V320" s="385">
        <v>500</v>
      </c>
      <c r="W320" s="382">
        <v>169.37</v>
      </c>
      <c r="X320" s="385">
        <v>88</v>
      </c>
      <c r="Y320" s="382">
        <v>7</v>
      </c>
      <c r="Z320" s="382">
        <v>5</v>
      </c>
      <c r="AA320" s="382">
        <v>0</v>
      </c>
      <c r="AB320" s="382">
        <v>53</v>
      </c>
      <c r="AC320" s="382">
        <v>8</v>
      </c>
      <c r="AD320" s="382">
        <v>3341</v>
      </c>
      <c r="AE320" s="382">
        <v>13</v>
      </c>
      <c r="AF320" s="382">
        <v>20</v>
      </c>
      <c r="AG320" s="382">
        <v>33</v>
      </c>
    </row>
    <row r="321" spans="1:33" x14ac:dyDescent="0.3">
      <c r="A321" s="381" t="s">
        <v>698</v>
      </c>
      <c r="B321" s="381" t="s">
        <v>699</v>
      </c>
      <c r="C321" s="382">
        <v>4506</v>
      </c>
      <c r="D321" s="382">
        <v>0</v>
      </c>
      <c r="E321" s="382">
        <v>2154</v>
      </c>
      <c r="F321" s="382">
        <v>69</v>
      </c>
      <c r="G321" s="382">
        <v>532</v>
      </c>
      <c r="H321" s="382">
        <v>7261</v>
      </c>
      <c r="I321" s="382">
        <v>6729</v>
      </c>
      <c r="J321" s="382">
        <v>44</v>
      </c>
      <c r="K321" s="382">
        <v>90.06</v>
      </c>
      <c r="L321" s="382">
        <v>87.26</v>
      </c>
      <c r="M321" s="382">
        <v>8.44</v>
      </c>
      <c r="N321" s="382">
        <v>94.02</v>
      </c>
      <c r="O321" s="385">
        <v>4028</v>
      </c>
      <c r="P321" s="382">
        <v>88.8</v>
      </c>
      <c r="Q321" s="382">
        <v>80.86</v>
      </c>
      <c r="R321" s="382">
        <v>17.72</v>
      </c>
      <c r="S321" s="382">
        <v>106.51</v>
      </c>
      <c r="T321" s="385">
        <v>2090</v>
      </c>
      <c r="U321" s="382">
        <v>109.4</v>
      </c>
      <c r="V321" s="385">
        <v>450</v>
      </c>
      <c r="W321" s="382">
        <v>210.73</v>
      </c>
      <c r="X321" s="385">
        <v>126</v>
      </c>
      <c r="Y321" s="382">
        <v>0</v>
      </c>
      <c r="Z321" s="382">
        <v>22</v>
      </c>
      <c r="AA321" s="382">
        <v>15</v>
      </c>
      <c r="AB321" s="382">
        <v>67</v>
      </c>
      <c r="AC321" s="382">
        <v>19</v>
      </c>
      <c r="AD321" s="382">
        <v>4506</v>
      </c>
      <c r="AE321" s="382">
        <v>32</v>
      </c>
      <c r="AF321" s="382">
        <v>43</v>
      </c>
      <c r="AG321" s="382">
        <v>75</v>
      </c>
    </row>
    <row r="322" spans="1:33" x14ac:dyDescent="0.3">
      <c r="A322" s="381" t="s">
        <v>700</v>
      </c>
      <c r="B322" s="381" t="s">
        <v>701</v>
      </c>
      <c r="C322" s="382">
        <v>4080</v>
      </c>
      <c r="D322" s="382">
        <v>6</v>
      </c>
      <c r="E322" s="382">
        <v>290</v>
      </c>
      <c r="F322" s="382">
        <v>713</v>
      </c>
      <c r="G322" s="382">
        <v>554</v>
      </c>
      <c r="H322" s="382">
        <v>5643</v>
      </c>
      <c r="I322" s="382">
        <v>5089</v>
      </c>
      <c r="J322" s="382">
        <v>4</v>
      </c>
      <c r="K322" s="382">
        <v>96.01</v>
      </c>
      <c r="L322" s="382">
        <v>94.89</v>
      </c>
      <c r="M322" s="382">
        <v>7.79</v>
      </c>
      <c r="N322" s="382">
        <v>99.76</v>
      </c>
      <c r="O322" s="385">
        <v>3066</v>
      </c>
      <c r="P322" s="382">
        <v>89.01</v>
      </c>
      <c r="Q322" s="382">
        <v>77.53</v>
      </c>
      <c r="R322" s="382">
        <v>32.69</v>
      </c>
      <c r="S322" s="382">
        <v>121.42</v>
      </c>
      <c r="T322" s="385">
        <v>718</v>
      </c>
      <c r="U322" s="382">
        <v>112.32</v>
      </c>
      <c r="V322" s="385">
        <v>568</v>
      </c>
      <c r="W322" s="382">
        <v>0</v>
      </c>
      <c r="X322" s="385">
        <v>0</v>
      </c>
      <c r="Y322" s="382">
        <v>0</v>
      </c>
      <c r="Z322" s="382">
        <v>1</v>
      </c>
      <c r="AA322" s="382">
        <v>3</v>
      </c>
      <c r="AB322" s="382">
        <v>31</v>
      </c>
      <c r="AC322" s="382">
        <v>6</v>
      </c>
      <c r="AD322" s="382">
        <v>3723</v>
      </c>
      <c r="AE322" s="382">
        <v>25</v>
      </c>
      <c r="AF322" s="382">
        <v>12</v>
      </c>
      <c r="AG322" s="382">
        <v>37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D0470-B6CA-4AC8-AABD-7089DE08B56F}">
  <sheetPr codeName="Sheet12">
    <tabColor rgb="FFFFFF00"/>
  </sheetPr>
  <dimension ref="A1:D310"/>
  <sheetViews>
    <sheetView workbookViewId="0">
      <selection activeCell="C1" sqref="C1"/>
    </sheetView>
  </sheetViews>
  <sheetFormatPr defaultRowHeight="14.5" x14ac:dyDescent="0.35"/>
  <cols>
    <col min="1" max="1" width="15.453125" customWidth="1"/>
    <col min="2" max="2" width="33.1796875" customWidth="1"/>
    <col min="4" max="4" width="32" customWidth="1"/>
  </cols>
  <sheetData>
    <row r="1" spans="1:4" x14ac:dyDescent="0.35">
      <c r="A1" s="175" t="s">
        <v>702</v>
      </c>
      <c r="B1" s="175" t="s">
        <v>703</v>
      </c>
      <c r="C1">
        <f>COUNTIF(D2:D310,"?*")</f>
        <v>309</v>
      </c>
      <c r="D1" s="175" t="s">
        <v>704</v>
      </c>
    </row>
    <row r="2" spans="1:4" x14ac:dyDescent="0.35">
      <c r="A2">
        <f>IF(ISNUMBER(SEARCH('PRP LA trend tool 2015-22'!$E$3,B2)),MAX($A$1:A1)+1,0)</f>
        <v>1</v>
      </c>
      <c r="B2" s="213" t="s">
        <v>91</v>
      </c>
      <c r="C2" t="str">
        <f ca="1">OFFSET($D$2,,,COUNTIF($D$2:$D$310,"?*"))</f>
        <v>Adur</v>
      </c>
      <c r="D2" t="str">
        <f>IFERROR(VLOOKUP(ROWS($D$2:D2),$A$2:$B$1416,2,0),"")</f>
        <v>Adur</v>
      </c>
    </row>
    <row r="3" spans="1:4" x14ac:dyDescent="0.35">
      <c r="A3">
        <f>IF(ISNUMBER(SEARCH('PRP LA trend tool 2015-22'!$E$3,B3)),MAX($A$1:A2)+1,0)</f>
        <v>2</v>
      </c>
      <c r="B3" s="213" t="s">
        <v>93</v>
      </c>
      <c r="D3" t="str">
        <f>IFERROR(VLOOKUP(ROWS($D$2:D3),$A$2:$B$1416,2,0),"")</f>
        <v>Allerdale</v>
      </c>
    </row>
    <row r="4" spans="1:4" x14ac:dyDescent="0.35">
      <c r="A4">
        <f>IF(ISNUMBER(SEARCH('PRP LA trend tool 2015-22'!$E$3,B4)),MAX($A$1:A3)+1,0)</f>
        <v>3</v>
      </c>
      <c r="B4" s="213" t="s">
        <v>95</v>
      </c>
      <c r="D4" t="str">
        <f>IFERROR(VLOOKUP(ROWS($D$2:D4),$A$2:$B$1416,2,0),"")</f>
        <v>Amber Valley</v>
      </c>
    </row>
    <row r="5" spans="1:4" x14ac:dyDescent="0.35">
      <c r="A5">
        <f>IF(ISNUMBER(SEARCH('PRP LA trend tool 2015-22'!$E$3,B5)),MAX($A$1:A4)+1,0)</f>
        <v>4</v>
      </c>
      <c r="B5" s="213" t="s">
        <v>97</v>
      </c>
      <c r="D5" t="str">
        <f>IFERROR(VLOOKUP(ROWS($D$2:D5),$A$2:$B$1416,2,0),"")</f>
        <v>Arun</v>
      </c>
    </row>
    <row r="6" spans="1:4" x14ac:dyDescent="0.35">
      <c r="A6">
        <f>IF(ISNUMBER(SEARCH('PRP LA trend tool 2015-22'!$E$3,B6)),MAX($A$1:A5)+1,0)</f>
        <v>5</v>
      </c>
      <c r="B6" s="213" t="s">
        <v>99</v>
      </c>
      <c r="D6" t="str">
        <f>IFERROR(VLOOKUP(ROWS($D$2:D6),$A$2:$B$1416,2,0),"")</f>
        <v>Ashfield</v>
      </c>
    </row>
    <row r="7" spans="1:4" x14ac:dyDescent="0.35">
      <c r="A7">
        <f>IF(ISNUMBER(SEARCH('PRP LA trend tool 2015-22'!$E$3,B7)),MAX($A$1:A6)+1,0)</f>
        <v>6</v>
      </c>
      <c r="B7" s="213" t="s">
        <v>101</v>
      </c>
      <c r="D7" t="str">
        <f>IFERROR(VLOOKUP(ROWS($D$2:D7),$A$2:$B$1416,2,0),"")</f>
        <v>Ashford</v>
      </c>
    </row>
    <row r="8" spans="1:4" x14ac:dyDescent="0.35">
      <c r="A8">
        <f>IF(ISNUMBER(SEARCH('PRP LA trend tool 2015-22'!$E$3,B8)),MAX($A$1:A7)+1,0)</f>
        <v>7</v>
      </c>
      <c r="B8" s="213" t="s">
        <v>103</v>
      </c>
      <c r="D8" t="str">
        <f>IFERROR(VLOOKUP(ROWS($D$2:D8),$A$2:$B$1416,2,0),"")</f>
        <v>Babergh</v>
      </c>
    </row>
    <row r="9" spans="1:4" x14ac:dyDescent="0.35">
      <c r="A9">
        <f>IF(ISNUMBER(SEARCH('PRP LA trend tool 2015-22'!$E$3,B9)),MAX($A$1:A8)+1,0)</f>
        <v>8</v>
      </c>
      <c r="B9" s="213" t="s">
        <v>105</v>
      </c>
      <c r="D9" t="str">
        <f>IFERROR(VLOOKUP(ROWS($D$2:D9),$A$2:$B$1416,2,0),"")</f>
        <v>Barking and Dagenham</v>
      </c>
    </row>
    <row r="10" spans="1:4" x14ac:dyDescent="0.35">
      <c r="A10">
        <f>IF(ISNUMBER(SEARCH('PRP LA trend tool 2015-22'!$E$3,B10)),MAX($A$1:A9)+1,0)</f>
        <v>9</v>
      </c>
      <c r="B10" s="213" t="s">
        <v>107</v>
      </c>
      <c r="D10" t="str">
        <f>IFERROR(VLOOKUP(ROWS($D$2:D10),$A$2:$B$1416,2,0),"")</f>
        <v>Barnet</v>
      </c>
    </row>
    <row r="11" spans="1:4" x14ac:dyDescent="0.35">
      <c r="A11">
        <f>IF(ISNUMBER(SEARCH('PRP LA trend tool 2015-22'!$E$3,B11)),MAX($A$1:A10)+1,0)</f>
        <v>10</v>
      </c>
      <c r="B11" s="213" t="s">
        <v>109</v>
      </c>
      <c r="D11" t="str">
        <f>IFERROR(VLOOKUP(ROWS($D$2:D11),$A$2:$B$1416,2,0),"")</f>
        <v>Barnsley</v>
      </c>
    </row>
    <row r="12" spans="1:4" x14ac:dyDescent="0.35">
      <c r="A12">
        <f>IF(ISNUMBER(SEARCH('PRP LA trend tool 2015-22'!$E$3,B12)),MAX($A$1:A11)+1,0)</f>
        <v>11</v>
      </c>
      <c r="B12" s="213" t="s">
        <v>111</v>
      </c>
      <c r="D12" t="str">
        <f>IFERROR(VLOOKUP(ROWS($D$2:D12),$A$2:$B$1416,2,0),"")</f>
        <v>Barrow-in-Furness</v>
      </c>
    </row>
    <row r="13" spans="1:4" x14ac:dyDescent="0.35">
      <c r="A13">
        <f>IF(ISNUMBER(SEARCH('PRP LA trend tool 2015-22'!$E$3,B13)),MAX($A$1:A12)+1,0)</f>
        <v>12</v>
      </c>
      <c r="B13" s="213" t="s">
        <v>113</v>
      </c>
      <c r="D13" t="str">
        <f>IFERROR(VLOOKUP(ROWS($D$2:D13),$A$2:$B$1416,2,0),"")</f>
        <v>Basildon</v>
      </c>
    </row>
    <row r="14" spans="1:4" x14ac:dyDescent="0.35">
      <c r="A14">
        <f>IF(ISNUMBER(SEARCH('PRP LA trend tool 2015-22'!$E$3,B14)),MAX($A$1:A13)+1,0)</f>
        <v>13</v>
      </c>
      <c r="B14" s="213" t="s">
        <v>115</v>
      </c>
      <c r="D14" t="str">
        <f>IFERROR(VLOOKUP(ROWS($D$2:D14),$A$2:$B$1416,2,0),"")</f>
        <v>Basingstoke and Deane</v>
      </c>
    </row>
    <row r="15" spans="1:4" x14ac:dyDescent="0.35">
      <c r="A15">
        <f>IF(ISNUMBER(SEARCH('PRP LA trend tool 2015-22'!$E$3,B15)),MAX($A$1:A14)+1,0)</f>
        <v>14</v>
      </c>
      <c r="B15" s="213" t="s">
        <v>117</v>
      </c>
      <c r="D15" t="str">
        <f>IFERROR(VLOOKUP(ROWS($D$2:D15),$A$2:$B$1416,2,0),"")</f>
        <v>Bassetlaw</v>
      </c>
    </row>
    <row r="16" spans="1:4" x14ac:dyDescent="0.35">
      <c r="A16">
        <f>IF(ISNUMBER(SEARCH('PRP LA trend tool 2015-22'!$E$3,B16)),MAX($A$1:A15)+1,0)</f>
        <v>15</v>
      </c>
      <c r="B16" s="213" t="s">
        <v>119</v>
      </c>
      <c r="D16" t="str">
        <f>IFERROR(VLOOKUP(ROWS($D$2:D16),$A$2:$B$1416,2,0),"")</f>
        <v>Bath and North East Somerset</v>
      </c>
    </row>
    <row r="17" spans="1:4" x14ac:dyDescent="0.35">
      <c r="A17">
        <f>IF(ISNUMBER(SEARCH('PRP LA trend tool 2015-22'!$E$3,B17)),MAX($A$1:A16)+1,0)</f>
        <v>16</v>
      </c>
      <c r="B17" s="213" t="s">
        <v>121</v>
      </c>
      <c r="D17" t="str">
        <f>IFERROR(VLOOKUP(ROWS($D$2:D17),$A$2:$B$1416,2,0),"")</f>
        <v>Bedford</v>
      </c>
    </row>
    <row r="18" spans="1:4" x14ac:dyDescent="0.35">
      <c r="A18">
        <f>IF(ISNUMBER(SEARCH('PRP LA trend tool 2015-22'!$E$3,B18)),MAX($A$1:A17)+1,0)</f>
        <v>17</v>
      </c>
      <c r="B18" s="213" t="s">
        <v>123</v>
      </c>
      <c r="D18" t="str">
        <f>IFERROR(VLOOKUP(ROWS($D$2:D18),$A$2:$B$1416,2,0),"")</f>
        <v>Bexley</v>
      </c>
    </row>
    <row r="19" spans="1:4" x14ac:dyDescent="0.35">
      <c r="A19">
        <f>IF(ISNUMBER(SEARCH('PRP LA trend tool 2015-22'!$E$3,B19)),MAX($A$1:A18)+1,0)</f>
        <v>18</v>
      </c>
      <c r="B19" s="213" t="s">
        <v>125</v>
      </c>
      <c r="D19" t="str">
        <f>IFERROR(VLOOKUP(ROWS($D$2:D19),$A$2:$B$1416,2,0),"")</f>
        <v>Birmingham</v>
      </c>
    </row>
    <row r="20" spans="1:4" x14ac:dyDescent="0.35">
      <c r="A20">
        <f>IF(ISNUMBER(SEARCH('PRP LA trend tool 2015-22'!$E$3,B20)),MAX($A$1:A19)+1,0)</f>
        <v>19</v>
      </c>
      <c r="B20" s="213" t="s">
        <v>127</v>
      </c>
      <c r="D20" t="str">
        <f>IFERROR(VLOOKUP(ROWS($D$2:D20),$A$2:$B$1416,2,0),"")</f>
        <v>Blaby</v>
      </c>
    </row>
    <row r="21" spans="1:4" x14ac:dyDescent="0.35">
      <c r="A21">
        <f>IF(ISNUMBER(SEARCH('PRP LA trend tool 2015-22'!$E$3,B21)),MAX($A$1:A20)+1,0)</f>
        <v>20</v>
      </c>
      <c r="B21" s="213" t="s">
        <v>129</v>
      </c>
      <c r="D21" t="str">
        <f>IFERROR(VLOOKUP(ROWS($D$2:D21),$A$2:$B$1416,2,0),"")</f>
        <v>Blackburn with Darwen</v>
      </c>
    </row>
    <row r="22" spans="1:4" x14ac:dyDescent="0.35">
      <c r="A22">
        <f>IF(ISNUMBER(SEARCH('PRP LA trend tool 2015-22'!$E$3,B22)),MAX($A$1:A21)+1,0)</f>
        <v>21</v>
      </c>
      <c r="B22" s="213" t="s">
        <v>131</v>
      </c>
      <c r="D22" t="str">
        <f>IFERROR(VLOOKUP(ROWS($D$2:D22),$A$2:$B$1416,2,0),"")</f>
        <v>Blackpool</v>
      </c>
    </row>
    <row r="23" spans="1:4" x14ac:dyDescent="0.35">
      <c r="A23">
        <f>IF(ISNUMBER(SEARCH('PRP LA trend tool 2015-22'!$E$3,B23)),MAX($A$1:A22)+1,0)</f>
        <v>22</v>
      </c>
      <c r="B23" s="213" t="s">
        <v>133</v>
      </c>
      <c r="D23" t="str">
        <f>IFERROR(VLOOKUP(ROWS($D$2:D23),$A$2:$B$1416,2,0),"")</f>
        <v>Bolsover</v>
      </c>
    </row>
    <row r="24" spans="1:4" x14ac:dyDescent="0.35">
      <c r="A24">
        <f>IF(ISNUMBER(SEARCH('PRP LA trend tool 2015-22'!$E$3,B24)),MAX($A$1:A23)+1,0)</f>
        <v>23</v>
      </c>
      <c r="B24" s="213" t="s">
        <v>135</v>
      </c>
      <c r="D24" t="str">
        <f>IFERROR(VLOOKUP(ROWS($D$2:D24),$A$2:$B$1416,2,0),"")</f>
        <v>Bolton</v>
      </c>
    </row>
    <row r="25" spans="1:4" x14ac:dyDescent="0.35">
      <c r="A25">
        <f>IF(ISNUMBER(SEARCH('PRP LA trend tool 2015-22'!$E$3,B25)),MAX($A$1:A24)+1,0)</f>
        <v>24</v>
      </c>
      <c r="B25" s="213" t="s">
        <v>137</v>
      </c>
      <c r="D25" t="str">
        <f>IFERROR(VLOOKUP(ROWS($D$2:D25),$A$2:$B$1416,2,0),"")</f>
        <v>Boston</v>
      </c>
    </row>
    <row r="26" spans="1:4" x14ac:dyDescent="0.35">
      <c r="A26">
        <f>IF(ISNUMBER(SEARCH('PRP LA trend tool 2015-22'!$E$3,B26)),MAX($A$1:A25)+1,0)</f>
        <v>25</v>
      </c>
      <c r="B26" s="213" t="s">
        <v>139</v>
      </c>
      <c r="D26" t="str">
        <f>IFERROR(VLOOKUP(ROWS($D$2:D26),$A$2:$B$1416,2,0),"")</f>
        <v>Bournemouth Christchurch and Poole</v>
      </c>
    </row>
    <row r="27" spans="1:4" x14ac:dyDescent="0.35">
      <c r="A27">
        <f>IF(ISNUMBER(SEARCH('PRP LA trend tool 2015-22'!$E$3,B27)),MAX($A$1:A26)+1,0)</f>
        <v>26</v>
      </c>
      <c r="B27" s="213" t="s">
        <v>141</v>
      </c>
      <c r="D27" t="str">
        <f>IFERROR(VLOOKUP(ROWS($D$2:D27),$A$2:$B$1416,2,0),"")</f>
        <v>Bracknell Forest</v>
      </c>
    </row>
    <row r="28" spans="1:4" x14ac:dyDescent="0.35">
      <c r="A28">
        <f>IF(ISNUMBER(SEARCH('PRP LA trend tool 2015-22'!$E$3,B28)),MAX($A$1:A27)+1,0)</f>
        <v>27</v>
      </c>
      <c r="B28" s="213" t="s">
        <v>143</v>
      </c>
      <c r="D28" t="str">
        <f>IFERROR(VLOOKUP(ROWS($D$2:D28),$A$2:$B$1416,2,0),"")</f>
        <v>Bradford</v>
      </c>
    </row>
    <row r="29" spans="1:4" x14ac:dyDescent="0.35">
      <c r="A29">
        <f>IF(ISNUMBER(SEARCH('PRP LA trend tool 2015-22'!$E$3,B29)),MAX($A$1:A28)+1,0)</f>
        <v>28</v>
      </c>
      <c r="B29" s="213" t="s">
        <v>145</v>
      </c>
      <c r="D29" t="str">
        <f>IFERROR(VLOOKUP(ROWS($D$2:D29),$A$2:$B$1416,2,0),"")</f>
        <v>Braintree</v>
      </c>
    </row>
    <row r="30" spans="1:4" x14ac:dyDescent="0.35">
      <c r="A30">
        <f>IF(ISNUMBER(SEARCH('PRP LA trend tool 2015-22'!$E$3,B30)),MAX($A$1:A29)+1,0)</f>
        <v>29</v>
      </c>
      <c r="B30" s="213" t="s">
        <v>147</v>
      </c>
      <c r="D30" t="str">
        <f>IFERROR(VLOOKUP(ROWS($D$2:D30),$A$2:$B$1416,2,0),"")</f>
        <v>Breckland</v>
      </c>
    </row>
    <row r="31" spans="1:4" x14ac:dyDescent="0.35">
      <c r="A31">
        <f>IF(ISNUMBER(SEARCH('PRP LA trend tool 2015-22'!$E$3,B31)),MAX($A$1:A30)+1,0)</f>
        <v>30</v>
      </c>
      <c r="B31" s="213" t="s">
        <v>149</v>
      </c>
      <c r="D31" t="str">
        <f>IFERROR(VLOOKUP(ROWS($D$2:D31),$A$2:$B$1416,2,0),"")</f>
        <v>Brent</v>
      </c>
    </row>
    <row r="32" spans="1:4" x14ac:dyDescent="0.35">
      <c r="A32">
        <f>IF(ISNUMBER(SEARCH('PRP LA trend tool 2015-22'!$E$3,B32)),MAX($A$1:A31)+1,0)</f>
        <v>31</v>
      </c>
      <c r="B32" s="213" t="s">
        <v>151</v>
      </c>
      <c r="D32" t="str">
        <f>IFERROR(VLOOKUP(ROWS($D$2:D32),$A$2:$B$1416,2,0),"")</f>
        <v>Brentwood</v>
      </c>
    </row>
    <row r="33" spans="1:4" x14ac:dyDescent="0.35">
      <c r="A33">
        <f>IF(ISNUMBER(SEARCH('PRP LA trend tool 2015-22'!$E$3,B33)),MAX($A$1:A32)+1,0)</f>
        <v>32</v>
      </c>
      <c r="B33" s="213" t="s">
        <v>153</v>
      </c>
      <c r="D33" t="str">
        <f>IFERROR(VLOOKUP(ROWS($D$2:D33),$A$2:$B$1416,2,0),"")</f>
        <v>Brighton and Hove</v>
      </c>
    </row>
    <row r="34" spans="1:4" x14ac:dyDescent="0.35">
      <c r="A34">
        <f>IF(ISNUMBER(SEARCH('PRP LA trend tool 2015-22'!$E$3,B34)),MAX($A$1:A33)+1,0)</f>
        <v>33</v>
      </c>
      <c r="B34" s="213" t="s">
        <v>155</v>
      </c>
      <c r="D34" t="str">
        <f>IFERROR(VLOOKUP(ROWS($D$2:D34),$A$2:$B$1416,2,0),"")</f>
        <v>Bristol, City of</v>
      </c>
    </row>
    <row r="35" spans="1:4" x14ac:dyDescent="0.35">
      <c r="A35">
        <f>IF(ISNUMBER(SEARCH('PRP LA trend tool 2015-22'!$E$3,B35)),MAX($A$1:A34)+1,0)</f>
        <v>34</v>
      </c>
      <c r="B35" s="213" t="s">
        <v>157</v>
      </c>
      <c r="D35" t="str">
        <f>IFERROR(VLOOKUP(ROWS($D$2:D35),$A$2:$B$1416,2,0),"")</f>
        <v>Broadland</v>
      </c>
    </row>
    <row r="36" spans="1:4" x14ac:dyDescent="0.35">
      <c r="A36">
        <f>IF(ISNUMBER(SEARCH('PRP LA trend tool 2015-22'!$E$3,B36)),MAX($A$1:A35)+1,0)</f>
        <v>35</v>
      </c>
      <c r="B36" s="213" t="s">
        <v>159</v>
      </c>
      <c r="D36" t="str">
        <f>IFERROR(VLOOKUP(ROWS($D$2:D36),$A$2:$B$1416,2,0),"")</f>
        <v>Bromley</v>
      </c>
    </row>
    <row r="37" spans="1:4" x14ac:dyDescent="0.35">
      <c r="A37">
        <f>IF(ISNUMBER(SEARCH('PRP LA trend tool 2015-22'!$E$3,B37)),MAX($A$1:A36)+1,0)</f>
        <v>36</v>
      </c>
      <c r="B37" s="213" t="s">
        <v>161</v>
      </c>
      <c r="D37" t="str">
        <f>IFERROR(VLOOKUP(ROWS($D$2:D37),$A$2:$B$1416,2,0),"")</f>
        <v>Bromsgrove</v>
      </c>
    </row>
    <row r="38" spans="1:4" x14ac:dyDescent="0.35">
      <c r="A38">
        <f>IF(ISNUMBER(SEARCH('PRP LA trend tool 2015-22'!$E$3,B38)),MAX($A$1:A37)+1,0)</f>
        <v>37</v>
      </c>
      <c r="B38" s="213" t="s">
        <v>163</v>
      </c>
      <c r="D38" t="str">
        <f>IFERROR(VLOOKUP(ROWS($D$2:D38),$A$2:$B$1416,2,0),"")</f>
        <v>Broxbourne</v>
      </c>
    </row>
    <row r="39" spans="1:4" x14ac:dyDescent="0.35">
      <c r="A39">
        <f>IF(ISNUMBER(SEARCH('PRP LA trend tool 2015-22'!$E$3,B39)),MAX($A$1:A38)+1,0)</f>
        <v>38</v>
      </c>
      <c r="B39" s="213" t="s">
        <v>165</v>
      </c>
      <c r="D39" t="str">
        <f>IFERROR(VLOOKUP(ROWS($D$2:D39),$A$2:$B$1416,2,0),"")</f>
        <v>Broxtowe</v>
      </c>
    </row>
    <row r="40" spans="1:4" x14ac:dyDescent="0.35">
      <c r="A40">
        <f>IF(ISNUMBER(SEARCH('PRP LA trend tool 2015-22'!$E$3,B40)),MAX($A$1:A39)+1,0)</f>
        <v>39</v>
      </c>
      <c r="B40" s="213" t="s">
        <v>774</v>
      </c>
      <c r="D40" t="str">
        <f>IFERROR(VLOOKUP(ROWS($D$2:D40),$A$2:$B$1416,2,0),"")</f>
        <v>Buckinghamshire</v>
      </c>
    </row>
    <row r="41" spans="1:4" x14ac:dyDescent="0.35">
      <c r="A41">
        <f>IF(ISNUMBER(SEARCH('PRP LA trend tool 2015-22'!$E$3,B41)),MAX($A$1:A40)+1,0)</f>
        <v>40</v>
      </c>
      <c r="B41" s="213" t="s">
        <v>167</v>
      </c>
      <c r="D41" t="str">
        <f>IFERROR(VLOOKUP(ROWS($D$2:D41),$A$2:$B$1416,2,0),"")</f>
        <v>Burnley</v>
      </c>
    </row>
    <row r="42" spans="1:4" x14ac:dyDescent="0.35">
      <c r="A42">
        <f>IF(ISNUMBER(SEARCH('PRP LA trend tool 2015-22'!$E$3,B42)),MAX($A$1:A41)+1,0)</f>
        <v>41</v>
      </c>
      <c r="B42" s="213" t="s">
        <v>169</v>
      </c>
      <c r="D42" t="str">
        <f>IFERROR(VLOOKUP(ROWS($D$2:D42),$A$2:$B$1416,2,0),"")</f>
        <v>Bury</v>
      </c>
    </row>
    <row r="43" spans="1:4" x14ac:dyDescent="0.35">
      <c r="A43">
        <f>IF(ISNUMBER(SEARCH('PRP LA trend tool 2015-22'!$E$3,B43)),MAX($A$1:A42)+1,0)</f>
        <v>42</v>
      </c>
      <c r="B43" s="213" t="s">
        <v>171</v>
      </c>
      <c r="D43" t="str">
        <f>IFERROR(VLOOKUP(ROWS($D$2:D43),$A$2:$B$1416,2,0),"")</f>
        <v>Calderdale</v>
      </c>
    </row>
    <row r="44" spans="1:4" x14ac:dyDescent="0.35">
      <c r="A44">
        <f>IF(ISNUMBER(SEARCH('PRP LA trend tool 2015-22'!$E$3,B44)),MAX($A$1:A43)+1,0)</f>
        <v>43</v>
      </c>
      <c r="B44" s="213" t="s">
        <v>173</v>
      </c>
      <c r="D44" t="str">
        <f>IFERROR(VLOOKUP(ROWS($D$2:D44),$A$2:$B$1416,2,0),"")</f>
        <v>Cambridge</v>
      </c>
    </row>
    <row r="45" spans="1:4" x14ac:dyDescent="0.35">
      <c r="A45">
        <f>IF(ISNUMBER(SEARCH('PRP LA trend tool 2015-22'!$E$3,B45)),MAX($A$1:A44)+1,0)</f>
        <v>44</v>
      </c>
      <c r="B45" s="213" t="s">
        <v>175</v>
      </c>
      <c r="D45" t="str">
        <f>IFERROR(VLOOKUP(ROWS($D$2:D45),$A$2:$B$1416,2,0),"")</f>
        <v>Camden</v>
      </c>
    </row>
    <row r="46" spans="1:4" x14ac:dyDescent="0.35">
      <c r="A46">
        <f>IF(ISNUMBER(SEARCH('PRP LA trend tool 2015-22'!$E$3,B46)),MAX($A$1:A45)+1,0)</f>
        <v>45</v>
      </c>
      <c r="B46" s="213" t="s">
        <v>177</v>
      </c>
      <c r="D46" t="str">
        <f>IFERROR(VLOOKUP(ROWS($D$2:D46),$A$2:$B$1416,2,0),"")</f>
        <v>Cannock Chase</v>
      </c>
    </row>
    <row r="47" spans="1:4" x14ac:dyDescent="0.35">
      <c r="A47">
        <f>IF(ISNUMBER(SEARCH('PRP LA trend tool 2015-22'!$E$3,B47)),MAX($A$1:A46)+1,0)</f>
        <v>46</v>
      </c>
      <c r="B47" s="213" t="s">
        <v>179</v>
      </c>
      <c r="D47" t="str">
        <f>IFERROR(VLOOKUP(ROWS($D$2:D47),$A$2:$B$1416,2,0),"")</f>
        <v>Canterbury</v>
      </c>
    </row>
    <row r="48" spans="1:4" x14ac:dyDescent="0.35">
      <c r="A48">
        <f>IF(ISNUMBER(SEARCH('PRP LA trend tool 2015-22'!$E$3,B48)),MAX($A$1:A47)+1,0)</f>
        <v>47</v>
      </c>
      <c r="B48" s="213" t="s">
        <v>181</v>
      </c>
      <c r="D48" t="str">
        <f>IFERROR(VLOOKUP(ROWS($D$2:D48),$A$2:$B$1416,2,0),"")</f>
        <v>Carlisle</v>
      </c>
    </row>
    <row r="49" spans="1:4" x14ac:dyDescent="0.35">
      <c r="A49">
        <f>IF(ISNUMBER(SEARCH('PRP LA trend tool 2015-22'!$E$3,B49)),MAX($A$1:A48)+1,0)</f>
        <v>48</v>
      </c>
      <c r="B49" s="213" t="s">
        <v>183</v>
      </c>
      <c r="D49" t="str">
        <f>IFERROR(VLOOKUP(ROWS($D$2:D49),$A$2:$B$1416,2,0),"")</f>
        <v>Castle Point</v>
      </c>
    </row>
    <row r="50" spans="1:4" x14ac:dyDescent="0.35">
      <c r="A50">
        <f>IF(ISNUMBER(SEARCH('PRP LA trend tool 2015-22'!$E$3,B50)),MAX($A$1:A49)+1,0)</f>
        <v>49</v>
      </c>
      <c r="B50" s="213" t="s">
        <v>185</v>
      </c>
      <c r="D50" t="str">
        <f>IFERROR(VLOOKUP(ROWS($D$2:D50),$A$2:$B$1416,2,0),"")</f>
        <v>Central Bedfordshire</v>
      </c>
    </row>
    <row r="51" spans="1:4" x14ac:dyDescent="0.35">
      <c r="A51">
        <f>IF(ISNUMBER(SEARCH('PRP LA trend tool 2015-22'!$E$3,B51)),MAX($A$1:A50)+1,0)</f>
        <v>50</v>
      </c>
      <c r="B51" s="213" t="s">
        <v>187</v>
      </c>
      <c r="D51" t="str">
        <f>IFERROR(VLOOKUP(ROWS($D$2:D51),$A$2:$B$1416,2,0),"")</f>
        <v>Charnwood</v>
      </c>
    </row>
    <row r="52" spans="1:4" x14ac:dyDescent="0.35">
      <c r="A52">
        <f>IF(ISNUMBER(SEARCH('PRP LA trend tool 2015-22'!$E$3,B52)),MAX($A$1:A51)+1,0)</f>
        <v>51</v>
      </c>
      <c r="B52" s="213" t="s">
        <v>189</v>
      </c>
      <c r="D52" t="str">
        <f>IFERROR(VLOOKUP(ROWS($D$2:D52),$A$2:$B$1416,2,0),"")</f>
        <v>Chelmsford</v>
      </c>
    </row>
    <row r="53" spans="1:4" x14ac:dyDescent="0.35">
      <c r="A53">
        <f>IF(ISNUMBER(SEARCH('PRP LA trend tool 2015-22'!$E$3,B53)),MAX($A$1:A52)+1,0)</f>
        <v>52</v>
      </c>
      <c r="B53" s="213" t="s">
        <v>191</v>
      </c>
      <c r="D53" t="str">
        <f>IFERROR(VLOOKUP(ROWS($D$2:D53),$A$2:$B$1416,2,0),"")</f>
        <v>Cheltenham</v>
      </c>
    </row>
    <row r="54" spans="1:4" x14ac:dyDescent="0.35">
      <c r="A54">
        <f>IF(ISNUMBER(SEARCH('PRP LA trend tool 2015-22'!$E$3,B54)),MAX($A$1:A53)+1,0)</f>
        <v>53</v>
      </c>
      <c r="B54" s="213" t="s">
        <v>193</v>
      </c>
      <c r="D54" t="str">
        <f>IFERROR(VLOOKUP(ROWS($D$2:D54),$A$2:$B$1416,2,0),"")</f>
        <v>Cherwell</v>
      </c>
    </row>
    <row r="55" spans="1:4" x14ac:dyDescent="0.35">
      <c r="A55">
        <f>IF(ISNUMBER(SEARCH('PRP LA trend tool 2015-22'!$E$3,B55)),MAX($A$1:A54)+1,0)</f>
        <v>54</v>
      </c>
      <c r="B55" s="213" t="s">
        <v>195</v>
      </c>
      <c r="D55" t="str">
        <f>IFERROR(VLOOKUP(ROWS($D$2:D55),$A$2:$B$1416,2,0),"")</f>
        <v>Cheshire East</v>
      </c>
    </row>
    <row r="56" spans="1:4" x14ac:dyDescent="0.35">
      <c r="A56">
        <f>IF(ISNUMBER(SEARCH('PRP LA trend tool 2015-22'!$E$3,B56)),MAX($A$1:A55)+1,0)</f>
        <v>55</v>
      </c>
      <c r="B56" s="213" t="s">
        <v>197</v>
      </c>
      <c r="D56" t="str">
        <f>IFERROR(VLOOKUP(ROWS($D$2:D56),$A$2:$B$1416,2,0),"")</f>
        <v>Cheshire West and Chester</v>
      </c>
    </row>
    <row r="57" spans="1:4" x14ac:dyDescent="0.35">
      <c r="A57">
        <f>IF(ISNUMBER(SEARCH('PRP LA trend tool 2015-22'!$E$3,B57)),MAX($A$1:A56)+1,0)</f>
        <v>56</v>
      </c>
      <c r="B57" s="213" t="s">
        <v>199</v>
      </c>
      <c r="D57" t="str">
        <f>IFERROR(VLOOKUP(ROWS($D$2:D57),$A$2:$B$1416,2,0),"")</f>
        <v>Chesterfield</v>
      </c>
    </row>
    <row r="58" spans="1:4" x14ac:dyDescent="0.35">
      <c r="A58">
        <f>IF(ISNUMBER(SEARCH('PRP LA trend tool 2015-22'!$E$3,B58)),MAX($A$1:A57)+1,0)</f>
        <v>57</v>
      </c>
      <c r="B58" s="213" t="s">
        <v>201</v>
      </c>
      <c r="D58" t="str">
        <f>IFERROR(VLOOKUP(ROWS($D$2:D58),$A$2:$B$1416,2,0),"")</f>
        <v>Chichester</v>
      </c>
    </row>
    <row r="59" spans="1:4" x14ac:dyDescent="0.35">
      <c r="A59">
        <f>IF(ISNUMBER(SEARCH('PRP LA trend tool 2015-22'!$E$3,B59)),MAX($A$1:A58)+1,0)</f>
        <v>58</v>
      </c>
      <c r="B59" s="213" t="s">
        <v>203</v>
      </c>
      <c r="D59" t="str">
        <f>IFERROR(VLOOKUP(ROWS($D$2:D59),$A$2:$B$1416,2,0),"")</f>
        <v>Chorley</v>
      </c>
    </row>
    <row r="60" spans="1:4" x14ac:dyDescent="0.35">
      <c r="A60">
        <f>IF(ISNUMBER(SEARCH('PRP LA trend tool 2015-22'!$E$3,B60)),MAX($A$1:A59)+1,0)</f>
        <v>59</v>
      </c>
      <c r="B60" s="213" t="s">
        <v>205</v>
      </c>
      <c r="D60" t="str">
        <f>IFERROR(VLOOKUP(ROWS($D$2:D60),$A$2:$B$1416,2,0),"")</f>
        <v>City of London</v>
      </c>
    </row>
    <row r="61" spans="1:4" x14ac:dyDescent="0.35">
      <c r="A61">
        <f>IF(ISNUMBER(SEARCH('PRP LA trend tool 2015-22'!$E$3,B61)),MAX($A$1:A60)+1,0)</f>
        <v>60</v>
      </c>
      <c r="B61" s="213" t="s">
        <v>207</v>
      </c>
      <c r="D61" t="str">
        <f>IFERROR(VLOOKUP(ROWS($D$2:D61),$A$2:$B$1416,2,0),"")</f>
        <v>Colchester</v>
      </c>
    </row>
    <row r="62" spans="1:4" x14ac:dyDescent="0.35">
      <c r="A62">
        <f>IF(ISNUMBER(SEARCH('PRP LA trend tool 2015-22'!$E$3,B62)),MAX($A$1:A61)+1,0)</f>
        <v>61</v>
      </c>
      <c r="B62" s="213" t="s">
        <v>209</v>
      </c>
      <c r="D62" t="str">
        <f>IFERROR(VLOOKUP(ROWS($D$2:D62),$A$2:$B$1416,2,0),"")</f>
        <v>Copeland</v>
      </c>
    </row>
    <row r="63" spans="1:4" x14ac:dyDescent="0.35">
      <c r="A63">
        <f>IF(ISNUMBER(SEARCH('PRP LA trend tool 2015-22'!$E$3,B63)),MAX($A$1:A62)+1,0)</f>
        <v>62</v>
      </c>
      <c r="B63" s="213" t="s">
        <v>211</v>
      </c>
      <c r="D63" t="str">
        <f>IFERROR(VLOOKUP(ROWS($D$2:D63),$A$2:$B$1416,2,0),"")</f>
        <v>Cornwall</v>
      </c>
    </row>
    <row r="64" spans="1:4" x14ac:dyDescent="0.35">
      <c r="A64">
        <f>IF(ISNUMBER(SEARCH('PRP LA trend tool 2015-22'!$E$3,B64)),MAX($A$1:A63)+1,0)</f>
        <v>63</v>
      </c>
      <c r="B64" s="213" t="s">
        <v>213</v>
      </c>
      <c r="D64" t="str">
        <f>IFERROR(VLOOKUP(ROWS($D$2:D64),$A$2:$B$1416,2,0),"")</f>
        <v>Cotswold</v>
      </c>
    </row>
    <row r="65" spans="1:4" x14ac:dyDescent="0.35">
      <c r="A65">
        <f>IF(ISNUMBER(SEARCH('PRP LA trend tool 2015-22'!$E$3,B65)),MAX($A$1:A64)+1,0)</f>
        <v>64</v>
      </c>
      <c r="B65" s="213" t="s">
        <v>215</v>
      </c>
      <c r="D65" t="str">
        <f>IFERROR(VLOOKUP(ROWS($D$2:D65),$A$2:$B$1416,2,0),"")</f>
        <v>County Durham</v>
      </c>
    </row>
    <row r="66" spans="1:4" x14ac:dyDescent="0.35">
      <c r="A66">
        <f>IF(ISNUMBER(SEARCH('PRP LA trend tool 2015-22'!$E$3,B66)),MAX($A$1:A65)+1,0)</f>
        <v>65</v>
      </c>
      <c r="B66" s="213" t="s">
        <v>217</v>
      </c>
      <c r="D66" t="str">
        <f>IFERROR(VLOOKUP(ROWS($D$2:D66),$A$2:$B$1416,2,0),"")</f>
        <v>Coventry</v>
      </c>
    </row>
    <row r="67" spans="1:4" x14ac:dyDescent="0.35">
      <c r="A67">
        <f>IF(ISNUMBER(SEARCH('PRP LA trend tool 2015-22'!$E$3,B67)),MAX($A$1:A66)+1,0)</f>
        <v>66</v>
      </c>
      <c r="B67" s="213" t="s">
        <v>219</v>
      </c>
      <c r="D67" t="str">
        <f>IFERROR(VLOOKUP(ROWS($D$2:D67),$A$2:$B$1416,2,0),"")</f>
        <v>Craven</v>
      </c>
    </row>
    <row r="68" spans="1:4" x14ac:dyDescent="0.35">
      <c r="A68">
        <f>IF(ISNUMBER(SEARCH('PRP LA trend tool 2015-22'!$E$3,B68)),MAX($A$1:A67)+1,0)</f>
        <v>67</v>
      </c>
      <c r="B68" s="213" t="s">
        <v>221</v>
      </c>
      <c r="D68" t="str">
        <f>IFERROR(VLOOKUP(ROWS($D$2:D68),$A$2:$B$1416,2,0),"")</f>
        <v>Crawley</v>
      </c>
    </row>
    <row r="69" spans="1:4" x14ac:dyDescent="0.35">
      <c r="A69">
        <f>IF(ISNUMBER(SEARCH('PRP LA trend tool 2015-22'!$E$3,B69)),MAX($A$1:A68)+1,0)</f>
        <v>68</v>
      </c>
      <c r="B69" s="213" t="s">
        <v>223</v>
      </c>
      <c r="D69" t="str">
        <f>IFERROR(VLOOKUP(ROWS($D$2:D69),$A$2:$B$1416,2,0),"")</f>
        <v>Croydon</v>
      </c>
    </row>
    <row r="70" spans="1:4" x14ac:dyDescent="0.35">
      <c r="A70">
        <f>IF(ISNUMBER(SEARCH('PRP LA trend tool 2015-22'!$E$3,B70)),MAX($A$1:A69)+1,0)</f>
        <v>69</v>
      </c>
      <c r="B70" s="213" t="s">
        <v>225</v>
      </c>
      <c r="D70" t="str">
        <f>IFERROR(VLOOKUP(ROWS($D$2:D70),$A$2:$B$1416,2,0),"")</f>
        <v>Dacorum</v>
      </c>
    </row>
    <row r="71" spans="1:4" x14ac:dyDescent="0.35">
      <c r="A71">
        <f>IF(ISNUMBER(SEARCH('PRP LA trend tool 2015-22'!$E$3,B71)),MAX($A$1:A70)+1,0)</f>
        <v>70</v>
      </c>
      <c r="B71" s="213" t="s">
        <v>227</v>
      </c>
      <c r="D71" t="str">
        <f>IFERROR(VLOOKUP(ROWS($D$2:D71),$A$2:$B$1416,2,0),"")</f>
        <v>Darlington</v>
      </c>
    </row>
    <row r="72" spans="1:4" x14ac:dyDescent="0.35">
      <c r="A72">
        <f>IF(ISNUMBER(SEARCH('PRP LA trend tool 2015-22'!$E$3,B72)),MAX($A$1:A71)+1,0)</f>
        <v>71</v>
      </c>
      <c r="B72" s="213" t="s">
        <v>229</v>
      </c>
      <c r="D72" t="str">
        <f>IFERROR(VLOOKUP(ROWS($D$2:D72),$A$2:$B$1416,2,0),"")</f>
        <v>Dartford</v>
      </c>
    </row>
    <row r="73" spans="1:4" x14ac:dyDescent="0.35">
      <c r="A73">
        <f>IF(ISNUMBER(SEARCH('PRP LA trend tool 2015-22'!$E$3,B73)),MAX($A$1:A72)+1,0)</f>
        <v>72</v>
      </c>
      <c r="B73" s="213" t="s">
        <v>231</v>
      </c>
      <c r="D73" t="str">
        <f>IFERROR(VLOOKUP(ROWS($D$2:D73),$A$2:$B$1416,2,0),"")</f>
        <v>Derby</v>
      </c>
    </row>
    <row r="74" spans="1:4" x14ac:dyDescent="0.35">
      <c r="A74">
        <f>IF(ISNUMBER(SEARCH('PRP LA trend tool 2015-22'!$E$3,B74)),MAX($A$1:A73)+1,0)</f>
        <v>73</v>
      </c>
      <c r="B74" s="213" t="s">
        <v>233</v>
      </c>
      <c r="D74" t="str">
        <f>IFERROR(VLOOKUP(ROWS($D$2:D74),$A$2:$B$1416,2,0),"")</f>
        <v>Derbyshire Dales</v>
      </c>
    </row>
    <row r="75" spans="1:4" x14ac:dyDescent="0.35">
      <c r="A75">
        <f>IF(ISNUMBER(SEARCH('PRP LA trend tool 2015-22'!$E$3,B75)),MAX($A$1:A74)+1,0)</f>
        <v>74</v>
      </c>
      <c r="B75" s="213" t="s">
        <v>235</v>
      </c>
      <c r="D75" t="str">
        <f>IFERROR(VLOOKUP(ROWS($D$2:D75),$A$2:$B$1416,2,0),"")</f>
        <v>Doncaster</v>
      </c>
    </row>
    <row r="76" spans="1:4" x14ac:dyDescent="0.35">
      <c r="A76">
        <f>IF(ISNUMBER(SEARCH('PRP LA trend tool 2015-22'!$E$3,B76)),MAX($A$1:A75)+1,0)</f>
        <v>75</v>
      </c>
      <c r="B76" s="213" t="s">
        <v>237</v>
      </c>
      <c r="D76" t="str">
        <f>IFERROR(VLOOKUP(ROWS($D$2:D76),$A$2:$B$1416,2,0),"")</f>
        <v>Dorset</v>
      </c>
    </row>
    <row r="77" spans="1:4" x14ac:dyDescent="0.35">
      <c r="A77">
        <f>IF(ISNUMBER(SEARCH('PRP LA trend tool 2015-22'!$E$3,B77)),MAX($A$1:A76)+1,0)</f>
        <v>76</v>
      </c>
      <c r="B77" s="213" t="s">
        <v>239</v>
      </c>
      <c r="D77" t="str">
        <f>IFERROR(VLOOKUP(ROWS($D$2:D77),$A$2:$B$1416,2,0),"")</f>
        <v>Dover</v>
      </c>
    </row>
    <row r="78" spans="1:4" x14ac:dyDescent="0.35">
      <c r="A78">
        <f>IF(ISNUMBER(SEARCH('PRP LA trend tool 2015-22'!$E$3,B78)),MAX($A$1:A77)+1,0)</f>
        <v>77</v>
      </c>
      <c r="B78" s="213" t="s">
        <v>241</v>
      </c>
      <c r="D78" t="str">
        <f>IFERROR(VLOOKUP(ROWS($D$2:D78),$A$2:$B$1416,2,0),"")</f>
        <v>Dudley</v>
      </c>
    </row>
    <row r="79" spans="1:4" x14ac:dyDescent="0.35">
      <c r="A79">
        <f>IF(ISNUMBER(SEARCH('PRP LA trend tool 2015-22'!$E$3,B79)),MAX($A$1:A78)+1,0)</f>
        <v>78</v>
      </c>
      <c r="B79" s="213" t="s">
        <v>243</v>
      </c>
      <c r="D79" t="str">
        <f>IFERROR(VLOOKUP(ROWS($D$2:D79),$A$2:$B$1416,2,0),"")</f>
        <v>Ealing</v>
      </c>
    </row>
    <row r="80" spans="1:4" x14ac:dyDescent="0.35">
      <c r="A80">
        <f>IF(ISNUMBER(SEARCH('PRP LA trend tool 2015-22'!$E$3,B80)),MAX($A$1:A79)+1,0)</f>
        <v>79</v>
      </c>
      <c r="B80" s="213" t="s">
        <v>245</v>
      </c>
      <c r="D80" t="str">
        <f>IFERROR(VLOOKUP(ROWS($D$2:D80),$A$2:$B$1416,2,0),"")</f>
        <v>East Cambridgeshire</v>
      </c>
    </row>
    <row r="81" spans="1:4" x14ac:dyDescent="0.35">
      <c r="A81">
        <f>IF(ISNUMBER(SEARCH('PRP LA trend tool 2015-22'!$E$3,B81)),MAX($A$1:A80)+1,0)</f>
        <v>80</v>
      </c>
      <c r="B81" s="213" t="s">
        <v>247</v>
      </c>
      <c r="D81" t="str">
        <f>IFERROR(VLOOKUP(ROWS($D$2:D81),$A$2:$B$1416,2,0),"")</f>
        <v>East Devon</v>
      </c>
    </row>
    <row r="82" spans="1:4" x14ac:dyDescent="0.35">
      <c r="A82">
        <f>IF(ISNUMBER(SEARCH('PRP LA trend tool 2015-22'!$E$3,B82)),MAX($A$1:A81)+1,0)</f>
        <v>81</v>
      </c>
      <c r="B82" s="213" t="s">
        <v>249</v>
      </c>
      <c r="D82" t="str">
        <f>IFERROR(VLOOKUP(ROWS($D$2:D82),$A$2:$B$1416,2,0),"")</f>
        <v>East Hampshire</v>
      </c>
    </row>
    <row r="83" spans="1:4" x14ac:dyDescent="0.35">
      <c r="A83">
        <f>IF(ISNUMBER(SEARCH('PRP LA trend tool 2015-22'!$E$3,B83)),MAX($A$1:A82)+1,0)</f>
        <v>82</v>
      </c>
      <c r="B83" s="213" t="s">
        <v>251</v>
      </c>
      <c r="D83" t="str">
        <f>IFERROR(VLOOKUP(ROWS($D$2:D83),$A$2:$B$1416,2,0),"")</f>
        <v>East Hertfordshire</v>
      </c>
    </row>
    <row r="84" spans="1:4" x14ac:dyDescent="0.35">
      <c r="A84">
        <f>IF(ISNUMBER(SEARCH('PRP LA trend tool 2015-22'!$E$3,B84)),MAX($A$1:A83)+1,0)</f>
        <v>83</v>
      </c>
      <c r="B84" s="213" t="s">
        <v>253</v>
      </c>
      <c r="D84" t="str">
        <f>IFERROR(VLOOKUP(ROWS($D$2:D84),$A$2:$B$1416,2,0),"")</f>
        <v>East Lindsey</v>
      </c>
    </row>
    <row r="85" spans="1:4" x14ac:dyDescent="0.35">
      <c r="A85">
        <f>IF(ISNUMBER(SEARCH('PRP LA trend tool 2015-22'!$E$3,B85)),MAX($A$1:A84)+1,0)</f>
        <v>84</v>
      </c>
      <c r="B85" s="213" t="s">
        <v>255</v>
      </c>
      <c r="D85" t="str">
        <f>IFERROR(VLOOKUP(ROWS($D$2:D85),$A$2:$B$1416,2,0),"")</f>
        <v>East Riding of Yorkshire</v>
      </c>
    </row>
    <row r="86" spans="1:4" x14ac:dyDescent="0.35">
      <c r="A86">
        <f>IF(ISNUMBER(SEARCH('PRP LA trend tool 2015-22'!$E$3,B86)),MAX($A$1:A85)+1,0)</f>
        <v>85</v>
      </c>
      <c r="B86" s="213" t="s">
        <v>257</v>
      </c>
      <c r="D86" t="str">
        <f>IFERROR(VLOOKUP(ROWS($D$2:D86),$A$2:$B$1416,2,0),"")</f>
        <v>East Staffordshire</v>
      </c>
    </row>
    <row r="87" spans="1:4" x14ac:dyDescent="0.35">
      <c r="A87">
        <f>IF(ISNUMBER(SEARCH('PRP LA trend tool 2015-22'!$E$3,B87)),MAX($A$1:A86)+1,0)</f>
        <v>86</v>
      </c>
      <c r="B87" s="213" t="s">
        <v>259</v>
      </c>
      <c r="D87" t="str">
        <f>IFERROR(VLOOKUP(ROWS($D$2:D87),$A$2:$B$1416,2,0),"")</f>
        <v>East Suffolk</v>
      </c>
    </row>
    <row r="88" spans="1:4" x14ac:dyDescent="0.35">
      <c r="A88">
        <f>IF(ISNUMBER(SEARCH('PRP LA trend tool 2015-22'!$E$3,B88)),MAX($A$1:A87)+1,0)</f>
        <v>87</v>
      </c>
      <c r="B88" s="213" t="s">
        <v>261</v>
      </c>
      <c r="D88" t="str">
        <f>IFERROR(VLOOKUP(ROWS($D$2:D88),$A$2:$B$1416,2,0),"")</f>
        <v>Eastbourne</v>
      </c>
    </row>
    <row r="89" spans="1:4" x14ac:dyDescent="0.35">
      <c r="A89">
        <f>IF(ISNUMBER(SEARCH('PRP LA trend tool 2015-22'!$E$3,B89)),MAX($A$1:A88)+1,0)</f>
        <v>88</v>
      </c>
      <c r="B89" s="213" t="s">
        <v>263</v>
      </c>
      <c r="D89" t="str">
        <f>IFERROR(VLOOKUP(ROWS($D$2:D89),$A$2:$B$1416,2,0),"")</f>
        <v>Eastleigh</v>
      </c>
    </row>
    <row r="90" spans="1:4" x14ac:dyDescent="0.35">
      <c r="A90">
        <f>IF(ISNUMBER(SEARCH('PRP LA trend tool 2015-22'!$E$3,B90)),MAX($A$1:A89)+1,0)</f>
        <v>89</v>
      </c>
      <c r="B90" s="213" t="s">
        <v>265</v>
      </c>
      <c r="D90" t="str">
        <f>IFERROR(VLOOKUP(ROWS($D$2:D90),$A$2:$B$1416,2,0),"")</f>
        <v>Eden</v>
      </c>
    </row>
    <row r="91" spans="1:4" x14ac:dyDescent="0.35">
      <c r="A91">
        <f>IF(ISNUMBER(SEARCH('PRP LA trend tool 2015-22'!$E$3,B91)),MAX($A$1:A90)+1,0)</f>
        <v>90</v>
      </c>
      <c r="B91" s="213" t="s">
        <v>267</v>
      </c>
      <c r="D91" t="str">
        <f>IFERROR(VLOOKUP(ROWS($D$2:D91),$A$2:$B$1416,2,0),"")</f>
        <v>Elmbridge</v>
      </c>
    </row>
    <row r="92" spans="1:4" x14ac:dyDescent="0.35">
      <c r="A92">
        <f>IF(ISNUMBER(SEARCH('PRP LA trend tool 2015-22'!$E$3,B92)),MAX($A$1:A91)+1,0)</f>
        <v>91</v>
      </c>
      <c r="B92" s="213" t="s">
        <v>269</v>
      </c>
      <c r="D92" t="str">
        <f>IFERROR(VLOOKUP(ROWS($D$2:D92),$A$2:$B$1416,2,0),"")</f>
        <v>Enfield</v>
      </c>
    </row>
    <row r="93" spans="1:4" x14ac:dyDescent="0.35">
      <c r="A93">
        <f>IF(ISNUMBER(SEARCH('PRP LA trend tool 2015-22'!$E$3,B93)),MAX($A$1:A92)+1,0)</f>
        <v>92</v>
      </c>
      <c r="B93" s="213" t="s">
        <v>271</v>
      </c>
      <c r="D93" t="str">
        <f>IFERROR(VLOOKUP(ROWS($D$2:D93),$A$2:$B$1416,2,0),"")</f>
        <v>Epping Forest</v>
      </c>
    </row>
    <row r="94" spans="1:4" x14ac:dyDescent="0.35">
      <c r="A94">
        <f>IF(ISNUMBER(SEARCH('PRP LA trend tool 2015-22'!$E$3,B94)),MAX($A$1:A93)+1,0)</f>
        <v>93</v>
      </c>
      <c r="B94" s="213" t="s">
        <v>273</v>
      </c>
      <c r="D94" t="str">
        <f>IFERROR(VLOOKUP(ROWS($D$2:D94),$A$2:$B$1416,2,0),"")</f>
        <v>Epsom and Ewell</v>
      </c>
    </row>
    <row r="95" spans="1:4" x14ac:dyDescent="0.35">
      <c r="A95">
        <f>IF(ISNUMBER(SEARCH('PRP LA trend tool 2015-22'!$E$3,B95)),MAX($A$1:A94)+1,0)</f>
        <v>94</v>
      </c>
      <c r="B95" s="213" t="s">
        <v>275</v>
      </c>
      <c r="D95" t="str">
        <f>IFERROR(VLOOKUP(ROWS($D$2:D95),$A$2:$B$1416,2,0),"")</f>
        <v>Erewash</v>
      </c>
    </row>
    <row r="96" spans="1:4" x14ac:dyDescent="0.35">
      <c r="A96">
        <f>IF(ISNUMBER(SEARCH('PRP LA trend tool 2015-22'!$E$3,B96)),MAX($A$1:A95)+1,0)</f>
        <v>95</v>
      </c>
      <c r="B96" s="213" t="s">
        <v>277</v>
      </c>
      <c r="D96" t="str">
        <f>IFERROR(VLOOKUP(ROWS($D$2:D96),$A$2:$B$1416,2,0),"")</f>
        <v>Exeter</v>
      </c>
    </row>
    <row r="97" spans="1:4" x14ac:dyDescent="0.35">
      <c r="A97">
        <f>IF(ISNUMBER(SEARCH('PRP LA trend tool 2015-22'!$E$3,B97)),MAX($A$1:A96)+1,0)</f>
        <v>96</v>
      </c>
      <c r="B97" s="213" t="s">
        <v>279</v>
      </c>
      <c r="D97" t="str">
        <f>IFERROR(VLOOKUP(ROWS($D$2:D97),$A$2:$B$1416,2,0),"")</f>
        <v>Fareham</v>
      </c>
    </row>
    <row r="98" spans="1:4" x14ac:dyDescent="0.35">
      <c r="A98">
        <f>IF(ISNUMBER(SEARCH('PRP LA trend tool 2015-22'!$E$3,B98)),MAX($A$1:A97)+1,0)</f>
        <v>97</v>
      </c>
      <c r="B98" s="213" t="s">
        <v>281</v>
      </c>
      <c r="D98" t="str">
        <f>IFERROR(VLOOKUP(ROWS($D$2:D98),$A$2:$B$1416,2,0),"")</f>
        <v>Fenland</v>
      </c>
    </row>
    <row r="99" spans="1:4" x14ac:dyDescent="0.35">
      <c r="A99">
        <f>IF(ISNUMBER(SEARCH('PRP LA trend tool 2015-22'!$E$3,B99)),MAX($A$1:A98)+1,0)</f>
        <v>98</v>
      </c>
      <c r="B99" s="213" t="s">
        <v>283</v>
      </c>
      <c r="D99" t="str">
        <f>IFERROR(VLOOKUP(ROWS($D$2:D99),$A$2:$B$1416,2,0),"")</f>
        <v>Folkestone and Hythe</v>
      </c>
    </row>
    <row r="100" spans="1:4" x14ac:dyDescent="0.35">
      <c r="A100">
        <f>IF(ISNUMBER(SEARCH('PRP LA trend tool 2015-22'!$E$3,B100)),MAX($A$1:A99)+1,0)</f>
        <v>99</v>
      </c>
      <c r="B100" s="213" t="s">
        <v>285</v>
      </c>
      <c r="D100" t="str">
        <f>IFERROR(VLOOKUP(ROWS($D$2:D100),$A$2:$B$1416,2,0),"")</f>
        <v>Forest of Dean</v>
      </c>
    </row>
    <row r="101" spans="1:4" x14ac:dyDescent="0.35">
      <c r="A101">
        <f>IF(ISNUMBER(SEARCH('PRP LA trend tool 2015-22'!$E$3,B101)),MAX($A$1:A100)+1,0)</f>
        <v>100</v>
      </c>
      <c r="B101" s="213" t="s">
        <v>287</v>
      </c>
      <c r="D101" t="str">
        <f>IFERROR(VLOOKUP(ROWS($D$2:D101),$A$2:$B$1416,2,0),"")</f>
        <v>Fylde</v>
      </c>
    </row>
    <row r="102" spans="1:4" x14ac:dyDescent="0.35">
      <c r="A102">
        <f>IF(ISNUMBER(SEARCH('PRP LA trend tool 2015-22'!$E$3,B102)),MAX($A$1:A101)+1,0)</f>
        <v>101</v>
      </c>
      <c r="B102" s="213" t="s">
        <v>289</v>
      </c>
      <c r="D102" t="str">
        <f>IFERROR(VLOOKUP(ROWS($D$2:D102),$A$2:$B$1416,2,0),"")</f>
        <v>Gateshead</v>
      </c>
    </row>
    <row r="103" spans="1:4" x14ac:dyDescent="0.35">
      <c r="A103">
        <f>IF(ISNUMBER(SEARCH('PRP LA trend tool 2015-22'!$E$3,B103)),MAX($A$1:A102)+1,0)</f>
        <v>102</v>
      </c>
      <c r="B103" s="213" t="s">
        <v>291</v>
      </c>
      <c r="D103" t="str">
        <f>IFERROR(VLOOKUP(ROWS($D$2:D103),$A$2:$B$1416,2,0),"")</f>
        <v>Gedling</v>
      </c>
    </row>
    <row r="104" spans="1:4" x14ac:dyDescent="0.35">
      <c r="A104">
        <f>IF(ISNUMBER(SEARCH('PRP LA trend tool 2015-22'!$E$3,B104)),MAX($A$1:A103)+1,0)</f>
        <v>103</v>
      </c>
      <c r="B104" s="213" t="s">
        <v>293</v>
      </c>
      <c r="D104" t="str">
        <f>IFERROR(VLOOKUP(ROWS($D$2:D104),$A$2:$B$1416,2,0),"")</f>
        <v>Gloucester</v>
      </c>
    </row>
    <row r="105" spans="1:4" x14ac:dyDescent="0.35">
      <c r="A105">
        <f>IF(ISNUMBER(SEARCH('PRP LA trend tool 2015-22'!$E$3,B105)),MAX($A$1:A104)+1,0)</f>
        <v>104</v>
      </c>
      <c r="B105" s="213" t="s">
        <v>295</v>
      </c>
      <c r="D105" t="str">
        <f>IFERROR(VLOOKUP(ROWS($D$2:D105),$A$2:$B$1416,2,0),"")</f>
        <v>Gosport</v>
      </c>
    </row>
    <row r="106" spans="1:4" x14ac:dyDescent="0.35">
      <c r="A106">
        <f>IF(ISNUMBER(SEARCH('PRP LA trend tool 2015-22'!$E$3,B106)),MAX($A$1:A105)+1,0)</f>
        <v>105</v>
      </c>
      <c r="B106" s="213" t="s">
        <v>297</v>
      </c>
      <c r="D106" t="str">
        <f>IFERROR(VLOOKUP(ROWS($D$2:D106),$A$2:$B$1416,2,0),"")</f>
        <v>Gravesham</v>
      </c>
    </row>
    <row r="107" spans="1:4" x14ac:dyDescent="0.35">
      <c r="A107">
        <f>IF(ISNUMBER(SEARCH('PRP LA trend tool 2015-22'!$E$3,B107)),MAX($A$1:A106)+1,0)</f>
        <v>106</v>
      </c>
      <c r="B107" s="213" t="s">
        <v>299</v>
      </c>
      <c r="D107" t="str">
        <f>IFERROR(VLOOKUP(ROWS($D$2:D107),$A$2:$B$1416,2,0),"")</f>
        <v>Great Yarmouth</v>
      </c>
    </row>
    <row r="108" spans="1:4" x14ac:dyDescent="0.35">
      <c r="A108">
        <f>IF(ISNUMBER(SEARCH('PRP LA trend tool 2015-22'!$E$3,B108)),MAX($A$1:A107)+1,0)</f>
        <v>107</v>
      </c>
      <c r="B108" s="213" t="s">
        <v>301</v>
      </c>
      <c r="D108" t="str">
        <f>IFERROR(VLOOKUP(ROWS($D$2:D108),$A$2:$B$1416,2,0),"")</f>
        <v>Greenwich</v>
      </c>
    </row>
    <row r="109" spans="1:4" x14ac:dyDescent="0.35">
      <c r="A109">
        <f>IF(ISNUMBER(SEARCH('PRP LA trend tool 2015-22'!$E$3,B109)),MAX($A$1:A108)+1,0)</f>
        <v>108</v>
      </c>
      <c r="B109" s="213" t="s">
        <v>303</v>
      </c>
      <c r="D109" t="str">
        <f>IFERROR(VLOOKUP(ROWS($D$2:D109),$A$2:$B$1416,2,0),"")</f>
        <v>Guildford</v>
      </c>
    </row>
    <row r="110" spans="1:4" x14ac:dyDescent="0.35">
      <c r="A110">
        <f>IF(ISNUMBER(SEARCH('PRP LA trend tool 2015-22'!$E$3,B110)),MAX($A$1:A109)+1,0)</f>
        <v>109</v>
      </c>
      <c r="B110" s="213" t="s">
        <v>305</v>
      </c>
      <c r="D110" t="str">
        <f>IFERROR(VLOOKUP(ROWS($D$2:D110),$A$2:$B$1416,2,0),"")</f>
        <v>Hackney</v>
      </c>
    </row>
    <row r="111" spans="1:4" x14ac:dyDescent="0.35">
      <c r="A111">
        <f>IF(ISNUMBER(SEARCH('PRP LA trend tool 2015-22'!$E$3,B111)),MAX($A$1:A110)+1,0)</f>
        <v>110</v>
      </c>
      <c r="B111" s="213" t="s">
        <v>307</v>
      </c>
      <c r="D111" t="str">
        <f>IFERROR(VLOOKUP(ROWS($D$2:D111),$A$2:$B$1416,2,0),"")</f>
        <v>Halton</v>
      </c>
    </row>
    <row r="112" spans="1:4" x14ac:dyDescent="0.35">
      <c r="A112">
        <f>IF(ISNUMBER(SEARCH('PRP LA trend tool 2015-22'!$E$3,B112)),MAX($A$1:A111)+1,0)</f>
        <v>111</v>
      </c>
      <c r="B112" s="213" t="s">
        <v>309</v>
      </c>
      <c r="D112" t="str">
        <f>IFERROR(VLOOKUP(ROWS($D$2:D112),$A$2:$B$1416,2,0),"")</f>
        <v>Hambleton</v>
      </c>
    </row>
    <row r="113" spans="1:4" x14ac:dyDescent="0.35">
      <c r="A113">
        <f>IF(ISNUMBER(SEARCH('PRP LA trend tool 2015-22'!$E$3,B113)),MAX($A$1:A112)+1,0)</f>
        <v>112</v>
      </c>
      <c r="B113" s="213" t="s">
        <v>311</v>
      </c>
      <c r="D113" t="str">
        <f>IFERROR(VLOOKUP(ROWS($D$2:D113),$A$2:$B$1416,2,0),"")</f>
        <v>Hammersmith and Fulham</v>
      </c>
    </row>
    <row r="114" spans="1:4" x14ac:dyDescent="0.35">
      <c r="A114">
        <f>IF(ISNUMBER(SEARCH('PRP LA trend tool 2015-22'!$E$3,B114)),MAX($A$1:A113)+1,0)</f>
        <v>113</v>
      </c>
      <c r="B114" s="213" t="s">
        <v>313</v>
      </c>
      <c r="D114" t="str">
        <f>IFERROR(VLOOKUP(ROWS($D$2:D114),$A$2:$B$1416,2,0),"")</f>
        <v>Harborough</v>
      </c>
    </row>
    <row r="115" spans="1:4" x14ac:dyDescent="0.35">
      <c r="A115">
        <f>IF(ISNUMBER(SEARCH('PRP LA trend tool 2015-22'!$E$3,B115)),MAX($A$1:A114)+1,0)</f>
        <v>114</v>
      </c>
      <c r="B115" s="213" t="s">
        <v>315</v>
      </c>
      <c r="D115" t="str">
        <f>IFERROR(VLOOKUP(ROWS($D$2:D115),$A$2:$B$1416,2,0),"")</f>
        <v>Haringey</v>
      </c>
    </row>
    <row r="116" spans="1:4" x14ac:dyDescent="0.35">
      <c r="A116">
        <f>IF(ISNUMBER(SEARCH('PRP LA trend tool 2015-22'!$E$3,B116)),MAX($A$1:A115)+1,0)</f>
        <v>115</v>
      </c>
      <c r="B116" s="213" t="s">
        <v>317</v>
      </c>
      <c r="D116" t="str">
        <f>IFERROR(VLOOKUP(ROWS($D$2:D116),$A$2:$B$1416,2,0),"")</f>
        <v>Harlow</v>
      </c>
    </row>
    <row r="117" spans="1:4" x14ac:dyDescent="0.35">
      <c r="A117">
        <f>IF(ISNUMBER(SEARCH('PRP LA trend tool 2015-22'!$E$3,B117)),MAX($A$1:A116)+1,0)</f>
        <v>116</v>
      </c>
      <c r="B117" s="213" t="s">
        <v>319</v>
      </c>
      <c r="D117" t="str">
        <f>IFERROR(VLOOKUP(ROWS($D$2:D117),$A$2:$B$1416,2,0),"")</f>
        <v>Harrogate</v>
      </c>
    </row>
    <row r="118" spans="1:4" x14ac:dyDescent="0.35">
      <c r="A118">
        <f>IF(ISNUMBER(SEARCH('PRP LA trend tool 2015-22'!$E$3,B118)),MAX($A$1:A117)+1,0)</f>
        <v>117</v>
      </c>
      <c r="B118" s="213" t="s">
        <v>321</v>
      </c>
      <c r="D118" t="str">
        <f>IFERROR(VLOOKUP(ROWS($D$2:D118),$A$2:$B$1416,2,0),"")</f>
        <v>Harrow</v>
      </c>
    </row>
    <row r="119" spans="1:4" x14ac:dyDescent="0.35">
      <c r="A119">
        <f>IF(ISNUMBER(SEARCH('PRP LA trend tool 2015-22'!$E$3,B119)),MAX($A$1:A118)+1,0)</f>
        <v>118</v>
      </c>
      <c r="B119" s="213" t="s">
        <v>323</v>
      </c>
      <c r="D119" t="str">
        <f>IFERROR(VLOOKUP(ROWS($D$2:D119),$A$2:$B$1416,2,0),"")</f>
        <v>Hart</v>
      </c>
    </row>
    <row r="120" spans="1:4" x14ac:dyDescent="0.35">
      <c r="A120">
        <f>IF(ISNUMBER(SEARCH('PRP LA trend tool 2015-22'!$E$3,B120)),MAX($A$1:A119)+1,0)</f>
        <v>119</v>
      </c>
      <c r="B120" s="213" t="s">
        <v>325</v>
      </c>
      <c r="D120" t="str">
        <f>IFERROR(VLOOKUP(ROWS($D$2:D120),$A$2:$B$1416,2,0),"")</f>
        <v>Hartlepool</v>
      </c>
    </row>
    <row r="121" spans="1:4" x14ac:dyDescent="0.35">
      <c r="A121">
        <f>IF(ISNUMBER(SEARCH('PRP LA trend tool 2015-22'!$E$3,B121)),MAX($A$1:A120)+1,0)</f>
        <v>120</v>
      </c>
      <c r="B121" s="213" t="s">
        <v>327</v>
      </c>
      <c r="D121" t="str">
        <f>IFERROR(VLOOKUP(ROWS($D$2:D121),$A$2:$B$1416,2,0),"")</f>
        <v>Hastings</v>
      </c>
    </row>
    <row r="122" spans="1:4" x14ac:dyDescent="0.35">
      <c r="A122">
        <f>IF(ISNUMBER(SEARCH('PRP LA trend tool 2015-22'!$E$3,B122)),MAX($A$1:A121)+1,0)</f>
        <v>121</v>
      </c>
      <c r="B122" s="213" t="s">
        <v>329</v>
      </c>
      <c r="D122" t="str">
        <f>IFERROR(VLOOKUP(ROWS($D$2:D122),$A$2:$B$1416,2,0),"")</f>
        <v>Havant</v>
      </c>
    </row>
    <row r="123" spans="1:4" x14ac:dyDescent="0.35">
      <c r="A123">
        <f>IF(ISNUMBER(SEARCH('PRP LA trend tool 2015-22'!$E$3,B123)),MAX($A$1:A122)+1,0)</f>
        <v>122</v>
      </c>
      <c r="B123" s="213" t="s">
        <v>331</v>
      </c>
      <c r="D123" t="str">
        <f>IFERROR(VLOOKUP(ROWS($D$2:D123),$A$2:$B$1416,2,0),"")</f>
        <v>Havering</v>
      </c>
    </row>
    <row r="124" spans="1:4" x14ac:dyDescent="0.35">
      <c r="A124">
        <f>IF(ISNUMBER(SEARCH('PRP LA trend tool 2015-22'!$E$3,B124)),MAX($A$1:A123)+1,0)</f>
        <v>123</v>
      </c>
      <c r="B124" s="213" t="s">
        <v>333</v>
      </c>
      <c r="D124" t="str">
        <f>IFERROR(VLOOKUP(ROWS($D$2:D124),$A$2:$B$1416,2,0),"")</f>
        <v>Herefordshire, County of</v>
      </c>
    </row>
    <row r="125" spans="1:4" x14ac:dyDescent="0.35">
      <c r="A125">
        <f>IF(ISNUMBER(SEARCH('PRP LA trend tool 2015-22'!$E$3,B125)),MAX($A$1:A124)+1,0)</f>
        <v>124</v>
      </c>
      <c r="B125" s="213" t="s">
        <v>335</v>
      </c>
      <c r="D125" t="str">
        <f>IFERROR(VLOOKUP(ROWS($D$2:D125),$A$2:$B$1416,2,0),"")</f>
        <v>Hertsmere</v>
      </c>
    </row>
    <row r="126" spans="1:4" x14ac:dyDescent="0.35">
      <c r="A126">
        <f>IF(ISNUMBER(SEARCH('PRP LA trend tool 2015-22'!$E$3,B126)),MAX($A$1:A125)+1,0)</f>
        <v>125</v>
      </c>
      <c r="B126" s="213" t="s">
        <v>337</v>
      </c>
      <c r="D126" t="str">
        <f>IFERROR(VLOOKUP(ROWS($D$2:D126),$A$2:$B$1416,2,0),"")</f>
        <v>High Peak</v>
      </c>
    </row>
    <row r="127" spans="1:4" x14ac:dyDescent="0.35">
      <c r="A127">
        <f>IF(ISNUMBER(SEARCH('PRP LA trend tool 2015-22'!$E$3,B127)),MAX($A$1:A126)+1,0)</f>
        <v>126</v>
      </c>
      <c r="B127" s="213" t="s">
        <v>339</v>
      </c>
      <c r="D127" t="str">
        <f>IFERROR(VLOOKUP(ROWS($D$2:D127),$A$2:$B$1416,2,0),"")</f>
        <v>Hillingdon</v>
      </c>
    </row>
    <row r="128" spans="1:4" x14ac:dyDescent="0.35">
      <c r="A128">
        <f>IF(ISNUMBER(SEARCH('PRP LA trend tool 2015-22'!$E$3,B128)),MAX($A$1:A127)+1,0)</f>
        <v>127</v>
      </c>
      <c r="B128" s="213" t="s">
        <v>341</v>
      </c>
      <c r="D128" t="str">
        <f>IFERROR(VLOOKUP(ROWS($D$2:D128),$A$2:$B$1416,2,0),"")</f>
        <v>Hinckley and Bosworth</v>
      </c>
    </row>
    <row r="129" spans="1:4" x14ac:dyDescent="0.35">
      <c r="A129">
        <f>IF(ISNUMBER(SEARCH('PRP LA trend tool 2015-22'!$E$3,B129)),MAX($A$1:A128)+1,0)</f>
        <v>128</v>
      </c>
      <c r="B129" s="213" t="s">
        <v>343</v>
      </c>
      <c r="D129" t="str">
        <f>IFERROR(VLOOKUP(ROWS($D$2:D129),$A$2:$B$1416,2,0),"")</f>
        <v>Horsham</v>
      </c>
    </row>
    <row r="130" spans="1:4" x14ac:dyDescent="0.35">
      <c r="A130">
        <f>IF(ISNUMBER(SEARCH('PRP LA trend tool 2015-22'!$E$3,B130)),MAX($A$1:A129)+1,0)</f>
        <v>129</v>
      </c>
      <c r="B130" s="213" t="s">
        <v>345</v>
      </c>
      <c r="D130" t="str">
        <f>IFERROR(VLOOKUP(ROWS($D$2:D130),$A$2:$B$1416,2,0),"")</f>
        <v>Hounslow</v>
      </c>
    </row>
    <row r="131" spans="1:4" x14ac:dyDescent="0.35">
      <c r="A131">
        <f>IF(ISNUMBER(SEARCH('PRP LA trend tool 2015-22'!$E$3,B131)),MAX($A$1:A130)+1,0)</f>
        <v>130</v>
      </c>
      <c r="B131" s="213" t="s">
        <v>347</v>
      </c>
      <c r="D131" t="str">
        <f>IFERROR(VLOOKUP(ROWS($D$2:D131),$A$2:$B$1416,2,0),"")</f>
        <v>Huntingdonshire</v>
      </c>
    </row>
    <row r="132" spans="1:4" x14ac:dyDescent="0.35">
      <c r="A132">
        <f>IF(ISNUMBER(SEARCH('PRP LA trend tool 2015-22'!$E$3,B132)),MAX($A$1:A131)+1,0)</f>
        <v>131</v>
      </c>
      <c r="B132" s="213" t="s">
        <v>349</v>
      </c>
      <c r="D132" t="str">
        <f>IFERROR(VLOOKUP(ROWS($D$2:D132),$A$2:$B$1416,2,0),"")</f>
        <v>Hyndburn</v>
      </c>
    </row>
    <row r="133" spans="1:4" x14ac:dyDescent="0.35">
      <c r="A133">
        <f>IF(ISNUMBER(SEARCH('PRP LA trend tool 2015-22'!$E$3,B133)),MAX($A$1:A132)+1,0)</f>
        <v>132</v>
      </c>
      <c r="B133" s="213" t="s">
        <v>351</v>
      </c>
      <c r="D133" t="str">
        <f>IFERROR(VLOOKUP(ROWS($D$2:D133),$A$2:$B$1416,2,0),"")</f>
        <v>Ipswich</v>
      </c>
    </row>
    <row r="134" spans="1:4" x14ac:dyDescent="0.35">
      <c r="A134">
        <f>IF(ISNUMBER(SEARCH('PRP LA trend tool 2015-22'!$E$3,B134)),MAX($A$1:A133)+1,0)</f>
        <v>133</v>
      </c>
      <c r="B134" s="213" t="s">
        <v>353</v>
      </c>
      <c r="D134" t="str">
        <f>IFERROR(VLOOKUP(ROWS($D$2:D134),$A$2:$B$1416,2,0),"")</f>
        <v>Isle of Wight</v>
      </c>
    </row>
    <row r="135" spans="1:4" x14ac:dyDescent="0.35">
      <c r="A135">
        <f>IF(ISNUMBER(SEARCH('PRP LA trend tool 2015-22'!$E$3,B135)),MAX($A$1:A134)+1,0)</f>
        <v>134</v>
      </c>
      <c r="B135" s="213" t="s">
        <v>355</v>
      </c>
      <c r="D135" t="str">
        <f>IFERROR(VLOOKUP(ROWS($D$2:D135),$A$2:$B$1416,2,0),"")</f>
        <v>Isles of Scilly</v>
      </c>
    </row>
    <row r="136" spans="1:4" x14ac:dyDescent="0.35">
      <c r="A136">
        <f>IF(ISNUMBER(SEARCH('PRP LA trend tool 2015-22'!$E$3,B136)),MAX($A$1:A135)+1,0)</f>
        <v>135</v>
      </c>
      <c r="B136" s="213" t="s">
        <v>357</v>
      </c>
      <c r="D136" t="str">
        <f>IFERROR(VLOOKUP(ROWS($D$2:D136),$A$2:$B$1416,2,0),"")</f>
        <v>Islington</v>
      </c>
    </row>
    <row r="137" spans="1:4" x14ac:dyDescent="0.35">
      <c r="A137">
        <f>IF(ISNUMBER(SEARCH('PRP LA trend tool 2015-22'!$E$3,B137)),MAX($A$1:A136)+1,0)</f>
        <v>136</v>
      </c>
      <c r="B137" s="213" t="s">
        <v>359</v>
      </c>
      <c r="D137" t="str">
        <f>IFERROR(VLOOKUP(ROWS($D$2:D137),$A$2:$B$1416,2,0),"")</f>
        <v>Kensington and Chelsea</v>
      </c>
    </row>
    <row r="138" spans="1:4" x14ac:dyDescent="0.35">
      <c r="A138">
        <f>IF(ISNUMBER(SEARCH('PRP LA trend tool 2015-22'!$E$3,B138)),MAX($A$1:A137)+1,0)</f>
        <v>137</v>
      </c>
      <c r="B138" s="213" t="s">
        <v>361</v>
      </c>
      <c r="D138" t="str">
        <f>IFERROR(VLOOKUP(ROWS($D$2:D138),$A$2:$B$1416,2,0),"")</f>
        <v>King's Lynn and West Norfolk</v>
      </c>
    </row>
    <row r="139" spans="1:4" x14ac:dyDescent="0.35">
      <c r="A139">
        <f>IF(ISNUMBER(SEARCH('PRP LA trend tool 2015-22'!$E$3,B139)),MAX($A$1:A138)+1,0)</f>
        <v>138</v>
      </c>
      <c r="B139" s="213" t="s">
        <v>363</v>
      </c>
      <c r="D139" t="str">
        <f>IFERROR(VLOOKUP(ROWS($D$2:D139),$A$2:$B$1416,2,0),"")</f>
        <v>Kingston upon Hull, City of</v>
      </c>
    </row>
    <row r="140" spans="1:4" x14ac:dyDescent="0.35">
      <c r="A140">
        <f>IF(ISNUMBER(SEARCH('PRP LA trend tool 2015-22'!$E$3,B140)),MAX($A$1:A139)+1,0)</f>
        <v>139</v>
      </c>
      <c r="B140" s="213" t="s">
        <v>365</v>
      </c>
      <c r="D140" t="str">
        <f>IFERROR(VLOOKUP(ROWS($D$2:D140),$A$2:$B$1416,2,0),"")</f>
        <v>Kingston upon Thames</v>
      </c>
    </row>
    <row r="141" spans="1:4" x14ac:dyDescent="0.35">
      <c r="A141">
        <f>IF(ISNUMBER(SEARCH('PRP LA trend tool 2015-22'!$E$3,B141)),MAX($A$1:A140)+1,0)</f>
        <v>140</v>
      </c>
      <c r="B141" s="213" t="s">
        <v>367</v>
      </c>
      <c r="D141" t="str">
        <f>IFERROR(VLOOKUP(ROWS($D$2:D141),$A$2:$B$1416,2,0),"")</f>
        <v>Kirklees</v>
      </c>
    </row>
    <row r="142" spans="1:4" x14ac:dyDescent="0.35">
      <c r="A142">
        <f>IF(ISNUMBER(SEARCH('PRP LA trend tool 2015-22'!$E$3,B142)),MAX($A$1:A141)+1,0)</f>
        <v>141</v>
      </c>
      <c r="B142" s="213" t="s">
        <v>369</v>
      </c>
      <c r="D142" t="str">
        <f>IFERROR(VLOOKUP(ROWS($D$2:D142),$A$2:$B$1416,2,0),"")</f>
        <v>Knowsley</v>
      </c>
    </row>
    <row r="143" spans="1:4" x14ac:dyDescent="0.35">
      <c r="A143">
        <f>IF(ISNUMBER(SEARCH('PRP LA trend tool 2015-22'!$E$3,B143)),MAX($A$1:A142)+1,0)</f>
        <v>142</v>
      </c>
      <c r="B143" s="213" t="s">
        <v>371</v>
      </c>
      <c r="D143" t="str">
        <f>IFERROR(VLOOKUP(ROWS($D$2:D143),$A$2:$B$1416,2,0),"")</f>
        <v>Lambeth</v>
      </c>
    </row>
    <row r="144" spans="1:4" x14ac:dyDescent="0.35">
      <c r="A144">
        <f>IF(ISNUMBER(SEARCH('PRP LA trend tool 2015-22'!$E$3,B144)),MAX($A$1:A143)+1,0)</f>
        <v>143</v>
      </c>
      <c r="B144" s="213" t="s">
        <v>373</v>
      </c>
      <c r="D144" t="str">
        <f>IFERROR(VLOOKUP(ROWS($D$2:D144),$A$2:$B$1416,2,0),"")</f>
        <v>Lancaster</v>
      </c>
    </row>
    <row r="145" spans="1:4" x14ac:dyDescent="0.35">
      <c r="A145">
        <f>IF(ISNUMBER(SEARCH('PRP LA trend tool 2015-22'!$E$3,B145)),MAX($A$1:A144)+1,0)</f>
        <v>144</v>
      </c>
      <c r="B145" s="213" t="s">
        <v>375</v>
      </c>
      <c r="D145" t="str">
        <f>IFERROR(VLOOKUP(ROWS($D$2:D145),$A$2:$B$1416,2,0),"")</f>
        <v>Leeds</v>
      </c>
    </row>
    <row r="146" spans="1:4" x14ac:dyDescent="0.35">
      <c r="A146">
        <f>IF(ISNUMBER(SEARCH('PRP LA trend tool 2015-22'!$E$3,B146)),MAX($A$1:A145)+1,0)</f>
        <v>145</v>
      </c>
      <c r="B146" s="213" t="s">
        <v>377</v>
      </c>
      <c r="D146" t="str">
        <f>IFERROR(VLOOKUP(ROWS($D$2:D146),$A$2:$B$1416,2,0),"")</f>
        <v>Leicester</v>
      </c>
    </row>
    <row r="147" spans="1:4" x14ac:dyDescent="0.35">
      <c r="A147">
        <f>IF(ISNUMBER(SEARCH('PRP LA trend tool 2015-22'!$E$3,B147)),MAX($A$1:A146)+1,0)</f>
        <v>146</v>
      </c>
      <c r="B147" s="213" t="s">
        <v>379</v>
      </c>
      <c r="D147" t="str">
        <f>IFERROR(VLOOKUP(ROWS($D$2:D147),$A$2:$B$1416,2,0),"")</f>
        <v>Lewes</v>
      </c>
    </row>
    <row r="148" spans="1:4" x14ac:dyDescent="0.35">
      <c r="A148">
        <f>IF(ISNUMBER(SEARCH('PRP LA trend tool 2015-22'!$E$3,B148)),MAX($A$1:A147)+1,0)</f>
        <v>147</v>
      </c>
      <c r="B148" s="213" t="s">
        <v>381</v>
      </c>
      <c r="D148" t="str">
        <f>IFERROR(VLOOKUP(ROWS($D$2:D148),$A$2:$B$1416,2,0),"")</f>
        <v>Lewisham</v>
      </c>
    </row>
    <row r="149" spans="1:4" x14ac:dyDescent="0.35">
      <c r="A149">
        <f>IF(ISNUMBER(SEARCH('PRP LA trend tool 2015-22'!$E$3,B149)),MAX($A$1:A148)+1,0)</f>
        <v>148</v>
      </c>
      <c r="B149" s="213" t="s">
        <v>383</v>
      </c>
      <c r="D149" t="str">
        <f>IFERROR(VLOOKUP(ROWS($D$2:D149),$A$2:$B$1416,2,0),"")</f>
        <v>Lichfield</v>
      </c>
    </row>
    <row r="150" spans="1:4" x14ac:dyDescent="0.35">
      <c r="A150">
        <f>IF(ISNUMBER(SEARCH('PRP LA trend tool 2015-22'!$E$3,B150)),MAX($A$1:A149)+1,0)</f>
        <v>149</v>
      </c>
      <c r="B150" s="213" t="s">
        <v>385</v>
      </c>
      <c r="D150" t="str">
        <f>IFERROR(VLOOKUP(ROWS($D$2:D150),$A$2:$B$1416,2,0),"")</f>
        <v>Lincoln</v>
      </c>
    </row>
    <row r="151" spans="1:4" x14ac:dyDescent="0.35">
      <c r="A151">
        <f>IF(ISNUMBER(SEARCH('PRP LA trend tool 2015-22'!$E$3,B151)),MAX($A$1:A150)+1,0)</f>
        <v>150</v>
      </c>
      <c r="B151" s="213" t="s">
        <v>387</v>
      </c>
      <c r="D151" t="str">
        <f>IFERROR(VLOOKUP(ROWS($D$2:D151),$A$2:$B$1416,2,0),"")</f>
        <v>Liverpool</v>
      </c>
    </row>
    <row r="152" spans="1:4" x14ac:dyDescent="0.35">
      <c r="A152">
        <f>IF(ISNUMBER(SEARCH('PRP LA trend tool 2015-22'!$E$3,B152)),MAX($A$1:A151)+1,0)</f>
        <v>151</v>
      </c>
      <c r="B152" s="213" t="s">
        <v>389</v>
      </c>
      <c r="D152" t="str">
        <f>IFERROR(VLOOKUP(ROWS($D$2:D152),$A$2:$B$1416,2,0),"")</f>
        <v>Luton</v>
      </c>
    </row>
    <row r="153" spans="1:4" x14ac:dyDescent="0.35">
      <c r="A153">
        <f>IF(ISNUMBER(SEARCH('PRP LA trend tool 2015-22'!$E$3,B153)),MAX($A$1:A152)+1,0)</f>
        <v>152</v>
      </c>
      <c r="B153" s="213" t="s">
        <v>391</v>
      </c>
      <c r="D153" t="str">
        <f>IFERROR(VLOOKUP(ROWS($D$2:D153),$A$2:$B$1416,2,0),"")</f>
        <v>Maidstone</v>
      </c>
    </row>
    <row r="154" spans="1:4" x14ac:dyDescent="0.35">
      <c r="A154">
        <f>IF(ISNUMBER(SEARCH('PRP LA trend tool 2015-22'!$E$3,B154)),MAX($A$1:A153)+1,0)</f>
        <v>153</v>
      </c>
      <c r="B154" s="213" t="s">
        <v>393</v>
      </c>
      <c r="D154" t="str">
        <f>IFERROR(VLOOKUP(ROWS($D$2:D154),$A$2:$B$1416,2,0),"")</f>
        <v>Maldon</v>
      </c>
    </row>
    <row r="155" spans="1:4" x14ac:dyDescent="0.35">
      <c r="A155">
        <f>IF(ISNUMBER(SEARCH('PRP LA trend tool 2015-22'!$E$3,B155)),MAX($A$1:A154)+1,0)</f>
        <v>154</v>
      </c>
      <c r="B155" s="213" t="s">
        <v>395</v>
      </c>
      <c r="D155" t="str">
        <f>IFERROR(VLOOKUP(ROWS($D$2:D155),$A$2:$B$1416,2,0),"")</f>
        <v>Malvern Hills</v>
      </c>
    </row>
    <row r="156" spans="1:4" x14ac:dyDescent="0.35">
      <c r="A156">
        <f>IF(ISNUMBER(SEARCH('PRP LA trend tool 2015-22'!$E$3,B156)),MAX($A$1:A155)+1,0)</f>
        <v>155</v>
      </c>
      <c r="B156" s="213" t="s">
        <v>397</v>
      </c>
      <c r="D156" t="str">
        <f>IFERROR(VLOOKUP(ROWS($D$2:D156),$A$2:$B$1416,2,0),"")</f>
        <v>Manchester</v>
      </c>
    </row>
    <row r="157" spans="1:4" x14ac:dyDescent="0.35">
      <c r="A157">
        <f>IF(ISNUMBER(SEARCH('PRP LA trend tool 2015-22'!$E$3,B157)),MAX($A$1:A156)+1,0)</f>
        <v>156</v>
      </c>
      <c r="B157" s="213" t="s">
        <v>399</v>
      </c>
      <c r="D157" t="str">
        <f>IFERROR(VLOOKUP(ROWS($D$2:D157),$A$2:$B$1416,2,0),"")</f>
        <v>Mansfield</v>
      </c>
    </row>
    <row r="158" spans="1:4" x14ac:dyDescent="0.35">
      <c r="A158">
        <f>IF(ISNUMBER(SEARCH('PRP LA trend tool 2015-22'!$E$3,B158)),MAX($A$1:A157)+1,0)</f>
        <v>157</v>
      </c>
      <c r="B158" s="213" t="s">
        <v>401</v>
      </c>
      <c r="D158" t="str">
        <f>IFERROR(VLOOKUP(ROWS($D$2:D158),$A$2:$B$1416,2,0),"")</f>
        <v>Medway</v>
      </c>
    </row>
    <row r="159" spans="1:4" x14ac:dyDescent="0.35">
      <c r="A159">
        <f>IF(ISNUMBER(SEARCH('PRP LA trend tool 2015-22'!$E$3,B159)),MAX($A$1:A158)+1,0)</f>
        <v>158</v>
      </c>
      <c r="B159" s="213" t="s">
        <v>403</v>
      </c>
      <c r="D159" t="str">
        <f>IFERROR(VLOOKUP(ROWS($D$2:D159),$A$2:$B$1416,2,0),"")</f>
        <v>Melton</v>
      </c>
    </row>
    <row r="160" spans="1:4" x14ac:dyDescent="0.35">
      <c r="A160">
        <f>IF(ISNUMBER(SEARCH('PRP LA trend tool 2015-22'!$E$3,B160)),MAX($A$1:A159)+1,0)</f>
        <v>159</v>
      </c>
      <c r="B160" s="213" t="s">
        <v>405</v>
      </c>
      <c r="D160" t="str">
        <f>IFERROR(VLOOKUP(ROWS($D$2:D160),$A$2:$B$1416,2,0),"")</f>
        <v>Mendip</v>
      </c>
    </row>
    <row r="161" spans="1:4" x14ac:dyDescent="0.35">
      <c r="A161">
        <f>IF(ISNUMBER(SEARCH('PRP LA trend tool 2015-22'!$E$3,B161)),MAX($A$1:A160)+1,0)</f>
        <v>160</v>
      </c>
      <c r="B161" s="213" t="s">
        <v>407</v>
      </c>
      <c r="D161" t="str">
        <f>IFERROR(VLOOKUP(ROWS($D$2:D161),$A$2:$B$1416,2,0),"")</f>
        <v>Merton</v>
      </c>
    </row>
    <row r="162" spans="1:4" x14ac:dyDescent="0.35">
      <c r="A162">
        <f>IF(ISNUMBER(SEARCH('PRP LA trend tool 2015-22'!$E$3,B162)),MAX($A$1:A161)+1,0)</f>
        <v>161</v>
      </c>
      <c r="B162" s="213" t="s">
        <v>409</v>
      </c>
      <c r="D162" t="str">
        <f>IFERROR(VLOOKUP(ROWS($D$2:D162),$A$2:$B$1416,2,0),"")</f>
        <v>Mid Devon</v>
      </c>
    </row>
    <row r="163" spans="1:4" x14ac:dyDescent="0.35">
      <c r="A163">
        <f>IF(ISNUMBER(SEARCH('PRP LA trend tool 2015-22'!$E$3,B163)),MAX($A$1:A162)+1,0)</f>
        <v>162</v>
      </c>
      <c r="B163" s="213" t="s">
        <v>411</v>
      </c>
      <c r="D163" t="str">
        <f>IFERROR(VLOOKUP(ROWS($D$2:D163),$A$2:$B$1416,2,0),"")</f>
        <v>Mid Suffolk</v>
      </c>
    </row>
    <row r="164" spans="1:4" x14ac:dyDescent="0.35">
      <c r="A164">
        <f>IF(ISNUMBER(SEARCH('PRP LA trend tool 2015-22'!$E$3,B164)),MAX($A$1:A163)+1,0)</f>
        <v>163</v>
      </c>
      <c r="B164" s="213" t="s">
        <v>413</v>
      </c>
      <c r="D164" t="str">
        <f>IFERROR(VLOOKUP(ROWS($D$2:D164),$A$2:$B$1416,2,0),"")</f>
        <v>Mid Sussex</v>
      </c>
    </row>
    <row r="165" spans="1:4" x14ac:dyDescent="0.35">
      <c r="A165">
        <f>IF(ISNUMBER(SEARCH('PRP LA trend tool 2015-22'!$E$3,B165)),MAX($A$1:A164)+1,0)</f>
        <v>164</v>
      </c>
      <c r="B165" s="213" t="s">
        <v>415</v>
      </c>
      <c r="D165" t="str">
        <f>IFERROR(VLOOKUP(ROWS($D$2:D165),$A$2:$B$1416,2,0),"")</f>
        <v>Middlesbrough</v>
      </c>
    </row>
    <row r="166" spans="1:4" x14ac:dyDescent="0.35">
      <c r="A166">
        <f>IF(ISNUMBER(SEARCH('PRP LA trend tool 2015-22'!$E$3,B166)),MAX($A$1:A165)+1,0)</f>
        <v>165</v>
      </c>
      <c r="B166" s="213" t="s">
        <v>417</v>
      </c>
      <c r="D166" t="str">
        <f>IFERROR(VLOOKUP(ROWS($D$2:D166),$A$2:$B$1416,2,0),"")</f>
        <v>Milton Keynes</v>
      </c>
    </row>
    <row r="167" spans="1:4" x14ac:dyDescent="0.35">
      <c r="A167">
        <f>IF(ISNUMBER(SEARCH('PRP LA trend tool 2015-22'!$E$3,B167)),MAX($A$1:A166)+1,0)</f>
        <v>166</v>
      </c>
      <c r="B167" s="213" t="s">
        <v>419</v>
      </c>
      <c r="D167" t="str">
        <f>IFERROR(VLOOKUP(ROWS($D$2:D167),$A$2:$B$1416,2,0),"")</f>
        <v>Mole Valley</v>
      </c>
    </row>
    <row r="168" spans="1:4" x14ac:dyDescent="0.35">
      <c r="A168">
        <f>IF(ISNUMBER(SEARCH('PRP LA trend tool 2015-22'!$E$3,B168)),MAX($A$1:A167)+1,0)</f>
        <v>167</v>
      </c>
      <c r="B168" s="213" t="s">
        <v>421</v>
      </c>
      <c r="D168" t="str">
        <f>IFERROR(VLOOKUP(ROWS($D$2:D168),$A$2:$B$1416,2,0),"")</f>
        <v>New Forest</v>
      </c>
    </row>
    <row r="169" spans="1:4" x14ac:dyDescent="0.35">
      <c r="A169">
        <f>IF(ISNUMBER(SEARCH('PRP LA trend tool 2015-22'!$E$3,B169)),MAX($A$1:A168)+1,0)</f>
        <v>168</v>
      </c>
      <c r="B169" s="213" t="s">
        <v>423</v>
      </c>
      <c r="D169" t="str">
        <f>IFERROR(VLOOKUP(ROWS($D$2:D169),$A$2:$B$1416,2,0),"")</f>
        <v>Newark and Sherwood</v>
      </c>
    </row>
    <row r="170" spans="1:4" x14ac:dyDescent="0.35">
      <c r="A170">
        <f>IF(ISNUMBER(SEARCH('PRP LA trend tool 2015-22'!$E$3,B170)),MAX($A$1:A169)+1,0)</f>
        <v>169</v>
      </c>
      <c r="B170" s="213" t="s">
        <v>425</v>
      </c>
      <c r="D170" t="str">
        <f>IFERROR(VLOOKUP(ROWS($D$2:D170),$A$2:$B$1416,2,0),"")</f>
        <v>Newcastle upon Tyne</v>
      </c>
    </row>
    <row r="171" spans="1:4" x14ac:dyDescent="0.35">
      <c r="A171">
        <f>IF(ISNUMBER(SEARCH('PRP LA trend tool 2015-22'!$E$3,B171)),MAX($A$1:A170)+1,0)</f>
        <v>170</v>
      </c>
      <c r="B171" s="213" t="s">
        <v>427</v>
      </c>
      <c r="D171" t="str">
        <f>IFERROR(VLOOKUP(ROWS($D$2:D171),$A$2:$B$1416,2,0),"")</f>
        <v>Newcastle-under-Lyme</v>
      </c>
    </row>
    <row r="172" spans="1:4" x14ac:dyDescent="0.35">
      <c r="A172">
        <f>IF(ISNUMBER(SEARCH('PRP LA trend tool 2015-22'!$E$3,B172)),MAX($A$1:A171)+1,0)</f>
        <v>171</v>
      </c>
      <c r="B172" s="213" t="s">
        <v>429</v>
      </c>
      <c r="D172" t="str">
        <f>IFERROR(VLOOKUP(ROWS($D$2:D172),$A$2:$B$1416,2,0),"")</f>
        <v>Newham</v>
      </c>
    </row>
    <row r="173" spans="1:4" x14ac:dyDescent="0.35">
      <c r="A173">
        <f>IF(ISNUMBER(SEARCH('PRP LA trend tool 2015-22'!$E$3,B173)),MAX($A$1:A172)+1,0)</f>
        <v>172</v>
      </c>
      <c r="B173" s="213" t="s">
        <v>431</v>
      </c>
      <c r="D173" t="str">
        <f>IFERROR(VLOOKUP(ROWS($D$2:D173),$A$2:$B$1416,2,0),"")</f>
        <v>North Devon</v>
      </c>
    </row>
    <row r="174" spans="1:4" x14ac:dyDescent="0.35">
      <c r="A174">
        <f>IF(ISNUMBER(SEARCH('PRP LA trend tool 2015-22'!$E$3,B174)),MAX($A$1:A173)+1,0)</f>
        <v>173</v>
      </c>
      <c r="B174" s="213" t="s">
        <v>433</v>
      </c>
      <c r="D174" t="str">
        <f>IFERROR(VLOOKUP(ROWS($D$2:D174),$A$2:$B$1416,2,0),"")</f>
        <v>North East Derbyshire</v>
      </c>
    </row>
    <row r="175" spans="1:4" x14ac:dyDescent="0.35">
      <c r="A175">
        <f>IF(ISNUMBER(SEARCH('PRP LA trend tool 2015-22'!$E$3,B175)),MAX($A$1:A174)+1,0)</f>
        <v>174</v>
      </c>
      <c r="B175" s="213" t="s">
        <v>435</v>
      </c>
      <c r="D175" t="str">
        <f>IFERROR(VLOOKUP(ROWS($D$2:D175),$A$2:$B$1416,2,0),"")</f>
        <v>North East Lincolnshire</v>
      </c>
    </row>
    <row r="176" spans="1:4" x14ac:dyDescent="0.35">
      <c r="A176">
        <f>IF(ISNUMBER(SEARCH('PRP LA trend tool 2015-22'!$E$3,B176)),MAX($A$1:A175)+1,0)</f>
        <v>175</v>
      </c>
      <c r="B176" s="213" t="s">
        <v>437</v>
      </c>
      <c r="D176" t="str">
        <f>IFERROR(VLOOKUP(ROWS($D$2:D176),$A$2:$B$1416,2,0),"")</f>
        <v>North Hertfordshire</v>
      </c>
    </row>
    <row r="177" spans="1:4" x14ac:dyDescent="0.35">
      <c r="A177">
        <f>IF(ISNUMBER(SEARCH('PRP LA trend tool 2015-22'!$E$3,B177)),MAX($A$1:A176)+1,0)</f>
        <v>176</v>
      </c>
      <c r="B177" s="213" t="s">
        <v>439</v>
      </c>
      <c r="D177" t="str">
        <f>IFERROR(VLOOKUP(ROWS($D$2:D177),$A$2:$B$1416,2,0),"")</f>
        <v>North Kesteven</v>
      </c>
    </row>
    <row r="178" spans="1:4" x14ac:dyDescent="0.35">
      <c r="A178">
        <f>IF(ISNUMBER(SEARCH('PRP LA trend tool 2015-22'!$E$3,B178)),MAX($A$1:A177)+1,0)</f>
        <v>177</v>
      </c>
      <c r="B178" s="213" t="s">
        <v>441</v>
      </c>
      <c r="D178" t="str">
        <f>IFERROR(VLOOKUP(ROWS($D$2:D178),$A$2:$B$1416,2,0),"")</f>
        <v>North Lincolnshire</v>
      </c>
    </row>
    <row r="179" spans="1:4" x14ac:dyDescent="0.35">
      <c r="A179">
        <f>IF(ISNUMBER(SEARCH('PRP LA trend tool 2015-22'!$E$3,B179)),MAX($A$1:A178)+1,0)</f>
        <v>178</v>
      </c>
      <c r="B179" s="213" t="s">
        <v>443</v>
      </c>
      <c r="D179" t="str">
        <f>IFERROR(VLOOKUP(ROWS($D$2:D179),$A$2:$B$1416,2,0),"")</f>
        <v>North Norfolk</v>
      </c>
    </row>
    <row r="180" spans="1:4" x14ac:dyDescent="0.35">
      <c r="A180">
        <f>IF(ISNUMBER(SEARCH('PRP LA trend tool 2015-22'!$E$3,B180)),MAX($A$1:A179)+1,0)</f>
        <v>179</v>
      </c>
      <c r="B180" s="213" t="s">
        <v>812</v>
      </c>
      <c r="D180" t="str">
        <f>IFERROR(VLOOKUP(ROWS($D$2:D180),$A$2:$B$1416,2,0),"")</f>
        <v>North Northamptonshire</v>
      </c>
    </row>
    <row r="181" spans="1:4" x14ac:dyDescent="0.35">
      <c r="A181">
        <f>IF(ISNUMBER(SEARCH('PRP LA trend tool 2015-22'!$E$3,B181)),MAX($A$1:A180)+1,0)</f>
        <v>180</v>
      </c>
      <c r="B181" s="213" t="s">
        <v>445</v>
      </c>
      <c r="D181" t="str">
        <f>IFERROR(VLOOKUP(ROWS($D$2:D181),$A$2:$B$1416,2,0),"")</f>
        <v>North Somerset</v>
      </c>
    </row>
    <row r="182" spans="1:4" x14ac:dyDescent="0.35">
      <c r="A182">
        <f>IF(ISNUMBER(SEARCH('PRP LA trend tool 2015-22'!$E$3,B182)),MAX($A$1:A181)+1,0)</f>
        <v>181</v>
      </c>
      <c r="B182" s="213" t="s">
        <v>447</v>
      </c>
      <c r="D182" t="str">
        <f>IFERROR(VLOOKUP(ROWS($D$2:D182),$A$2:$B$1416,2,0),"")</f>
        <v>North Tyneside</v>
      </c>
    </row>
    <row r="183" spans="1:4" x14ac:dyDescent="0.35">
      <c r="A183">
        <f>IF(ISNUMBER(SEARCH('PRP LA trend tool 2015-22'!$E$3,B183)),MAX($A$1:A182)+1,0)</f>
        <v>182</v>
      </c>
      <c r="B183" s="213" t="s">
        <v>449</v>
      </c>
      <c r="D183" t="str">
        <f>IFERROR(VLOOKUP(ROWS($D$2:D183),$A$2:$B$1416,2,0),"")</f>
        <v>North Warwickshire</v>
      </c>
    </row>
    <row r="184" spans="1:4" x14ac:dyDescent="0.35">
      <c r="A184">
        <f>IF(ISNUMBER(SEARCH('PRP LA trend tool 2015-22'!$E$3,B184)),MAX($A$1:A183)+1,0)</f>
        <v>183</v>
      </c>
      <c r="B184" s="213" t="s">
        <v>451</v>
      </c>
      <c r="D184" t="str">
        <f>IFERROR(VLOOKUP(ROWS($D$2:D184),$A$2:$B$1416,2,0),"")</f>
        <v>North West Leicestershire</v>
      </c>
    </row>
    <row r="185" spans="1:4" x14ac:dyDescent="0.35">
      <c r="A185">
        <f>IF(ISNUMBER(SEARCH('PRP LA trend tool 2015-22'!$E$3,B185)),MAX($A$1:A184)+1,0)</f>
        <v>184</v>
      </c>
      <c r="B185" s="213" t="s">
        <v>453</v>
      </c>
      <c r="D185" t="str">
        <f>IFERROR(VLOOKUP(ROWS($D$2:D185),$A$2:$B$1416,2,0),"")</f>
        <v>Northumberland</v>
      </c>
    </row>
    <row r="186" spans="1:4" x14ac:dyDescent="0.35">
      <c r="A186">
        <f>IF(ISNUMBER(SEARCH('PRP LA trend tool 2015-22'!$E$3,B186)),MAX($A$1:A185)+1,0)</f>
        <v>185</v>
      </c>
      <c r="B186" s="213" t="s">
        <v>455</v>
      </c>
      <c r="D186" t="str">
        <f>IFERROR(VLOOKUP(ROWS($D$2:D186),$A$2:$B$1416,2,0),"")</f>
        <v>Norwich</v>
      </c>
    </row>
    <row r="187" spans="1:4" x14ac:dyDescent="0.35">
      <c r="A187">
        <f>IF(ISNUMBER(SEARCH('PRP LA trend tool 2015-22'!$E$3,B187)),MAX($A$1:A186)+1,0)</f>
        <v>186</v>
      </c>
      <c r="B187" s="213" t="s">
        <v>457</v>
      </c>
      <c r="D187" t="str">
        <f>IFERROR(VLOOKUP(ROWS($D$2:D187),$A$2:$B$1416,2,0),"")</f>
        <v>Nottingham</v>
      </c>
    </row>
    <row r="188" spans="1:4" x14ac:dyDescent="0.35">
      <c r="A188">
        <f>IF(ISNUMBER(SEARCH('PRP LA trend tool 2015-22'!$E$3,B188)),MAX($A$1:A187)+1,0)</f>
        <v>187</v>
      </c>
      <c r="B188" s="213" t="s">
        <v>459</v>
      </c>
      <c r="D188" t="str">
        <f>IFERROR(VLOOKUP(ROWS($D$2:D188),$A$2:$B$1416,2,0),"")</f>
        <v>Nuneaton and Bedworth</v>
      </c>
    </row>
    <row r="189" spans="1:4" x14ac:dyDescent="0.35">
      <c r="A189">
        <f>IF(ISNUMBER(SEARCH('PRP LA trend tool 2015-22'!$E$3,B189)),MAX($A$1:A188)+1,0)</f>
        <v>188</v>
      </c>
      <c r="B189" s="213" t="s">
        <v>461</v>
      </c>
      <c r="D189" t="str">
        <f>IFERROR(VLOOKUP(ROWS($D$2:D189),$A$2:$B$1416,2,0),"")</f>
        <v>Oadby and Wigston</v>
      </c>
    </row>
    <row r="190" spans="1:4" x14ac:dyDescent="0.35">
      <c r="A190">
        <f>IF(ISNUMBER(SEARCH('PRP LA trend tool 2015-22'!$E$3,B190)),MAX($A$1:A189)+1,0)</f>
        <v>189</v>
      </c>
      <c r="B190" s="213" t="s">
        <v>463</v>
      </c>
      <c r="D190" t="str">
        <f>IFERROR(VLOOKUP(ROWS($D$2:D190),$A$2:$B$1416,2,0),"")</f>
        <v>Oldham</v>
      </c>
    </row>
    <row r="191" spans="1:4" x14ac:dyDescent="0.35">
      <c r="A191">
        <f>IF(ISNUMBER(SEARCH('PRP LA trend tool 2015-22'!$E$3,B191)),MAX($A$1:A190)+1,0)</f>
        <v>190</v>
      </c>
      <c r="B191" s="213" t="s">
        <v>465</v>
      </c>
      <c r="D191" t="str">
        <f>IFERROR(VLOOKUP(ROWS($D$2:D191),$A$2:$B$1416,2,0),"")</f>
        <v>Oxford</v>
      </c>
    </row>
    <row r="192" spans="1:4" x14ac:dyDescent="0.35">
      <c r="A192">
        <f>IF(ISNUMBER(SEARCH('PRP LA trend tool 2015-22'!$E$3,B192)),MAX($A$1:A191)+1,0)</f>
        <v>191</v>
      </c>
      <c r="B192" s="213" t="s">
        <v>467</v>
      </c>
      <c r="D192" t="str">
        <f>IFERROR(VLOOKUP(ROWS($D$2:D192),$A$2:$B$1416,2,0),"")</f>
        <v>Pendle</v>
      </c>
    </row>
    <row r="193" spans="1:4" x14ac:dyDescent="0.35">
      <c r="A193">
        <f>IF(ISNUMBER(SEARCH('PRP LA trend tool 2015-22'!$E$3,B193)),MAX($A$1:A192)+1,0)</f>
        <v>192</v>
      </c>
      <c r="B193" s="213" t="s">
        <v>469</v>
      </c>
      <c r="D193" t="str">
        <f>IFERROR(VLOOKUP(ROWS($D$2:D193),$A$2:$B$1416,2,0),"")</f>
        <v>Peterborough</v>
      </c>
    </row>
    <row r="194" spans="1:4" x14ac:dyDescent="0.35">
      <c r="A194">
        <f>IF(ISNUMBER(SEARCH('PRP LA trend tool 2015-22'!$E$3,B194)),MAX($A$1:A193)+1,0)</f>
        <v>193</v>
      </c>
      <c r="B194" s="213" t="s">
        <v>471</v>
      </c>
      <c r="D194" t="str">
        <f>IFERROR(VLOOKUP(ROWS($D$2:D194),$A$2:$B$1416,2,0),"")</f>
        <v>Plymouth</v>
      </c>
    </row>
    <row r="195" spans="1:4" x14ac:dyDescent="0.35">
      <c r="A195">
        <f>IF(ISNUMBER(SEARCH('PRP LA trend tool 2015-22'!$E$3,B195)),MAX($A$1:A194)+1,0)</f>
        <v>194</v>
      </c>
      <c r="B195" s="213" t="s">
        <v>473</v>
      </c>
      <c r="D195" t="str">
        <f>IFERROR(VLOOKUP(ROWS($D$2:D195),$A$2:$B$1416,2,0),"")</f>
        <v>Portsmouth</v>
      </c>
    </row>
    <row r="196" spans="1:4" x14ac:dyDescent="0.35">
      <c r="A196">
        <f>IF(ISNUMBER(SEARCH('PRP LA trend tool 2015-22'!$E$3,B196)),MAX($A$1:A195)+1,0)</f>
        <v>195</v>
      </c>
      <c r="B196" s="213" t="s">
        <v>475</v>
      </c>
      <c r="D196" t="str">
        <f>IFERROR(VLOOKUP(ROWS($D$2:D196),$A$2:$B$1416,2,0),"")</f>
        <v>Preston</v>
      </c>
    </row>
    <row r="197" spans="1:4" x14ac:dyDescent="0.35">
      <c r="A197">
        <f>IF(ISNUMBER(SEARCH('PRP LA trend tool 2015-22'!$E$3,B197)),MAX($A$1:A196)+1,0)</f>
        <v>196</v>
      </c>
      <c r="B197" s="213" t="s">
        <v>477</v>
      </c>
      <c r="D197" t="str">
        <f>IFERROR(VLOOKUP(ROWS($D$2:D197),$A$2:$B$1416,2,0),"")</f>
        <v>Reading</v>
      </c>
    </row>
    <row r="198" spans="1:4" x14ac:dyDescent="0.35">
      <c r="A198">
        <f>IF(ISNUMBER(SEARCH('PRP LA trend tool 2015-22'!$E$3,B198)),MAX($A$1:A197)+1,0)</f>
        <v>197</v>
      </c>
      <c r="B198" s="213" t="s">
        <v>479</v>
      </c>
      <c r="D198" t="str">
        <f>IFERROR(VLOOKUP(ROWS($D$2:D198),$A$2:$B$1416,2,0),"")</f>
        <v>Redbridge</v>
      </c>
    </row>
    <row r="199" spans="1:4" x14ac:dyDescent="0.35">
      <c r="A199">
        <f>IF(ISNUMBER(SEARCH('PRP LA trend tool 2015-22'!$E$3,B199)),MAX($A$1:A198)+1,0)</f>
        <v>198</v>
      </c>
      <c r="B199" s="213" t="s">
        <v>481</v>
      </c>
      <c r="D199" t="str">
        <f>IFERROR(VLOOKUP(ROWS($D$2:D199),$A$2:$B$1416,2,0),"")</f>
        <v>Redcar and Cleveland</v>
      </c>
    </row>
    <row r="200" spans="1:4" x14ac:dyDescent="0.35">
      <c r="A200">
        <f>IF(ISNUMBER(SEARCH('PRP LA trend tool 2015-22'!$E$3,B200)),MAX($A$1:A199)+1,0)</f>
        <v>199</v>
      </c>
      <c r="B200" s="213" t="s">
        <v>483</v>
      </c>
      <c r="D200" t="str">
        <f>IFERROR(VLOOKUP(ROWS($D$2:D200),$A$2:$B$1416,2,0),"")</f>
        <v>Redditch</v>
      </c>
    </row>
    <row r="201" spans="1:4" x14ac:dyDescent="0.35">
      <c r="A201">
        <f>IF(ISNUMBER(SEARCH('PRP LA trend tool 2015-22'!$E$3,B201)),MAX($A$1:A200)+1,0)</f>
        <v>200</v>
      </c>
      <c r="B201" s="213" t="s">
        <v>485</v>
      </c>
      <c r="D201" t="str">
        <f>IFERROR(VLOOKUP(ROWS($D$2:D201),$A$2:$B$1416,2,0),"")</f>
        <v>Reigate and Banstead</v>
      </c>
    </row>
    <row r="202" spans="1:4" x14ac:dyDescent="0.35">
      <c r="A202">
        <f>IF(ISNUMBER(SEARCH('PRP LA trend tool 2015-22'!$E$3,B202)),MAX($A$1:A201)+1,0)</f>
        <v>201</v>
      </c>
      <c r="B202" s="213" t="s">
        <v>487</v>
      </c>
      <c r="D202" t="str">
        <f>IFERROR(VLOOKUP(ROWS($D$2:D202),$A$2:$B$1416,2,0),"")</f>
        <v>Ribble Valley</v>
      </c>
    </row>
    <row r="203" spans="1:4" x14ac:dyDescent="0.35">
      <c r="A203">
        <f>IF(ISNUMBER(SEARCH('PRP LA trend tool 2015-22'!$E$3,B203)),MAX($A$1:A202)+1,0)</f>
        <v>202</v>
      </c>
      <c r="B203" s="213" t="s">
        <v>489</v>
      </c>
      <c r="D203" t="str">
        <f>IFERROR(VLOOKUP(ROWS($D$2:D203),$A$2:$B$1416,2,0),"")</f>
        <v>Richmond upon Thames</v>
      </c>
    </row>
    <row r="204" spans="1:4" x14ac:dyDescent="0.35">
      <c r="A204">
        <f>IF(ISNUMBER(SEARCH('PRP LA trend tool 2015-22'!$E$3,B204)),MAX($A$1:A203)+1,0)</f>
        <v>203</v>
      </c>
      <c r="B204" s="213" t="s">
        <v>491</v>
      </c>
      <c r="D204" t="str">
        <f>IFERROR(VLOOKUP(ROWS($D$2:D204),$A$2:$B$1416,2,0),"")</f>
        <v>Richmondshire</v>
      </c>
    </row>
    <row r="205" spans="1:4" x14ac:dyDescent="0.35">
      <c r="A205">
        <f>IF(ISNUMBER(SEARCH('PRP LA trend tool 2015-22'!$E$3,B205)),MAX($A$1:A204)+1,0)</f>
        <v>204</v>
      </c>
      <c r="B205" s="213" t="s">
        <v>493</v>
      </c>
      <c r="D205" t="str">
        <f>IFERROR(VLOOKUP(ROWS($D$2:D205),$A$2:$B$1416,2,0),"")</f>
        <v>Rochdale</v>
      </c>
    </row>
    <row r="206" spans="1:4" x14ac:dyDescent="0.35">
      <c r="A206">
        <f>IF(ISNUMBER(SEARCH('PRP LA trend tool 2015-22'!$E$3,B206)),MAX($A$1:A205)+1,0)</f>
        <v>205</v>
      </c>
      <c r="B206" s="213" t="s">
        <v>495</v>
      </c>
      <c r="D206" t="str">
        <f>IFERROR(VLOOKUP(ROWS($D$2:D206),$A$2:$B$1416,2,0),"")</f>
        <v>Rochford</v>
      </c>
    </row>
    <row r="207" spans="1:4" x14ac:dyDescent="0.35">
      <c r="A207">
        <f>IF(ISNUMBER(SEARCH('PRP LA trend tool 2015-22'!$E$3,B207)),MAX($A$1:A206)+1,0)</f>
        <v>206</v>
      </c>
      <c r="B207" s="213" t="s">
        <v>497</v>
      </c>
      <c r="D207" t="str">
        <f>IFERROR(VLOOKUP(ROWS($D$2:D207),$A$2:$B$1416,2,0),"")</f>
        <v>Rossendale</v>
      </c>
    </row>
    <row r="208" spans="1:4" x14ac:dyDescent="0.35">
      <c r="A208">
        <f>IF(ISNUMBER(SEARCH('PRP LA trend tool 2015-22'!$E$3,B208)),MAX($A$1:A207)+1,0)</f>
        <v>207</v>
      </c>
      <c r="B208" s="213" t="s">
        <v>499</v>
      </c>
      <c r="D208" t="str">
        <f>IFERROR(VLOOKUP(ROWS($D$2:D208),$A$2:$B$1416,2,0),"")</f>
        <v>Rother</v>
      </c>
    </row>
    <row r="209" spans="1:4" x14ac:dyDescent="0.35">
      <c r="A209">
        <f>IF(ISNUMBER(SEARCH('PRP LA trend tool 2015-22'!$E$3,B209)),MAX($A$1:A208)+1,0)</f>
        <v>208</v>
      </c>
      <c r="B209" s="213" t="s">
        <v>501</v>
      </c>
      <c r="D209" t="str">
        <f>IFERROR(VLOOKUP(ROWS($D$2:D209),$A$2:$B$1416,2,0),"")</f>
        <v>Rotherham</v>
      </c>
    </row>
    <row r="210" spans="1:4" x14ac:dyDescent="0.35">
      <c r="A210">
        <f>IF(ISNUMBER(SEARCH('PRP LA trend tool 2015-22'!$E$3,B210)),MAX($A$1:A209)+1,0)</f>
        <v>209</v>
      </c>
      <c r="B210" s="213" t="s">
        <v>503</v>
      </c>
      <c r="D210" t="str">
        <f>IFERROR(VLOOKUP(ROWS($D$2:D210),$A$2:$B$1416,2,0),"")</f>
        <v>Rugby</v>
      </c>
    </row>
    <row r="211" spans="1:4" x14ac:dyDescent="0.35">
      <c r="A211">
        <f>IF(ISNUMBER(SEARCH('PRP LA trend tool 2015-22'!$E$3,B211)),MAX($A$1:A210)+1,0)</f>
        <v>210</v>
      </c>
      <c r="B211" s="213" t="s">
        <v>505</v>
      </c>
      <c r="D211" t="str">
        <f>IFERROR(VLOOKUP(ROWS($D$2:D211),$A$2:$B$1416,2,0),"")</f>
        <v>Runnymede</v>
      </c>
    </row>
    <row r="212" spans="1:4" x14ac:dyDescent="0.35">
      <c r="A212">
        <f>IF(ISNUMBER(SEARCH('PRP LA trend tool 2015-22'!$E$3,B212)),MAX($A$1:A211)+1,0)</f>
        <v>211</v>
      </c>
      <c r="B212" s="213" t="s">
        <v>507</v>
      </c>
      <c r="D212" t="str">
        <f>IFERROR(VLOOKUP(ROWS($D$2:D212),$A$2:$B$1416,2,0),"")</f>
        <v>Rushcliffe</v>
      </c>
    </row>
    <row r="213" spans="1:4" x14ac:dyDescent="0.35">
      <c r="A213">
        <f>IF(ISNUMBER(SEARCH('PRP LA trend tool 2015-22'!$E$3,B213)),MAX($A$1:A212)+1,0)</f>
        <v>212</v>
      </c>
      <c r="B213" s="213" t="s">
        <v>509</v>
      </c>
      <c r="D213" t="str">
        <f>IFERROR(VLOOKUP(ROWS($D$2:D213),$A$2:$B$1416,2,0),"")</f>
        <v>Rushmoor</v>
      </c>
    </row>
    <row r="214" spans="1:4" x14ac:dyDescent="0.35">
      <c r="A214">
        <f>IF(ISNUMBER(SEARCH('PRP LA trend tool 2015-22'!$E$3,B214)),MAX($A$1:A213)+1,0)</f>
        <v>213</v>
      </c>
      <c r="B214" s="213" t="s">
        <v>511</v>
      </c>
      <c r="D214" t="str">
        <f>IFERROR(VLOOKUP(ROWS($D$2:D214),$A$2:$B$1416,2,0),"")</f>
        <v>Rutland</v>
      </c>
    </row>
    <row r="215" spans="1:4" x14ac:dyDescent="0.35">
      <c r="A215">
        <f>IF(ISNUMBER(SEARCH('PRP LA trend tool 2015-22'!$E$3,B215)),MAX($A$1:A214)+1,0)</f>
        <v>214</v>
      </c>
      <c r="B215" s="213" t="s">
        <v>513</v>
      </c>
      <c r="D215" t="str">
        <f>IFERROR(VLOOKUP(ROWS($D$2:D215),$A$2:$B$1416,2,0),"")</f>
        <v>Ryedale</v>
      </c>
    </row>
    <row r="216" spans="1:4" x14ac:dyDescent="0.35">
      <c r="A216">
        <f>IF(ISNUMBER(SEARCH('PRP LA trend tool 2015-22'!$E$3,B216)),MAX($A$1:A215)+1,0)</f>
        <v>215</v>
      </c>
      <c r="B216" s="213" t="s">
        <v>515</v>
      </c>
      <c r="D216" t="str">
        <f>IFERROR(VLOOKUP(ROWS($D$2:D216),$A$2:$B$1416,2,0),"")</f>
        <v>Salford</v>
      </c>
    </row>
    <row r="217" spans="1:4" x14ac:dyDescent="0.35">
      <c r="A217">
        <f>IF(ISNUMBER(SEARCH('PRP LA trend tool 2015-22'!$E$3,B217)),MAX($A$1:A216)+1,0)</f>
        <v>216</v>
      </c>
      <c r="B217" s="213" t="s">
        <v>517</v>
      </c>
      <c r="D217" t="str">
        <f>IFERROR(VLOOKUP(ROWS($D$2:D217),$A$2:$B$1416,2,0),"")</f>
        <v>Sandwell</v>
      </c>
    </row>
    <row r="218" spans="1:4" x14ac:dyDescent="0.35">
      <c r="A218">
        <f>IF(ISNUMBER(SEARCH('PRP LA trend tool 2015-22'!$E$3,B218)),MAX($A$1:A217)+1,0)</f>
        <v>217</v>
      </c>
      <c r="B218" s="213" t="s">
        <v>519</v>
      </c>
      <c r="D218" t="str">
        <f>IFERROR(VLOOKUP(ROWS($D$2:D218),$A$2:$B$1416,2,0),"")</f>
        <v>Scarborough</v>
      </c>
    </row>
    <row r="219" spans="1:4" x14ac:dyDescent="0.35">
      <c r="A219">
        <f>IF(ISNUMBER(SEARCH('PRP LA trend tool 2015-22'!$E$3,B219)),MAX($A$1:A218)+1,0)</f>
        <v>218</v>
      </c>
      <c r="B219" s="213" t="s">
        <v>521</v>
      </c>
      <c r="D219" t="str">
        <f>IFERROR(VLOOKUP(ROWS($D$2:D219),$A$2:$B$1416,2,0),"")</f>
        <v>Sedgemoor</v>
      </c>
    </row>
    <row r="220" spans="1:4" x14ac:dyDescent="0.35">
      <c r="A220">
        <f>IF(ISNUMBER(SEARCH('PRP LA trend tool 2015-22'!$E$3,B220)),MAX($A$1:A219)+1,0)</f>
        <v>219</v>
      </c>
      <c r="B220" s="213" t="s">
        <v>523</v>
      </c>
      <c r="D220" t="str">
        <f>IFERROR(VLOOKUP(ROWS($D$2:D220),$A$2:$B$1416,2,0),"")</f>
        <v>Sefton</v>
      </c>
    </row>
    <row r="221" spans="1:4" x14ac:dyDescent="0.35">
      <c r="A221">
        <f>IF(ISNUMBER(SEARCH('PRP LA trend tool 2015-22'!$E$3,B221)),MAX($A$1:A220)+1,0)</f>
        <v>220</v>
      </c>
      <c r="B221" s="213" t="s">
        <v>525</v>
      </c>
      <c r="D221" t="str">
        <f>IFERROR(VLOOKUP(ROWS($D$2:D221),$A$2:$B$1416,2,0),"")</f>
        <v>Selby</v>
      </c>
    </row>
    <row r="222" spans="1:4" x14ac:dyDescent="0.35">
      <c r="A222">
        <f>IF(ISNUMBER(SEARCH('PRP LA trend tool 2015-22'!$E$3,B222)),MAX($A$1:A221)+1,0)</f>
        <v>221</v>
      </c>
      <c r="B222" s="213" t="s">
        <v>527</v>
      </c>
      <c r="D222" t="str">
        <f>IFERROR(VLOOKUP(ROWS($D$2:D222),$A$2:$B$1416,2,0),"")</f>
        <v>Sevenoaks</v>
      </c>
    </row>
    <row r="223" spans="1:4" x14ac:dyDescent="0.35">
      <c r="A223">
        <f>IF(ISNUMBER(SEARCH('PRP LA trend tool 2015-22'!$E$3,B223)),MAX($A$1:A222)+1,0)</f>
        <v>222</v>
      </c>
      <c r="B223" s="213" t="s">
        <v>529</v>
      </c>
      <c r="D223" t="str">
        <f>IFERROR(VLOOKUP(ROWS($D$2:D223),$A$2:$B$1416,2,0),"")</f>
        <v>Sheffield</v>
      </c>
    </row>
    <row r="224" spans="1:4" x14ac:dyDescent="0.35">
      <c r="A224">
        <f>IF(ISNUMBER(SEARCH('PRP LA trend tool 2015-22'!$E$3,B224)),MAX($A$1:A223)+1,0)</f>
        <v>223</v>
      </c>
      <c r="B224" s="213" t="s">
        <v>531</v>
      </c>
      <c r="D224" t="str">
        <f>IFERROR(VLOOKUP(ROWS($D$2:D224),$A$2:$B$1416,2,0),"")</f>
        <v>Shropshire</v>
      </c>
    </row>
    <row r="225" spans="1:4" x14ac:dyDescent="0.35">
      <c r="A225">
        <f>IF(ISNUMBER(SEARCH('PRP LA trend tool 2015-22'!$E$3,B225)),MAX($A$1:A224)+1,0)</f>
        <v>224</v>
      </c>
      <c r="B225" s="213" t="s">
        <v>533</v>
      </c>
      <c r="D225" t="str">
        <f>IFERROR(VLOOKUP(ROWS($D$2:D225),$A$2:$B$1416,2,0),"")</f>
        <v>Slough</v>
      </c>
    </row>
    <row r="226" spans="1:4" x14ac:dyDescent="0.35">
      <c r="A226">
        <f>IF(ISNUMBER(SEARCH('PRP LA trend tool 2015-22'!$E$3,B226)),MAX($A$1:A225)+1,0)</f>
        <v>225</v>
      </c>
      <c r="B226" s="213" t="s">
        <v>535</v>
      </c>
      <c r="D226" t="str">
        <f>IFERROR(VLOOKUP(ROWS($D$2:D226),$A$2:$B$1416,2,0),"")</f>
        <v>Solihull</v>
      </c>
    </row>
    <row r="227" spans="1:4" x14ac:dyDescent="0.35">
      <c r="A227">
        <f>IF(ISNUMBER(SEARCH('PRP LA trend tool 2015-22'!$E$3,B227)),MAX($A$1:A226)+1,0)</f>
        <v>226</v>
      </c>
      <c r="B227" s="213" t="s">
        <v>537</v>
      </c>
      <c r="D227" t="str">
        <f>IFERROR(VLOOKUP(ROWS($D$2:D227),$A$2:$B$1416,2,0),"")</f>
        <v>Somerset West and Taunton</v>
      </c>
    </row>
    <row r="228" spans="1:4" x14ac:dyDescent="0.35">
      <c r="A228">
        <f>IF(ISNUMBER(SEARCH('PRP LA trend tool 2015-22'!$E$3,B228)),MAX($A$1:A227)+1,0)</f>
        <v>227</v>
      </c>
      <c r="B228" s="213" t="s">
        <v>539</v>
      </c>
      <c r="D228" t="str">
        <f>IFERROR(VLOOKUP(ROWS($D$2:D228),$A$2:$B$1416,2,0),"")</f>
        <v>South Cambridgeshire</v>
      </c>
    </row>
    <row r="229" spans="1:4" x14ac:dyDescent="0.35">
      <c r="A229">
        <f>IF(ISNUMBER(SEARCH('PRP LA trend tool 2015-22'!$E$3,B229)),MAX($A$1:A228)+1,0)</f>
        <v>228</v>
      </c>
      <c r="B229" s="213" t="s">
        <v>541</v>
      </c>
      <c r="D229" t="str">
        <f>IFERROR(VLOOKUP(ROWS($D$2:D229),$A$2:$B$1416,2,0),"")</f>
        <v>South Derbyshire</v>
      </c>
    </row>
    <row r="230" spans="1:4" x14ac:dyDescent="0.35">
      <c r="A230">
        <f>IF(ISNUMBER(SEARCH('PRP LA trend tool 2015-22'!$E$3,B230)),MAX($A$1:A229)+1,0)</f>
        <v>229</v>
      </c>
      <c r="B230" s="213" t="s">
        <v>543</v>
      </c>
      <c r="D230" t="str">
        <f>IFERROR(VLOOKUP(ROWS($D$2:D230),$A$2:$B$1416,2,0),"")</f>
        <v>South Gloucestershire</v>
      </c>
    </row>
    <row r="231" spans="1:4" x14ac:dyDescent="0.35">
      <c r="A231">
        <f>IF(ISNUMBER(SEARCH('PRP LA trend tool 2015-22'!$E$3,B231)),MAX($A$1:A230)+1,0)</f>
        <v>230</v>
      </c>
      <c r="B231" s="213" t="s">
        <v>545</v>
      </c>
      <c r="D231" t="str">
        <f>IFERROR(VLOOKUP(ROWS($D$2:D231),$A$2:$B$1416,2,0),"")</f>
        <v>South Hams</v>
      </c>
    </row>
    <row r="232" spans="1:4" x14ac:dyDescent="0.35">
      <c r="A232">
        <f>IF(ISNUMBER(SEARCH('PRP LA trend tool 2015-22'!$E$3,B232)),MAX($A$1:A231)+1,0)</f>
        <v>231</v>
      </c>
      <c r="B232" s="213" t="s">
        <v>547</v>
      </c>
      <c r="D232" t="str">
        <f>IFERROR(VLOOKUP(ROWS($D$2:D232),$A$2:$B$1416,2,0),"")</f>
        <v>South Holland</v>
      </c>
    </row>
    <row r="233" spans="1:4" x14ac:dyDescent="0.35">
      <c r="A233">
        <f>IF(ISNUMBER(SEARCH('PRP LA trend tool 2015-22'!$E$3,B233)),MAX($A$1:A232)+1,0)</f>
        <v>232</v>
      </c>
      <c r="B233" s="213" t="s">
        <v>549</v>
      </c>
      <c r="D233" t="str">
        <f>IFERROR(VLOOKUP(ROWS($D$2:D233),$A$2:$B$1416,2,0),"")</f>
        <v>South Kesteven</v>
      </c>
    </row>
    <row r="234" spans="1:4" x14ac:dyDescent="0.35">
      <c r="A234">
        <f>IF(ISNUMBER(SEARCH('PRP LA trend tool 2015-22'!$E$3,B234)),MAX($A$1:A233)+1,0)</f>
        <v>233</v>
      </c>
      <c r="B234" s="213" t="s">
        <v>551</v>
      </c>
      <c r="D234" t="str">
        <f>IFERROR(VLOOKUP(ROWS($D$2:D234),$A$2:$B$1416,2,0),"")</f>
        <v>South Lakeland</v>
      </c>
    </row>
    <row r="235" spans="1:4" x14ac:dyDescent="0.35">
      <c r="A235">
        <f>IF(ISNUMBER(SEARCH('PRP LA trend tool 2015-22'!$E$3,B235)),MAX($A$1:A234)+1,0)</f>
        <v>234</v>
      </c>
      <c r="B235" s="213" t="s">
        <v>553</v>
      </c>
      <c r="D235" t="str">
        <f>IFERROR(VLOOKUP(ROWS($D$2:D235),$A$2:$B$1416,2,0),"")</f>
        <v>South Norfolk</v>
      </c>
    </row>
    <row r="236" spans="1:4" x14ac:dyDescent="0.35">
      <c r="A236">
        <f>IF(ISNUMBER(SEARCH('PRP LA trend tool 2015-22'!$E$3,B236)),MAX($A$1:A235)+1,0)</f>
        <v>235</v>
      </c>
      <c r="B236" s="213" t="s">
        <v>555</v>
      </c>
      <c r="D236" t="str">
        <f>IFERROR(VLOOKUP(ROWS($D$2:D236),$A$2:$B$1416,2,0),"")</f>
        <v>South Oxfordshire</v>
      </c>
    </row>
    <row r="237" spans="1:4" x14ac:dyDescent="0.35">
      <c r="A237">
        <f>IF(ISNUMBER(SEARCH('PRP LA trend tool 2015-22'!$E$3,B237)),MAX($A$1:A236)+1,0)</f>
        <v>236</v>
      </c>
      <c r="B237" s="213" t="s">
        <v>557</v>
      </c>
      <c r="D237" t="str">
        <f>IFERROR(VLOOKUP(ROWS($D$2:D237),$A$2:$B$1416,2,0),"")</f>
        <v>South Ribble</v>
      </c>
    </row>
    <row r="238" spans="1:4" x14ac:dyDescent="0.35">
      <c r="A238">
        <f>IF(ISNUMBER(SEARCH('PRP LA trend tool 2015-22'!$E$3,B238)),MAX($A$1:A237)+1,0)</f>
        <v>237</v>
      </c>
      <c r="B238" s="213" t="s">
        <v>559</v>
      </c>
      <c r="D238" t="str">
        <f>IFERROR(VLOOKUP(ROWS($D$2:D238),$A$2:$B$1416,2,0),"")</f>
        <v>South Somerset</v>
      </c>
    </row>
    <row r="239" spans="1:4" x14ac:dyDescent="0.35">
      <c r="A239">
        <f>IF(ISNUMBER(SEARCH('PRP LA trend tool 2015-22'!$E$3,B239)),MAX($A$1:A238)+1,0)</f>
        <v>238</v>
      </c>
      <c r="B239" s="213" t="s">
        <v>561</v>
      </c>
      <c r="D239" t="str">
        <f>IFERROR(VLOOKUP(ROWS($D$2:D239),$A$2:$B$1416,2,0),"")</f>
        <v>South Staffordshire</v>
      </c>
    </row>
    <row r="240" spans="1:4" x14ac:dyDescent="0.35">
      <c r="A240">
        <f>IF(ISNUMBER(SEARCH('PRP LA trend tool 2015-22'!$E$3,B240)),MAX($A$1:A239)+1,0)</f>
        <v>239</v>
      </c>
      <c r="B240" s="213" t="s">
        <v>563</v>
      </c>
      <c r="D240" t="str">
        <f>IFERROR(VLOOKUP(ROWS($D$2:D240),$A$2:$B$1416,2,0),"")</f>
        <v>South Tyneside</v>
      </c>
    </row>
    <row r="241" spans="1:4" x14ac:dyDescent="0.35">
      <c r="A241">
        <f>IF(ISNUMBER(SEARCH('PRP LA trend tool 2015-22'!$E$3,B241)),MAX($A$1:A240)+1,0)</f>
        <v>240</v>
      </c>
      <c r="B241" s="213" t="s">
        <v>565</v>
      </c>
      <c r="D241" t="str">
        <f>IFERROR(VLOOKUP(ROWS($D$2:D241),$A$2:$B$1416,2,0),"")</f>
        <v>Southampton</v>
      </c>
    </row>
    <row r="242" spans="1:4" x14ac:dyDescent="0.35">
      <c r="A242">
        <f>IF(ISNUMBER(SEARCH('PRP LA trend tool 2015-22'!$E$3,B242)),MAX($A$1:A241)+1,0)</f>
        <v>241</v>
      </c>
      <c r="B242" s="213" t="s">
        <v>567</v>
      </c>
      <c r="D242" t="str">
        <f>IFERROR(VLOOKUP(ROWS($D$2:D242),$A$2:$B$1416,2,0),"")</f>
        <v>Southend-on-Sea</v>
      </c>
    </row>
    <row r="243" spans="1:4" x14ac:dyDescent="0.35">
      <c r="A243">
        <f>IF(ISNUMBER(SEARCH('PRP LA trend tool 2015-22'!$E$3,B243)),MAX($A$1:A242)+1,0)</f>
        <v>242</v>
      </c>
      <c r="B243" s="213" t="s">
        <v>569</v>
      </c>
      <c r="D243" t="str">
        <f>IFERROR(VLOOKUP(ROWS($D$2:D243),$A$2:$B$1416,2,0),"")</f>
        <v>Southwark</v>
      </c>
    </row>
    <row r="244" spans="1:4" x14ac:dyDescent="0.35">
      <c r="A244">
        <f>IF(ISNUMBER(SEARCH('PRP LA trend tool 2015-22'!$E$3,B244)),MAX($A$1:A243)+1,0)</f>
        <v>243</v>
      </c>
      <c r="B244" s="213" t="s">
        <v>571</v>
      </c>
      <c r="D244" t="str">
        <f>IFERROR(VLOOKUP(ROWS($D$2:D244),$A$2:$B$1416,2,0),"")</f>
        <v>Spelthorne</v>
      </c>
    </row>
    <row r="245" spans="1:4" x14ac:dyDescent="0.35">
      <c r="A245">
        <f>IF(ISNUMBER(SEARCH('PRP LA trend tool 2015-22'!$E$3,B245)),MAX($A$1:A244)+1,0)</f>
        <v>244</v>
      </c>
      <c r="B245" s="213" t="s">
        <v>573</v>
      </c>
      <c r="D245" t="str">
        <f>IFERROR(VLOOKUP(ROWS($D$2:D245),$A$2:$B$1416,2,0),"")</f>
        <v>St Albans</v>
      </c>
    </row>
    <row r="246" spans="1:4" x14ac:dyDescent="0.35">
      <c r="A246">
        <f>IF(ISNUMBER(SEARCH('PRP LA trend tool 2015-22'!$E$3,B246)),MAX($A$1:A245)+1,0)</f>
        <v>245</v>
      </c>
      <c r="B246" s="213" t="s">
        <v>575</v>
      </c>
      <c r="D246" t="str">
        <f>IFERROR(VLOOKUP(ROWS($D$2:D246),$A$2:$B$1416,2,0),"")</f>
        <v>St. Helens</v>
      </c>
    </row>
    <row r="247" spans="1:4" x14ac:dyDescent="0.35">
      <c r="A247">
        <f>IF(ISNUMBER(SEARCH('PRP LA trend tool 2015-22'!$E$3,B247)),MAX($A$1:A246)+1,0)</f>
        <v>246</v>
      </c>
      <c r="B247" s="213" t="s">
        <v>577</v>
      </c>
      <c r="D247" t="str">
        <f>IFERROR(VLOOKUP(ROWS($D$2:D247),$A$2:$B$1416,2,0),"")</f>
        <v>Stafford</v>
      </c>
    </row>
    <row r="248" spans="1:4" x14ac:dyDescent="0.35">
      <c r="A248">
        <f>IF(ISNUMBER(SEARCH('PRP LA trend tool 2015-22'!$E$3,B248)),MAX($A$1:A247)+1,0)</f>
        <v>247</v>
      </c>
      <c r="B248" s="213" t="s">
        <v>579</v>
      </c>
      <c r="D248" t="str">
        <f>IFERROR(VLOOKUP(ROWS($D$2:D248),$A$2:$B$1416,2,0),"")</f>
        <v>Staffordshire Moorlands</v>
      </c>
    </row>
    <row r="249" spans="1:4" x14ac:dyDescent="0.35">
      <c r="A249">
        <f>IF(ISNUMBER(SEARCH('PRP LA trend tool 2015-22'!$E$3,B249)),MAX($A$1:A248)+1,0)</f>
        <v>248</v>
      </c>
      <c r="B249" s="213" t="s">
        <v>581</v>
      </c>
      <c r="D249" t="str">
        <f>IFERROR(VLOOKUP(ROWS($D$2:D249),$A$2:$B$1416,2,0),"")</f>
        <v>Stevenage</v>
      </c>
    </row>
    <row r="250" spans="1:4" x14ac:dyDescent="0.35">
      <c r="A250">
        <f>IF(ISNUMBER(SEARCH('PRP LA trend tool 2015-22'!$E$3,B250)),MAX($A$1:A249)+1,0)</f>
        <v>249</v>
      </c>
      <c r="B250" s="213" t="s">
        <v>583</v>
      </c>
      <c r="D250" t="str">
        <f>IFERROR(VLOOKUP(ROWS($D$2:D250),$A$2:$B$1416,2,0),"")</f>
        <v>Stockport</v>
      </c>
    </row>
    <row r="251" spans="1:4" x14ac:dyDescent="0.35">
      <c r="A251">
        <f>IF(ISNUMBER(SEARCH('PRP LA trend tool 2015-22'!$E$3,B251)),MAX($A$1:A250)+1,0)</f>
        <v>250</v>
      </c>
      <c r="B251" s="213" t="s">
        <v>585</v>
      </c>
      <c r="D251" t="str">
        <f>IFERROR(VLOOKUP(ROWS($D$2:D251),$A$2:$B$1416,2,0),"")</f>
        <v>Stockton-on-Tees</v>
      </c>
    </row>
    <row r="252" spans="1:4" x14ac:dyDescent="0.35">
      <c r="A252">
        <f>IF(ISNUMBER(SEARCH('PRP LA trend tool 2015-22'!$E$3,B252)),MAX($A$1:A251)+1,0)</f>
        <v>251</v>
      </c>
      <c r="B252" s="213" t="s">
        <v>587</v>
      </c>
      <c r="D252" t="str">
        <f>IFERROR(VLOOKUP(ROWS($D$2:D252),$A$2:$B$1416,2,0),"")</f>
        <v>Stoke-on-Trent</v>
      </c>
    </row>
    <row r="253" spans="1:4" x14ac:dyDescent="0.35">
      <c r="A253">
        <f>IF(ISNUMBER(SEARCH('PRP LA trend tool 2015-22'!$E$3,B253)),MAX($A$1:A252)+1,0)</f>
        <v>252</v>
      </c>
      <c r="B253" s="213" t="s">
        <v>589</v>
      </c>
      <c r="D253" t="str">
        <f>IFERROR(VLOOKUP(ROWS($D$2:D253),$A$2:$B$1416,2,0),"")</f>
        <v>Stratford-on-Avon</v>
      </c>
    </row>
    <row r="254" spans="1:4" x14ac:dyDescent="0.35">
      <c r="A254">
        <f>IF(ISNUMBER(SEARCH('PRP LA trend tool 2015-22'!$E$3,B254)),MAX($A$1:A253)+1,0)</f>
        <v>253</v>
      </c>
      <c r="B254" s="213" t="s">
        <v>591</v>
      </c>
      <c r="D254" t="str">
        <f>IFERROR(VLOOKUP(ROWS($D$2:D254),$A$2:$B$1416,2,0),"")</f>
        <v>Stroud</v>
      </c>
    </row>
    <row r="255" spans="1:4" x14ac:dyDescent="0.35">
      <c r="A255">
        <f>IF(ISNUMBER(SEARCH('PRP LA trend tool 2015-22'!$E$3,B255)),MAX($A$1:A254)+1,0)</f>
        <v>254</v>
      </c>
      <c r="B255" s="213" t="s">
        <v>593</v>
      </c>
      <c r="D255" t="str">
        <f>IFERROR(VLOOKUP(ROWS($D$2:D255),$A$2:$B$1416,2,0),"")</f>
        <v>Sunderland</v>
      </c>
    </row>
    <row r="256" spans="1:4" x14ac:dyDescent="0.35">
      <c r="A256">
        <f>IF(ISNUMBER(SEARCH('PRP LA trend tool 2015-22'!$E$3,B256)),MAX($A$1:A255)+1,0)</f>
        <v>255</v>
      </c>
      <c r="B256" s="213" t="s">
        <v>595</v>
      </c>
      <c r="D256" t="str">
        <f>IFERROR(VLOOKUP(ROWS($D$2:D256),$A$2:$B$1416,2,0),"")</f>
        <v>Surrey Heath</v>
      </c>
    </row>
    <row r="257" spans="1:4" x14ac:dyDescent="0.35">
      <c r="A257">
        <f>IF(ISNUMBER(SEARCH('PRP LA trend tool 2015-22'!$E$3,B257)),MAX($A$1:A256)+1,0)</f>
        <v>256</v>
      </c>
      <c r="B257" s="213" t="s">
        <v>597</v>
      </c>
      <c r="D257" t="str">
        <f>IFERROR(VLOOKUP(ROWS($D$2:D257),$A$2:$B$1416,2,0),"")</f>
        <v>Sutton</v>
      </c>
    </row>
    <row r="258" spans="1:4" x14ac:dyDescent="0.35">
      <c r="A258">
        <f>IF(ISNUMBER(SEARCH('PRP LA trend tool 2015-22'!$E$3,B258)),MAX($A$1:A257)+1,0)</f>
        <v>257</v>
      </c>
      <c r="B258" s="213" t="s">
        <v>599</v>
      </c>
      <c r="D258" t="str">
        <f>IFERROR(VLOOKUP(ROWS($D$2:D258),$A$2:$B$1416,2,0),"")</f>
        <v>Swale</v>
      </c>
    </row>
    <row r="259" spans="1:4" x14ac:dyDescent="0.35">
      <c r="A259">
        <f>IF(ISNUMBER(SEARCH('PRP LA trend tool 2015-22'!$E$3,B259)),MAX($A$1:A258)+1,0)</f>
        <v>258</v>
      </c>
      <c r="B259" s="213" t="s">
        <v>601</v>
      </c>
      <c r="D259" t="str">
        <f>IFERROR(VLOOKUP(ROWS($D$2:D259),$A$2:$B$1416,2,0),"")</f>
        <v>Swindon</v>
      </c>
    </row>
    <row r="260" spans="1:4" x14ac:dyDescent="0.35">
      <c r="A260">
        <f>IF(ISNUMBER(SEARCH('PRP LA trend tool 2015-22'!$E$3,B260)),MAX($A$1:A259)+1,0)</f>
        <v>259</v>
      </c>
      <c r="B260" s="213" t="s">
        <v>603</v>
      </c>
      <c r="D260" t="str">
        <f>IFERROR(VLOOKUP(ROWS($D$2:D260),$A$2:$B$1416,2,0),"")</f>
        <v>Tameside</v>
      </c>
    </row>
    <row r="261" spans="1:4" x14ac:dyDescent="0.35">
      <c r="A261">
        <f>IF(ISNUMBER(SEARCH('PRP LA trend tool 2015-22'!$E$3,B261)),MAX($A$1:A260)+1,0)</f>
        <v>260</v>
      </c>
      <c r="B261" s="213" t="s">
        <v>605</v>
      </c>
      <c r="D261" t="str">
        <f>IFERROR(VLOOKUP(ROWS($D$2:D261),$A$2:$B$1416,2,0),"")</f>
        <v>Tamworth</v>
      </c>
    </row>
    <row r="262" spans="1:4" x14ac:dyDescent="0.35">
      <c r="A262">
        <f>IF(ISNUMBER(SEARCH('PRP LA trend tool 2015-22'!$E$3,B262)),MAX($A$1:A261)+1,0)</f>
        <v>261</v>
      </c>
      <c r="B262" s="213" t="s">
        <v>607</v>
      </c>
      <c r="D262" t="str">
        <f>IFERROR(VLOOKUP(ROWS($D$2:D262),$A$2:$B$1416,2,0),"")</f>
        <v>Tandridge</v>
      </c>
    </row>
    <row r="263" spans="1:4" x14ac:dyDescent="0.35">
      <c r="A263">
        <f>IF(ISNUMBER(SEARCH('PRP LA trend tool 2015-22'!$E$3,B263)),MAX($A$1:A262)+1,0)</f>
        <v>262</v>
      </c>
      <c r="B263" s="213" t="s">
        <v>609</v>
      </c>
      <c r="D263" t="str">
        <f>IFERROR(VLOOKUP(ROWS($D$2:D263),$A$2:$B$1416,2,0),"")</f>
        <v>Teignbridge</v>
      </c>
    </row>
    <row r="264" spans="1:4" x14ac:dyDescent="0.35">
      <c r="A264">
        <f>IF(ISNUMBER(SEARCH('PRP LA trend tool 2015-22'!$E$3,B264)),MAX($A$1:A263)+1,0)</f>
        <v>263</v>
      </c>
      <c r="B264" s="213" t="s">
        <v>611</v>
      </c>
      <c r="D264" t="str">
        <f>IFERROR(VLOOKUP(ROWS($D$2:D264),$A$2:$B$1416,2,0),"")</f>
        <v>Telford and Wrekin</v>
      </c>
    </row>
    <row r="265" spans="1:4" x14ac:dyDescent="0.35">
      <c r="A265">
        <f>IF(ISNUMBER(SEARCH('PRP LA trend tool 2015-22'!$E$3,B265)),MAX($A$1:A264)+1,0)</f>
        <v>264</v>
      </c>
      <c r="B265" s="213" t="s">
        <v>613</v>
      </c>
      <c r="D265" t="str">
        <f>IFERROR(VLOOKUP(ROWS($D$2:D265),$A$2:$B$1416,2,0),"")</f>
        <v>Tendring</v>
      </c>
    </row>
    <row r="266" spans="1:4" x14ac:dyDescent="0.35">
      <c r="A266">
        <f>IF(ISNUMBER(SEARCH('PRP LA trend tool 2015-22'!$E$3,B266)),MAX($A$1:A265)+1,0)</f>
        <v>265</v>
      </c>
      <c r="B266" s="213" t="s">
        <v>615</v>
      </c>
      <c r="D266" t="str">
        <f>IFERROR(VLOOKUP(ROWS($D$2:D266),$A$2:$B$1416,2,0),"")</f>
        <v>Test Valley</v>
      </c>
    </row>
    <row r="267" spans="1:4" x14ac:dyDescent="0.35">
      <c r="A267">
        <f>IF(ISNUMBER(SEARCH('PRP LA trend tool 2015-22'!$E$3,B267)),MAX($A$1:A266)+1,0)</f>
        <v>266</v>
      </c>
      <c r="B267" s="213" t="s">
        <v>617</v>
      </c>
      <c r="D267" t="str">
        <f>IFERROR(VLOOKUP(ROWS($D$2:D267),$A$2:$B$1416,2,0),"")</f>
        <v>Tewkesbury</v>
      </c>
    </row>
    <row r="268" spans="1:4" x14ac:dyDescent="0.35">
      <c r="A268">
        <f>IF(ISNUMBER(SEARCH('PRP LA trend tool 2015-22'!$E$3,B268)),MAX($A$1:A267)+1,0)</f>
        <v>267</v>
      </c>
      <c r="B268" s="213" t="s">
        <v>619</v>
      </c>
      <c r="D268" t="str">
        <f>IFERROR(VLOOKUP(ROWS($D$2:D268),$A$2:$B$1416,2,0),"")</f>
        <v>Thanet</v>
      </c>
    </row>
    <row r="269" spans="1:4" x14ac:dyDescent="0.35">
      <c r="A269">
        <f>IF(ISNUMBER(SEARCH('PRP LA trend tool 2015-22'!$E$3,B269)),MAX($A$1:A268)+1,0)</f>
        <v>268</v>
      </c>
      <c r="B269" s="213" t="s">
        <v>621</v>
      </c>
      <c r="D269" t="str">
        <f>IFERROR(VLOOKUP(ROWS($D$2:D269),$A$2:$B$1416,2,0),"")</f>
        <v>Three Rivers</v>
      </c>
    </row>
    <row r="270" spans="1:4" x14ac:dyDescent="0.35">
      <c r="A270">
        <f>IF(ISNUMBER(SEARCH('PRP LA trend tool 2015-22'!$E$3,B270)),MAX($A$1:A269)+1,0)</f>
        <v>269</v>
      </c>
      <c r="B270" s="213" t="s">
        <v>623</v>
      </c>
      <c r="D270" t="str">
        <f>IFERROR(VLOOKUP(ROWS($D$2:D270),$A$2:$B$1416,2,0),"")</f>
        <v>Thurrock</v>
      </c>
    </row>
    <row r="271" spans="1:4" x14ac:dyDescent="0.35">
      <c r="A271">
        <f>IF(ISNUMBER(SEARCH('PRP LA trend tool 2015-22'!$E$3,B271)),MAX($A$1:A270)+1,0)</f>
        <v>270</v>
      </c>
      <c r="B271" s="213" t="s">
        <v>625</v>
      </c>
      <c r="D271" t="str">
        <f>IFERROR(VLOOKUP(ROWS($D$2:D271),$A$2:$B$1416,2,0),"")</f>
        <v>Tonbridge and Malling</v>
      </c>
    </row>
    <row r="272" spans="1:4" x14ac:dyDescent="0.35">
      <c r="A272">
        <f>IF(ISNUMBER(SEARCH('PRP LA trend tool 2015-22'!$E$3,B272)),MAX($A$1:A271)+1,0)</f>
        <v>271</v>
      </c>
      <c r="B272" s="213" t="s">
        <v>627</v>
      </c>
      <c r="D272" t="str">
        <f>IFERROR(VLOOKUP(ROWS($D$2:D272),$A$2:$B$1416,2,0),"")</f>
        <v>Torbay</v>
      </c>
    </row>
    <row r="273" spans="1:4" x14ac:dyDescent="0.35">
      <c r="A273">
        <f>IF(ISNUMBER(SEARCH('PRP LA trend tool 2015-22'!$E$3,B273)),MAX($A$1:A272)+1,0)</f>
        <v>272</v>
      </c>
      <c r="B273" s="213" t="s">
        <v>629</v>
      </c>
      <c r="D273" t="str">
        <f>IFERROR(VLOOKUP(ROWS($D$2:D273),$A$2:$B$1416,2,0),"")</f>
        <v>Torridge</v>
      </c>
    </row>
    <row r="274" spans="1:4" x14ac:dyDescent="0.35">
      <c r="A274">
        <f>IF(ISNUMBER(SEARCH('PRP LA trend tool 2015-22'!$E$3,B274)),MAX($A$1:A273)+1,0)</f>
        <v>273</v>
      </c>
      <c r="B274" s="213" t="s">
        <v>631</v>
      </c>
      <c r="D274" t="str">
        <f>IFERROR(VLOOKUP(ROWS($D$2:D274),$A$2:$B$1416,2,0),"")</f>
        <v>Tower Hamlets</v>
      </c>
    </row>
    <row r="275" spans="1:4" x14ac:dyDescent="0.35">
      <c r="A275">
        <f>IF(ISNUMBER(SEARCH('PRP LA trend tool 2015-22'!$E$3,B275)),MAX($A$1:A274)+1,0)</f>
        <v>274</v>
      </c>
      <c r="B275" s="213" t="s">
        <v>633</v>
      </c>
      <c r="D275" t="str">
        <f>IFERROR(VLOOKUP(ROWS($D$2:D275),$A$2:$B$1416,2,0),"")</f>
        <v>Trafford</v>
      </c>
    </row>
    <row r="276" spans="1:4" x14ac:dyDescent="0.35">
      <c r="A276">
        <f>IF(ISNUMBER(SEARCH('PRP LA trend tool 2015-22'!$E$3,B276)),MAX($A$1:A275)+1,0)</f>
        <v>275</v>
      </c>
      <c r="B276" s="213" t="s">
        <v>635</v>
      </c>
      <c r="D276" t="str">
        <f>IFERROR(VLOOKUP(ROWS($D$2:D276),$A$2:$B$1416,2,0),"")</f>
        <v>Tunbridge Wells</v>
      </c>
    </row>
    <row r="277" spans="1:4" x14ac:dyDescent="0.35">
      <c r="A277">
        <f>IF(ISNUMBER(SEARCH('PRP LA trend tool 2015-22'!$E$3,B277)),MAX($A$1:A276)+1,0)</f>
        <v>276</v>
      </c>
      <c r="B277" s="213" t="s">
        <v>637</v>
      </c>
      <c r="D277" t="str">
        <f>IFERROR(VLOOKUP(ROWS($D$2:D277),$A$2:$B$1416,2,0),"")</f>
        <v>Uttlesford</v>
      </c>
    </row>
    <row r="278" spans="1:4" x14ac:dyDescent="0.35">
      <c r="A278">
        <f>IF(ISNUMBER(SEARCH('PRP LA trend tool 2015-22'!$E$3,B278)),MAX($A$1:A277)+1,0)</f>
        <v>277</v>
      </c>
      <c r="B278" s="213" t="s">
        <v>639</v>
      </c>
      <c r="D278" t="str">
        <f>IFERROR(VLOOKUP(ROWS($D$2:D278),$A$2:$B$1416,2,0),"")</f>
        <v>Vale of White Horse</v>
      </c>
    </row>
    <row r="279" spans="1:4" x14ac:dyDescent="0.35">
      <c r="A279">
        <f>IF(ISNUMBER(SEARCH('PRP LA trend tool 2015-22'!$E$3,B279)),MAX($A$1:A278)+1,0)</f>
        <v>278</v>
      </c>
      <c r="B279" s="213" t="s">
        <v>641</v>
      </c>
      <c r="D279" t="str">
        <f>IFERROR(VLOOKUP(ROWS($D$2:D279),$A$2:$B$1416,2,0),"")</f>
        <v>Wakefield</v>
      </c>
    </row>
    <row r="280" spans="1:4" x14ac:dyDescent="0.35">
      <c r="A280">
        <f>IF(ISNUMBER(SEARCH('PRP LA trend tool 2015-22'!$E$3,B280)),MAX($A$1:A279)+1,0)</f>
        <v>279</v>
      </c>
      <c r="B280" s="213" t="s">
        <v>643</v>
      </c>
      <c r="D280" t="str">
        <f>IFERROR(VLOOKUP(ROWS($D$2:D280),$A$2:$B$1416,2,0),"")</f>
        <v>Walsall</v>
      </c>
    </row>
    <row r="281" spans="1:4" x14ac:dyDescent="0.35">
      <c r="A281">
        <f>IF(ISNUMBER(SEARCH('PRP LA trend tool 2015-22'!$E$3,B281)),MAX($A$1:A280)+1,0)</f>
        <v>280</v>
      </c>
      <c r="B281" s="213" t="s">
        <v>645</v>
      </c>
      <c r="D281" t="str">
        <f>IFERROR(VLOOKUP(ROWS($D$2:D281),$A$2:$B$1416,2,0),"")</f>
        <v>Waltham Forest</v>
      </c>
    </row>
    <row r="282" spans="1:4" x14ac:dyDescent="0.35">
      <c r="A282">
        <f>IF(ISNUMBER(SEARCH('PRP LA trend tool 2015-22'!$E$3,B282)),MAX($A$1:A281)+1,0)</f>
        <v>281</v>
      </c>
      <c r="B282" s="213" t="s">
        <v>647</v>
      </c>
      <c r="D282" t="str">
        <f>IFERROR(VLOOKUP(ROWS($D$2:D282),$A$2:$B$1416,2,0),"")</f>
        <v>Wandsworth</v>
      </c>
    </row>
    <row r="283" spans="1:4" x14ac:dyDescent="0.35">
      <c r="A283">
        <f>IF(ISNUMBER(SEARCH('PRP LA trend tool 2015-22'!$E$3,B283)),MAX($A$1:A282)+1,0)</f>
        <v>282</v>
      </c>
      <c r="B283" s="213" t="s">
        <v>649</v>
      </c>
      <c r="D283" t="str">
        <f>IFERROR(VLOOKUP(ROWS($D$2:D283),$A$2:$B$1416,2,0),"")</f>
        <v>Warrington</v>
      </c>
    </row>
    <row r="284" spans="1:4" x14ac:dyDescent="0.35">
      <c r="A284">
        <f>IF(ISNUMBER(SEARCH('PRP LA trend tool 2015-22'!$E$3,B284)),MAX($A$1:A283)+1,0)</f>
        <v>283</v>
      </c>
      <c r="B284" s="213" t="s">
        <v>651</v>
      </c>
      <c r="D284" t="str">
        <f>IFERROR(VLOOKUP(ROWS($D$2:D284),$A$2:$B$1416,2,0),"")</f>
        <v>Warwick</v>
      </c>
    </row>
    <row r="285" spans="1:4" x14ac:dyDescent="0.35">
      <c r="A285">
        <f>IF(ISNUMBER(SEARCH('PRP LA trend tool 2015-22'!$E$3,B285)),MAX($A$1:A284)+1,0)</f>
        <v>284</v>
      </c>
      <c r="B285" s="213" t="s">
        <v>653</v>
      </c>
      <c r="D285" t="str">
        <f>IFERROR(VLOOKUP(ROWS($D$2:D285),$A$2:$B$1416,2,0),"")</f>
        <v>Watford</v>
      </c>
    </row>
    <row r="286" spans="1:4" x14ac:dyDescent="0.35">
      <c r="A286">
        <f>IF(ISNUMBER(SEARCH('PRP LA trend tool 2015-22'!$E$3,B286)),MAX($A$1:A285)+1,0)</f>
        <v>285</v>
      </c>
      <c r="B286" s="213" t="s">
        <v>655</v>
      </c>
      <c r="D286" t="str">
        <f>IFERROR(VLOOKUP(ROWS($D$2:D286),$A$2:$B$1416,2,0),"")</f>
        <v>Waverley</v>
      </c>
    </row>
    <row r="287" spans="1:4" x14ac:dyDescent="0.35">
      <c r="A287">
        <f>IF(ISNUMBER(SEARCH('PRP LA trend tool 2015-22'!$E$3,B287)),MAX($A$1:A286)+1,0)</f>
        <v>286</v>
      </c>
      <c r="B287" s="213" t="s">
        <v>657</v>
      </c>
      <c r="D287" t="str">
        <f>IFERROR(VLOOKUP(ROWS($D$2:D287),$A$2:$B$1416,2,0),"")</f>
        <v>Wealden</v>
      </c>
    </row>
    <row r="288" spans="1:4" x14ac:dyDescent="0.35">
      <c r="A288">
        <f>IF(ISNUMBER(SEARCH('PRP LA trend tool 2015-22'!$E$3,B288)),MAX($A$1:A287)+1,0)</f>
        <v>287</v>
      </c>
      <c r="B288" s="213" t="s">
        <v>659</v>
      </c>
      <c r="D288" t="str">
        <f>IFERROR(VLOOKUP(ROWS($D$2:D288),$A$2:$B$1416,2,0),"")</f>
        <v>Welwyn Hatfield</v>
      </c>
    </row>
    <row r="289" spans="1:4" x14ac:dyDescent="0.35">
      <c r="A289">
        <f>IF(ISNUMBER(SEARCH('PRP LA trend tool 2015-22'!$E$3,B289)),MAX($A$1:A288)+1,0)</f>
        <v>288</v>
      </c>
      <c r="B289" s="213" t="s">
        <v>661</v>
      </c>
      <c r="D289" t="str">
        <f>IFERROR(VLOOKUP(ROWS($D$2:D289),$A$2:$B$1416,2,0),"")</f>
        <v>West Berkshire</v>
      </c>
    </row>
    <row r="290" spans="1:4" x14ac:dyDescent="0.35">
      <c r="A290">
        <f>IF(ISNUMBER(SEARCH('PRP LA trend tool 2015-22'!$E$3,B290)),MAX($A$1:A289)+1,0)</f>
        <v>289</v>
      </c>
      <c r="B290" s="213" t="s">
        <v>663</v>
      </c>
      <c r="D290" t="str">
        <f>IFERROR(VLOOKUP(ROWS($D$2:D290),$A$2:$B$1416,2,0),"")</f>
        <v>West Devon</v>
      </c>
    </row>
    <row r="291" spans="1:4" x14ac:dyDescent="0.35">
      <c r="A291">
        <f>IF(ISNUMBER(SEARCH('PRP LA trend tool 2015-22'!$E$3,B291)),MAX($A$1:A290)+1,0)</f>
        <v>290</v>
      </c>
      <c r="B291" s="213" t="s">
        <v>665</v>
      </c>
      <c r="D291" t="str">
        <f>IFERROR(VLOOKUP(ROWS($D$2:D291),$A$2:$B$1416,2,0),"")</f>
        <v>West Lancashire</v>
      </c>
    </row>
    <row r="292" spans="1:4" x14ac:dyDescent="0.35">
      <c r="A292">
        <f>IF(ISNUMBER(SEARCH('PRP LA trend tool 2015-22'!$E$3,B292)),MAX($A$1:A291)+1,0)</f>
        <v>291</v>
      </c>
      <c r="B292" s="213" t="s">
        <v>667</v>
      </c>
      <c r="D292" t="str">
        <f>IFERROR(VLOOKUP(ROWS($D$2:D292),$A$2:$B$1416,2,0),"")</f>
        <v>West Lindsey</v>
      </c>
    </row>
    <row r="293" spans="1:4" x14ac:dyDescent="0.35">
      <c r="A293">
        <f>IF(ISNUMBER(SEARCH('PRP LA trend tool 2015-22'!$E$3,B293)),MAX($A$1:A292)+1,0)</f>
        <v>292</v>
      </c>
      <c r="B293" s="213" t="s">
        <v>813</v>
      </c>
      <c r="D293" t="str">
        <f>IFERROR(VLOOKUP(ROWS($D$2:D293),$A$2:$B$1416,2,0),"")</f>
        <v>West Northamptonshire</v>
      </c>
    </row>
    <row r="294" spans="1:4" x14ac:dyDescent="0.35">
      <c r="A294">
        <f>IF(ISNUMBER(SEARCH('PRP LA trend tool 2015-22'!$E$3,B294)),MAX($A$1:A293)+1,0)</f>
        <v>293</v>
      </c>
      <c r="B294" s="213" t="s">
        <v>669</v>
      </c>
      <c r="D294" t="str">
        <f>IFERROR(VLOOKUP(ROWS($D$2:D294),$A$2:$B$1416,2,0),"")</f>
        <v>West Oxfordshire</v>
      </c>
    </row>
    <row r="295" spans="1:4" x14ac:dyDescent="0.35">
      <c r="A295">
        <f>IF(ISNUMBER(SEARCH('PRP LA trend tool 2015-22'!$E$3,B295)),MAX($A$1:A294)+1,0)</f>
        <v>294</v>
      </c>
      <c r="B295" s="213" t="s">
        <v>671</v>
      </c>
      <c r="D295" t="str">
        <f>IFERROR(VLOOKUP(ROWS($D$2:D295),$A$2:$B$1416,2,0),"")</f>
        <v>West Suffolk</v>
      </c>
    </row>
    <row r="296" spans="1:4" x14ac:dyDescent="0.35">
      <c r="A296">
        <f>IF(ISNUMBER(SEARCH('PRP LA trend tool 2015-22'!$E$3,B296)),MAX($A$1:A295)+1,0)</f>
        <v>295</v>
      </c>
      <c r="B296" s="213" t="s">
        <v>673</v>
      </c>
      <c r="D296" t="str">
        <f>IFERROR(VLOOKUP(ROWS($D$2:D296),$A$2:$B$1416,2,0),"")</f>
        <v>Westminster</v>
      </c>
    </row>
    <row r="297" spans="1:4" x14ac:dyDescent="0.35">
      <c r="A297">
        <f>IF(ISNUMBER(SEARCH('PRP LA trend tool 2015-22'!$E$3,B297)),MAX($A$1:A296)+1,0)</f>
        <v>296</v>
      </c>
      <c r="B297" s="213" t="s">
        <v>675</v>
      </c>
      <c r="D297" t="str">
        <f>IFERROR(VLOOKUP(ROWS($D$2:D297),$A$2:$B$1416,2,0),"")</f>
        <v>Wigan</v>
      </c>
    </row>
    <row r="298" spans="1:4" x14ac:dyDescent="0.35">
      <c r="A298">
        <f>IF(ISNUMBER(SEARCH('PRP LA trend tool 2015-22'!$E$3,B298)),MAX($A$1:A297)+1,0)</f>
        <v>297</v>
      </c>
      <c r="B298" s="213" t="s">
        <v>677</v>
      </c>
      <c r="D298" t="str">
        <f>IFERROR(VLOOKUP(ROWS($D$2:D298),$A$2:$B$1416,2,0),"")</f>
        <v>Wiltshire</v>
      </c>
    </row>
    <row r="299" spans="1:4" x14ac:dyDescent="0.35">
      <c r="A299">
        <f>IF(ISNUMBER(SEARCH('PRP LA trend tool 2015-22'!$E$3,B299)),MAX($A$1:A298)+1,0)</f>
        <v>298</v>
      </c>
      <c r="B299" s="213" t="s">
        <v>679</v>
      </c>
      <c r="D299" t="str">
        <f>IFERROR(VLOOKUP(ROWS($D$2:D299),$A$2:$B$1416,2,0),"")</f>
        <v>Winchester</v>
      </c>
    </row>
    <row r="300" spans="1:4" x14ac:dyDescent="0.35">
      <c r="A300">
        <f>IF(ISNUMBER(SEARCH('PRP LA trend tool 2015-22'!$E$3,B300)),MAX($A$1:A299)+1,0)</f>
        <v>299</v>
      </c>
      <c r="B300" s="213" t="s">
        <v>681</v>
      </c>
      <c r="D300" t="str">
        <f>IFERROR(VLOOKUP(ROWS($D$2:D300),$A$2:$B$1416,2,0),"")</f>
        <v>Windsor and Maidenhead</v>
      </c>
    </row>
    <row r="301" spans="1:4" x14ac:dyDescent="0.35">
      <c r="A301">
        <f>IF(ISNUMBER(SEARCH('PRP LA trend tool 2015-22'!$E$3,B301)),MAX($A$1:A300)+1,0)</f>
        <v>300</v>
      </c>
      <c r="B301" s="213" t="s">
        <v>683</v>
      </c>
      <c r="D301" t="str">
        <f>IFERROR(VLOOKUP(ROWS($D$2:D301),$A$2:$B$1416,2,0),"")</f>
        <v>Wirral</v>
      </c>
    </row>
    <row r="302" spans="1:4" x14ac:dyDescent="0.35">
      <c r="A302">
        <f>IF(ISNUMBER(SEARCH('PRP LA trend tool 2015-22'!$E$3,B302)),MAX($A$1:A301)+1,0)</f>
        <v>301</v>
      </c>
      <c r="B302" s="213" t="s">
        <v>685</v>
      </c>
      <c r="D302" t="str">
        <f>IFERROR(VLOOKUP(ROWS($D$2:D302),$A$2:$B$1416,2,0),"")</f>
        <v>Woking</v>
      </c>
    </row>
    <row r="303" spans="1:4" x14ac:dyDescent="0.35">
      <c r="A303">
        <f>IF(ISNUMBER(SEARCH('PRP LA trend tool 2015-22'!$E$3,B303)),MAX($A$1:A302)+1,0)</f>
        <v>302</v>
      </c>
      <c r="B303" s="213" t="s">
        <v>687</v>
      </c>
      <c r="D303" t="str">
        <f>IFERROR(VLOOKUP(ROWS($D$2:D303),$A$2:$B$1416,2,0),"")</f>
        <v>Wokingham</v>
      </c>
    </row>
    <row r="304" spans="1:4" x14ac:dyDescent="0.35">
      <c r="A304">
        <f>IF(ISNUMBER(SEARCH('PRP LA trend tool 2015-22'!$E$3,B304)),MAX($A$1:A303)+1,0)</f>
        <v>303</v>
      </c>
      <c r="B304" s="213" t="s">
        <v>689</v>
      </c>
      <c r="D304" t="str">
        <f>IFERROR(VLOOKUP(ROWS($D$2:D304),$A$2:$B$1416,2,0),"")</f>
        <v>Wolverhampton</v>
      </c>
    </row>
    <row r="305" spans="1:4" x14ac:dyDescent="0.35">
      <c r="A305">
        <f>IF(ISNUMBER(SEARCH('PRP LA trend tool 2015-22'!$E$3,B305)),MAX($A$1:A304)+1,0)</f>
        <v>304</v>
      </c>
      <c r="B305" s="213" t="s">
        <v>691</v>
      </c>
      <c r="D305" t="str">
        <f>IFERROR(VLOOKUP(ROWS($D$2:D305),$A$2:$B$1416,2,0),"")</f>
        <v>Worcester</v>
      </c>
    </row>
    <row r="306" spans="1:4" x14ac:dyDescent="0.35">
      <c r="A306">
        <f>IF(ISNUMBER(SEARCH('PRP LA trend tool 2015-22'!$E$3,B306)),MAX($A$1:A305)+1,0)</f>
        <v>305</v>
      </c>
      <c r="B306" s="213" t="s">
        <v>693</v>
      </c>
      <c r="D306" t="str">
        <f>IFERROR(VLOOKUP(ROWS($D$2:D306),$A$2:$B$1416,2,0),"")</f>
        <v>Worthing</v>
      </c>
    </row>
    <row r="307" spans="1:4" x14ac:dyDescent="0.35">
      <c r="A307">
        <f>IF(ISNUMBER(SEARCH('PRP LA trend tool 2015-22'!$E$3,B307)),MAX($A$1:A306)+1,0)</f>
        <v>306</v>
      </c>
      <c r="B307" s="213" t="s">
        <v>695</v>
      </c>
      <c r="D307" t="str">
        <f>IFERROR(VLOOKUP(ROWS($D$2:D307),$A$2:$B$1416,2,0),"")</f>
        <v>Wychavon</v>
      </c>
    </row>
    <row r="308" spans="1:4" x14ac:dyDescent="0.35">
      <c r="A308">
        <f>IF(ISNUMBER(SEARCH('PRP LA trend tool 2015-22'!$E$3,B308)),MAX($A$1:A307)+1,0)</f>
        <v>307</v>
      </c>
      <c r="B308" s="213" t="s">
        <v>697</v>
      </c>
      <c r="D308" t="str">
        <f>IFERROR(VLOOKUP(ROWS($D$2:D308),$A$2:$B$1416,2,0),"")</f>
        <v>Wyre</v>
      </c>
    </row>
    <row r="309" spans="1:4" x14ac:dyDescent="0.35">
      <c r="A309">
        <f>IF(ISNUMBER(SEARCH('PRP LA trend tool 2015-22'!$E$3,B309)),MAX($A$1:A308)+1,0)</f>
        <v>308</v>
      </c>
      <c r="B309" s="213" t="s">
        <v>699</v>
      </c>
      <c r="D309" t="str">
        <f>IFERROR(VLOOKUP(ROWS($D$2:D309),$A$2:$B$1416,2,0),"")</f>
        <v>Wyre Forest</v>
      </c>
    </row>
    <row r="310" spans="1:4" x14ac:dyDescent="0.35">
      <c r="A310">
        <f>IF(ISNUMBER(SEARCH('PRP LA trend tool 2015-22'!$E$3,B310)),MAX($A$1:A309)+1,0)</f>
        <v>309</v>
      </c>
      <c r="B310" s="213" t="s">
        <v>701</v>
      </c>
      <c r="D310" t="str">
        <f>IFERROR(VLOOKUP(ROWS($D$2:D310),$A$2:$B$1416,2,0),"")</f>
        <v>York</v>
      </c>
    </row>
  </sheetData>
  <pageMargins left="0.7" right="0.7" top="0.75" bottom="0.75" header="0.3" footer="0.3"/>
  <pageSetup paperSize="9" orientation="portrait" r:id="rId1"/>
  <headerFooter>
    <oddFooter>&amp;C&amp;1#&amp;"Calibri"&amp;12&amp;K0078D7OFFICIAL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D9C48-35FA-431D-9C0D-86AFC225CC93}">
  <sheetPr codeName="Sheet9">
    <tabColor rgb="FF59468D"/>
  </sheetPr>
  <dimension ref="A1:D73"/>
  <sheetViews>
    <sheetView zoomScaleNormal="100" workbookViewId="0">
      <selection activeCell="B8" sqref="B8"/>
    </sheetView>
  </sheetViews>
  <sheetFormatPr defaultColWidth="0" defaultRowHeight="12.75" customHeight="1" zeroHeight="1" x14ac:dyDescent="0.35"/>
  <cols>
    <col min="1" max="1" width="9.1796875" style="196" customWidth="1"/>
    <col min="2" max="2" width="124.7265625" style="196" customWidth="1"/>
    <col min="3" max="3" width="12.1796875" style="196" customWidth="1"/>
    <col min="4" max="4" width="4.26953125" style="196" customWidth="1"/>
    <col min="5" max="16384" width="9.1796875" style="213" hidden="1"/>
  </cols>
  <sheetData>
    <row r="1" spans="1:3" ht="23.25" customHeight="1" x14ac:dyDescent="0.35"/>
    <row r="2" spans="1:3" ht="23.25" customHeight="1" x14ac:dyDescent="0.6">
      <c r="C2" s="295" t="s">
        <v>799</v>
      </c>
    </row>
    <row r="3" spans="1:3" ht="23.25" customHeight="1" x14ac:dyDescent="0.5">
      <c r="A3" s="296"/>
    </row>
    <row r="4" spans="1:3" ht="23.25" customHeight="1" x14ac:dyDescent="0.5">
      <c r="A4" s="296"/>
    </row>
    <row r="5" spans="1:3" ht="23.25" customHeight="1" x14ac:dyDescent="0.35"/>
    <row r="6" spans="1:3" ht="23" x14ac:dyDescent="0.5">
      <c r="B6" s="297" t="s">
        <v>723</v>
      </c>
    </row>
    <row r="7" spans="1:3" ht="23" x14ac:dyDescent="0.5">
      <c r="B7" s="297"/>
    </row>
    <row r="8" spans="1:3" ht="62" x14ac:dyDescent="0.35">
      <c r="B8" s="298" t="s">
        <v>806</v>
      </c>
    </row>
    <row r="9" spans="1:3" ht="14.5" x14ac:dyDescent="0.35">
      <c r="B9" s="299"/>
    </row>
    <row r="10" spans="1:3" ht="14.5" x14ac:dyDescent="0.35">
      <c r="B10" s="299"/>
    </row>
    <row r="11" spans="1:3" ht="15.5" x14ac:dyDescent="0.35">
      <c r="B11" s="300" t="s">
        <v>735</v>
      </c>
    </row>
    <row r="12" spans="1:3" ht="79.5" customHeight="1" x14ac:dyDescent="0.35">
      <c r="B12" s="301" t="s">
        <v>736</v>
      </c>
    </row>
    <row r="13" spans="1:3" ht="15.5" x14ac:dyDescent="0.35">
      <c r="B13" s="301"/>
    </row>
    <row r="14" spans="1:3" ht="15.5" x14ac:dyDescent="0.35">
      <c r="B14" s="300" t="s">
        <v>783</v>
      </c>
    </row>
    <row r="15" spans="1:3" ht="15.5" x14ac:dyDescent="0.35">
      <c r="B15" s="301" t="s">
        <v>784</v>
      </c>
    </row>
    <row r="16" spans="1:3" ht="15.5" x14ac:dyDescent="0.35">
      <c r="B16" s="301"/>
    </row>
    <row r="17" spans="2:2" ht="15.5" x14ac:dyDescent="0.35">
      <c r="B17" s="300" t="s">
        <v>788</v>
      </c>
    </row>
    <row r="18" spans="2:2" ht="31" x14ac:dyDescent="0.35">
      <c r="B18" s="301" t="s">
        <v>787</v>
      </c>
    </row>
    <row r="19" spans="2:2" ht="15.5" x14ac:dyDescent="0.35">
      <c r="B19" s="301"/>
    </row>
    <row r="20" spans="2:2" ht="15.5" x14ac:dyDescent="0.35">
      <c r="B20" s="300" t="s">
        <v>737</v>
      </c>
    </row>
    <row r="21" spans="2:2" ht="31" customHeight="1" x14ac:dyDescent="0.35">
      <c r="B21" s="301" t="s">
        <v>738</v>
      </c>
    </row>
    <row r="22" spans="2:2" ht="15.5" x14ac:dyDescent="0.35">
      <c r="B22" s="301"/>
    </row>
    <row r="23" spans="2:2" ht="15.5" x14ac:dyDescent="0.35">
      <c r="B23" s="300" t="s">
        <v>26</v>
      </c>
    </row>
    <row r="24" spans="2:2" ht="15.5" x14ac:dyDescent="0.35">
      <c r="B24" s="301" t="s">
        <v>739</v>
      </c>
    </row>
    <row r="25" spans="2:2" ht="15.5" x14ac:dyDescent="0.35">
      <c r="B25" s="301"/>
    </row>
    <row r="26" spans="2:2" ht="15.5" x14ac:dyDescent="0.35">
      <c r="B26" s="300" t="s">
        <v>740</v>
      </c>
    </row>
    <row r="27" spans="2:2" ht="15.5" x14ac:dyDescent="0.35">
      <c r="B27" s="301" t="s">
        <v>785</v>
      </c>
    </row>
    <row r="28" spans="2:2" ht="15.5" x14ac:dyDescent="0.35">
      <c r="B28" s="301"/>
    </row>
    <row r="29" spans="2:2" ht="15.5" x14ac:dyDescent="0.35">
      <c r="B29" s="300" t="s">
        <v>741</v>
      </c>
    </row>
    <row r="30" spans="2:2" ht="31" x14ac:dyDescent="0.35">
      <c r="B30" s="301" t="s">
        <v>742</v>
      </c>
    </row>
    <row r="31" spans="2:2" ht="15.5" x14ac:dyDescent="0.35">
      <c r="B31" s="301"/>
    </row>
    <row r="32" spans="2:2" ht="15.5" x14ac:dyDescent="0.35">
      <c r="B32" s="300" t="s">
        <v>743</v>
      </c>
    </row>
    <row r="33" spans="2:2" ht="62" x14ac:dyDescent="0.35">
      <c r="B33" s="301" t="s">
        <v>794</v>
      </c>
    </row>
    <row r="34" spans="2:2" ht="15.5" x14ac:dyDescent="0.35">
      <c r="B34" s="301"/>
    </row>
    <row r="35" spans="2:2" ht="15.5" x14ac:dyDescent="0.35">
      <c r="B35" s="300" t="s">
        <v>13</v>
      </c>
    </row>
    <row r="36" spans="2:2" ht="46.5" x14ac:dyDescent="0.35">
      <c r="B36" s="301" t="s">
        <v>744</v>
      </c>
    </row>
    <row r="37" spans="2:2" ht="62" x14ac:dyDescent="0.35">
      <c r="B37" s="301" t="s">
        <v>745</v>
      </c>
    </row>
    <row r="38" spans="2:2" ht="31" x14ac:dyDescent="0.35">
      <c r="B38" s="301" t="s">
        <v>746</v>
      </c>
    </row>
    <row r="39" spans="2:2" ht="15.5" x14ac:dyDescent="0.35">
      <c r="B39" s="301"/>
    </row>
    <row r="40" spans="2:2" ht="15.5" x14ac:dyDescent="0.35">
      <c r="B40" s="300" t="s">
        <v>7</v>
      </c>
    </row>
    <row r="41" spans="2:2" ht="62" x14ac:dyDescent="0.35">
      <c r="B41" s="301" t="s">
        <v>747</v>
      </c>
    </row>
    <row r="42" spans="2:2" ht="15.5" x14ac:dyDescent="0.35">
      <c r="B42" s="301"/>
    </row>
    <row r="43" spans="2:2" ht="15.5" x14ac:dyDescent="0.35">
      <c r="B43" s="300" t="s">
        <v>20</v>
      </c>
    </row>
    <row r="44" spans="2:2" ht="15.5" x14ac:dyDescent="0.35">
      <c r="B44" s="301" t="s">
        <v>748</v>
      </c>
    </row>
    <row r="45" spans="2:2" ht="15.5" x14ac:dyDescent="0.35">
      <c r="B45" s="301"/>
    </row>
    <row r="46" spans="2:2" ht="15.5" x14ac:dyDescent="0.35">
      <c r="B46" s="300" t="s">
        <v>749</v>
      </c>
    </row>
    <row r="47" spans="2:2" ht="46.5" x14ac:dyDescent="0.35">
      <c r="B47" s="301" t="s">
        <v>750</v>
      </c>
    </row>
    <row r="48" spans="2:2" ht="15.5" x14ac:dyDescent="0.35">
      <c r="B48" s="301"/>
    </row>
    <row r="49" spans="2:2" ht="15.5" x14ac:dyDescent="0.35">
      <c r="B49" s="300" t="s">
        <v>751</v>
      </c>
    </row>
    <row r="50" spans="2:2" ht="31" x14ac:dyDescent="0.35">
      <c r="B50" s="301" t="s">
        <v>752</v>
      </c>
    </row>
    <row r="51" spans="2:2" ht="15.5" x14ac:dyDescent="0.35">
      <c r="B51" s="301"/>
    </row>
    <row r="52" spans="2:2" ht="15.5" x14ac:dyDescent="0.35">
      <c r="B52" s="300" t="s">
        <v>753</v>
      </c>
    </row>
    <row r="53" spans="2:2" ht="31" x14ac:dyDescent="0.35">
      <c r="B53" s="301" t="s">
        <v>791</v>
      </c>
    </row>
    <row r="54" spans="2:2" ht="15.5" x14ac:dyDescent="0.35">
      <c r="B54" s="301"/>
    </row>
    <row r="55" spans="2:2" ht="15.5" x14ac:dyDescent="0.35">
      <c r="B55" s="300" t="s">
        <v>754</v>
      </c>
    </row>
    <row r="56" spans="2:2" ht="77.5" x14ac:dyDescent="0.35">
      <c r="B56" s="301" t="s">
        <v>755</v>
      </c>
    </row>
    <row r="57" spans="2:2" ht="15.5" x14ac:dyDescent="0.35">
      <c r="B57" s="301"/>
    </row>
    <row r="58" spans="2:2" ht="15.5" x14ac:dyDescent="0.35">
      <c r="B58" s="300" t="s">
        <v>756</v>
      </c>
    </row>
    <row r="59" spans="2:2" ht="60.75" customHeight="1" x14ac:dyDescent="0.35">
      <c r="B59" s="301" t="s">
        <v>757</v>
      </c>
    </row>
    <row r="60" spans="2:2" ht="15.5" x14ac:dyDescent="0.35">
      <c r="B60" s="301"/>
    </row>
    <row r="61" spans="2:2" ht="15.5" x14ac:dyDescent="0.35">
      <c r="B61" s="300" t="s">
        <v>758</v>
      </c>
    </row>
    <row r="62" spans="2:2" ht="15.5" x14ac:dyDescent="0.35">
      <c r="B62" s="301" t="s">
        <v>759</v>
      </c>
    </row>
    <row r="63" spans="2:2" ht="15.5" x14ac:dyDescent="0.35">
      <c r="B63" s="301"/>
    </row>
    <row r="64" spans="2:2" ht="15.5" x14ac:dyDescent="0.35">
      <c r="B64" s="300" t="s">
        <v>760</v>
      </c>
    </row>
    <row r="65" spans="2:2" ht="31" x14ac:dyDescent="0.35">
      <c r="B65" s="301" t="s">
        <v>761</v>
      </c>
    </row>
    <row r="66" spans="2:2" ht="15.5" x14ac:dyDescent="0.35">
      <c r="B66" s="301"/>
    </row>
    <row r="67" spans="2:2" ht="15.5" x14ac:dyDescent="0.35">
      <c r="B67" s="300" t="s">
        <v>762</v>
      </c>
    </row>
    <row r="68" spans="2:2" ht="46.5" x14ac:dyDescent="0.35">
      <c r="B68" s="301" t="s">
        <v>763</v>
      </c>
    </row>
    <row r="69" spans="2:2" ht="15.5" x14ac:dyDescent="0.35">
      <c r="B69" s="301"/>
    </row>
    <row r="70" spans="2:2" ht="15.5" x14ac:dyDescent="0.35">
      <c r="B70" s="300" t="s">
        <v>11</v>
      </c>
    </row>
    <row r="71" spans="2:2" ht="34.5" customHeight="1" x14ac:dyDescent="0.35">
      <c r="B71" s="301" t="s">
        <v>786</v>
      </c>
    </row>
    <row r="72" spans="2:2" ht="15.5" x14ac:dyDescent="0.35">
      <c r="B72" s="301"/>
    </row>
    <row r="73" spans="2:2" ht="14.5" hidden="1" x14ac:dyDescent="0.35"/>
  </sheetData>
  <sheetProtection algorithmName="SHA-512" hashValue="STtQ4Vo0eVhs9g05Imm6NmOx/B7gHCXuPuYNHv3aP687N30Za13pKzvZhgVnVwwmcNzzv9LniVaCUOtL6266Zg==" saltValue="+7sDCG781qcbxE5jONc9Cg==" spinCount="100000" sheet="1" formatColumns="0" formatRows="0"/>
  <hyperlinks>
    <hyperlink ref="B33" r:id="rId1" display="https://www.london.gov.uk/what-we-do/housing-and-land/homes-londoners-affordable-homes-programmes/homes-londoners-affordable-homes-programme-2016-2023" xr:uid="{D292F584-AD15-4C72-9699-093481857E1B}"/>
  </hyperlinks>
  <pageMargins left="0.70866141732283472" right="0.70866141732283472" top="0.74803149606299213" bottom="0.74803149606299213" header="0.31496062992125984" footer="0.31496062992125984"/>
  <pageSetup paperSize="9" scale="59" fitToHeight="2" orientation="portrait" r:id="rId2"/>
  <headerFooter>
    <oddFooter>&amp;C&amp;1#&amp;"Calibri"&amp;12&amp;K0078D7OFFICIAL</oddFooter>
  </headerFooter>
  <rowBreaks count="1" manualBreakCount="1">
    <brk id="51"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970D8-B3EA-4CBA-AEBC-AFC4A0313915}">
  <sheetPr codeName="Sheet10">
    <tabColor rgb="FF59468D"/>
    <pageSetUpPr fitToPage="1"/>
  </sheetPr>
  <dimension ref="A1:V28"/>
  <sheetViews>
    <sheetView workbookViewId="0">
      <selection activeCell="C8" sqref="C8"/>
    </sheetView>
  </sheetViews>
  <sheetFormatPr defaultColWidth="0" defaultRowHeight="14.5" x14ac:dyDescent="0.35"/>
  <cols>
    <col min="1" max="1" width="1.54296875" style="196" customWidth="1"/>
    <col min="2" max="2" width="11" style="316" customWidth="1"/>
    <col min="3" max="3" width="24.54296875" style="313" customWidth="1"/>
    <col min="4" max="4" width="113.81640625" style="313" customWidth="1"/>
    <col min="5" max="5" width="4.54296875" style="313" customWidth="1"/>
    <col min="6" max="22" width="0" style="313" hidden="1" customWidth="1"/>
    <col min="23" max="16384" width="9.1796875" style="313" hidden="1"/>
  </cols>
  <sheetData>
    <row r="1" spans="1:21" s="302" customFormat="1" ht="23" x14ac:dyDescent="0.5">
      <c r="B1" s="421"/>
      <c r="C1" s="421"/>
      <c r="D1" s="421"/>
      <c r="E1" s="303"/>
      <c r="F1" s="303"/>
      <c r="G1" s="303"/>
      <c r="H1" s="303"/>
      <c r="I1" s="303"/>
      <c r="J1" s="303"/>
      <c r="K1" s="303"/>
      <c r="L1" s="303"/>
      <c r="M1" s="303"/>
      <c r="N1" s="303"/>
      <c r="O1" s="303"/>
      <c r="P1" s="303"/>
      <c r="Q1" s="303"/>
      <c r="R1" s="303"/>
      <c r="S1" s="303"/>
      <c r="T1" s="303"/>
    </row>
    <row r="2" spans="1:21" s="302" customFormat="1" ht="30" x14ac:dyDescent="0.6">
      <c r="B2" s="304"/>
      <c r="C2" s="304"/>
      <c r="D2" s="295" t="s">
        <v>799</v>
      </c>
      <c r="E2" s="196"/>
      <c r="F2" s="196"/>
      <c r="G2" s="196"/>
      <c r="H2" s="196"/>
      <c r="I2" s="196"/>
      <c r="J2" s="196"/>
      <c r="K2" s="196"/>
      <c r="L2" s="196"/>
      <c r="M2" s="196"/>
      <c r="N2" s="196"/>
      <c r="O2" s="196"/>
      <c r="P2" s="196"/>
      <c r="Q2" s="196"/>
      <c r="R2" s="196"/>
      <c r="S2" s="196"/>
      <c r="T2" s="196"/>
    </row>
    <row r="3" spans="1:21" s="302" customFormat="1" ht="30" x14ac:dyDescent="0.6">
      <c r="B3" s="304"/>
      <c r="C3" s="304"/>
      <c r="D3" s="295"/>
      <c r="E3" s="196"/>
      <c r="F3" s="196"/>
      <c r="G3" s="196"/>
      <c r="H3" s="196"/>
      <c r="I3" s="196"/>
      <c r="J3" s="196"/>
      <c r="K3" s="196"/>
      <c r="L3" s="196"/>
      <c r="M3" s="196"/>
      <c r="N3" s="196"/>
      <c r="O3" s="196"/>
      <c r="P3" s="196"/>
      <c r="Q3" s="196"/>
      <c r="R3" s="196"/>
      <c r="S3" s="196"/>
      <c r="T3" s="196"/>
    </row>
    <row r="4" spans="1:21" s="302" customFormat="1" ht="23" x14ac:dyDescent="0.5">
      <c r="B4" s="304"/>
      <c r="C4" s="304"/>
      <c r="D4" s="304"/>
      <c r="E4" s="196"/>
      <c r="F4" s="196"/>
      <c r="G4" s="196"/>
      <c r="H4" s="196"/>
      <c r="I4" s="196"/>
      <c r="J4" s="196"/>
      <c r="K4" s="196"/>
      <c r="L4" s="196"/>
      <c r="M4" s="196"/>
      <c r="N4" s="196"/>
      <c r="O4" s="196"/>
      <c r="P4" s="196"/>
      <c r="Q4" s="196"/>
      <c r="R4" s="196"/>
      <c r="S4" s="196"/>
      <c r="T4" s="196"/>
    </row>
    <row r="5" spans="1:21" s="302" customFormat="1" ht="23" x14ac:dyDescent="0.5">
      <c r="B5" s="304"/>
      <c r="C5" s="304"/>
      <c r="D5" s="304"/>
      <c r="E5" s="196"/>
      <c r="F5" s="196"/>
      <c r="G5" s="196"/>
      <c r="H5" s="196"/>
      <c r="I5" s="196"/>
      <c r="J5" s="196"/>
      <c r="K5" s="196"/>
      <c r="L5" s="196"/>
      <c r="M5" s="196"/>
      <c r="N5" s="196"/>
      <c r="O5" s="196"/>
      <c r="P5" s="196"/>
      <c r="Q5" s="196"/>
      <c r="R5" s="196"/>
      <c r="S5" s="196"/>
      <c r="T5" s="196"/>
    </row>
    <row r="6" spans="1:21" s="305" customFormat="1" ht="15.5" x14ac:dyDescent="0.35">
      <c r="B6" s="306"/>
      <c r="C6" s="307"/>
      <c r="D6" s="307"/>
      <c r="E6" s="308"/>
      <c r="F6" s="308"/>
      <c r="G6" s="308"/>
      <c r="H6" s="308"/>
      <c r="I6" s="309"/>
      <c r="J6" s="309"/>
      <c r="K6" s="310"/>
      <c r="L6" s="308"/>
      <c r="M6" s="308"/>
      <c r="N6" s="309"/>
      <c r="O6" s="310"/>
      <c r="P6" s="308"/>
      <c r="Q6" s="309"/>
      <c r="R6" s="310"/>
      <c r="S6" s="308"/>
      <c r="T6" s="311"/>
      <c r="U6" s="312"/>
    </row>
    <row r="7" spans="1:21" ht="15.5" x14ac:dyDescent="0.35">
      <c r="A7" s="360"/>
      <c r="B7" s="361" t="s">
        <v>764</v>
      </c>
      <c r="C7" s="314" t="s">
        <v>765</v>
      </c>
      <c r="D7" s="315" t="s">
        <v>766</v>
      </c>
      <c r="E7" s="316"/>
    </row>
    <row r="8" spans="1:21" ht="15.5" x14ac:dyDescent="0.35">
      <c r="A8" s="313"/>
      <c r="B8" s="317">
        <v>1</v>
      </c>
      <c r="C8" s="318" t="s">
        <v>807</v>
      </c>
      <c r="D8" s="319" t="s">
        <v>767</v>
      </c>
      <c r="E8" s="316"/>
    </row>
    <row r="9" spans="1:21" ht="15.5" x14ac:dyDescent="0.35">
      <c r="A9" s="313"/>
      <c r="B9" s="320"/>
      <c r="C9" s="318"/>
      <c r="D9" s="319"/>
      <c r="E9" s="316"/>
    </row>
    <row r="10" spans="1:21" ht="15.5" x14ac:dyDescent="0.35">
      <c r="A10" s="313"/>
      <c r="B10" s="320"/>
      <c r="C10" s="321"/>
      <c r="D10" s="322"/>
      <c r="E10" s="316"/>
    </row>
    <row r="11" spans="1:21" ht="15.5" x14ac:dyDescent="0.35">
      <c r="A11" s="313"/>
      <c r="B11" s="320"/>
      <c r="C11" s="323"/>
      <c r="D11" s="324"/>
      <c r="E11" s="316"/>
    </row>
    <row r="12" spans="1:21" ht="15.5" x14ac:dyDescent="0.35">
      <c r="A12" s="313"/>
      <c r="B12" s="325"/>
      <c r="C12" s="326"/>
      <c r="D12" s="327"/>
      <c r="E12" s="316"/>
    </row>
    <row r="13" spans="1:21" ht="15.5" x14ac:dyDescent="0.35">
      <c r="A13" s="313"/>
      <c r="B13" s="328"/>
      <c r="C13" s="326"/>
      <c r="D13" s="324"/>
      <c r="E13" s="316"/>
    </row>
    <row r="14" spans="1:21" ht="15.5" x14ac:dyDescent="0.35">
      <c r="A14" s="313"/>
      <c r="B14" s="329"/>
      <c r="C14" s="330"/>
      <c r="D14" s="331"/>
      <c r="E14" s="316"/>
    </row>
    <row r="15" spans="1:21" ht="15.5" x14ac:dyDescent="0.35">
      <c r="A15" s="313"/>
      <c r="B15" s="332"/>
      <c r="C15" s="326"/>
      <c r="D15" s="326"/>
    </row>
    <row r="16" spans="1:21" ht="15.5" x14ac:dyDescent="0.35">
      <c r="A16" s="313"/>
      <c r="B16" s="332"/>
      <c r="C16" s="326"/>
      <c r="D16" s="326"/>
    </row>
    <row r="17" spans="1:4" ht="15.5" x14ac:dyDescent="0.35">
      <c r="B17" s="332"/>
      <c r="C17" s="326"/>
      <c r="D17" s="326"/>
    </row>
    <row r="18" spans="1:4" ht="15.5" x14ac:dyDescent="0.35">
      <c r="B18" s="332"/>
      <c r="C18" s="326"/>
      <c r="D18" s="326"/>
    </row>
    <row r="19" spans="1:4" ht="15.5" x14ac:dyDescent="0.35">
      <c r="B19" s="333" t="s">
        <v>768</v>
      </c>
      <c r="C19" s="326"/>
      <c r="D19" s="326"/>
    </row>
    <row r="20" spans="1:4" s="336" customFormat="1" ht="15.5" x14ac:dyDescent="0.35">
      <c r="A20" s="196"/>
      <c r="B20" s="334" t="s">
        <v>769</v>
      </c>
      <c r="C20" s="335"/>
      <c r="D20" s="335"/>
    </row>
    <row r="21" spans="1:4" s="336" customFormat="1" ht="15.5" x14ac:dyDescent="0.35">
      <c r="A21" s="196"/>
      <c r="B21" s="215" t="s">
        <v>734</v>
      </c>
      <c r="C21" s="335"/>
      <c r="D21" s="335"/>
    </row>
    <row r="22" spans="1:4" s="336" customFormat="1" ht="15.5" x14ac:dyDescent="0.35">
      <c r="A22" s="196"/>
      <c r="B22" s="334"/>
      <c r="C22" s="335"/>
      <c r="D22" s="335"/>
    </row>
    <row r="23" spans="1:4" s="336" customFormat="1" ht="15.5" x14ac:dyDescent="0.35">
      <c r="A23" s="196"/>
      <c r="B23" s="337" t="s">
        <v>801</v>
      </c>
      <c r="C23" s="335"/>
      <c r="D23" s="335"/>
    </row>
    <row r="24" spans="1:4" ht="15.5" x14ac:dyDescent="0.35">
      <c r="B24" s="338" t="s">
        <v>770</v>
      </c>
      <c r="C24" s="326"/>
      <c r="D24" s="326"/>
    </row>
    <row r="25" spans="1:4" ht="15.5" x14ac:dyDescent="0.35">
      <c r="B25" s="212"/>
      <c r="C25" s="326"/>
      <c r="D25" s="326"/>
    </row>
    <row r="26" spans="1:4" ht="15.5" x14ac:dyDescent="0.35">
      <c r="B26" s="332"/>
      <c r="C26" s="326"/>
      <c r="D26" s="326"/>
    </row>
    <row r="27" spans="1:4" ht="15.5" x14ac:dyDescent="0.35">
      <c r="B27" s="332"/>
      <c r="C27" s="326"/>
      <c r="D27" s="326"/>
    </row>
    <row r="28" spans="1:4" ht="15.5" x14ac:dyDescent="0.35">
      <c r="B28" s="332"/>
      <c r="C28" s="326"/>
      <c r="D28" s="326"/>
    </row>
  </sheetData>
  <sheetProtection algorithmName="SHA-512" hashValue="M8WoqH5ycm04FkUFWJn3Cv6INwH5X7i1hWzVYuEyvz9YngfsDmVKPZmhFGR8ATuWpDK7ZuSo41P4c3HlEFs+ZQ==" saltValue="CXco6YAdrexZpjCYhJbkAQ==" spinCount="100000" sheet="1" objects="1" scenarios="1"/>
  <mergeCells count="1">
    <mergeCell ref="B1:D1"/>
  </mergeCells>
  <hyperlinks>
    <hyperlink ref="B21" r:id="rId1" xr:uid="{E037EC53-BDA5-4A04-A946-55541148C434}"/>
  </hyperlinks>
  <pageMargins left="0.70866141732283472" right="0.70866141732283472" top="0.74803149606299213" bottom="0.74803149606299213" header="0.31496062992125984" footer="0.31496062992125984"/>
  <pageSetup paperSize="9" scale="84" orientation="landscape" r:id="rId2"/>
  <headerFooter>
    <oddFooter>&amp;C&amp;1#&amp;"Calibri"&amp;12&amp;K0078D7OFFICIAL</oddFooter>
  </headerFooter>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D4704-AE0F-4707-8E38-D014C09AECC6}">
  <sheetPr codeName="Sheet1">
    <tabColor rgb="FFAECFE6"/>
    <pageSetUpPr fitToPage="1"/>
  </sheetPr>
  <dimension ref="A1:BB323"/>
  <sheetViews>
    <sheetView zoomScaleNormal="100" workbookViewId="0">
      <pane ySplit="7" topLeftCell="A8" activePane="bottomLeft" state="frozen"/>
      <selection pane="bottomLeft" activeCell="E3" sqref="E3:G3"/>
    </sheetView>
  </sheetViews>
  <sheetFormatPr defaultColWidth="0" defaultRowHeight="12.65" customHeight="1" zeroHeight="1" x14ac:dyDescent="0.35"/>
  <cols>
    <col min="1" max="1" width="3.1796875" style="1" customWidth="1"/>
    <col min="2" max="2" width="15.54296875" style="1" customWidth="1"/>
    <col min="3" max="3" width="27.54296875" style="1" customWidth="1"/>
    <col min="4" max="4" width="11.54296875" style="1" customWidth="1"/>
    <col min="5" max="11" width="11.81640625" style="1" customWidth="1"/>
    <col min="12" max="12" width="2.453125" style="1" customWidth="1"/>
    <col min="13" max="13" width="12.54296875" style="1" customWidth="1"/>
    <col min="14" max="18" width="8.81640625" style="1" customWidth="1"/>
    <col min="19" max="19" width="6.81640625" style="1" customWidth="1"/>
    <col min="20" max="24" width="8.81640625" style="1" customWidth="1"/>
    <col min="25" max="34" width="8.81640625" style="1" hidden="1" customWidth="1"/>
    <col min="35" max="46" width="8.81640625" style="184" hidden="1" customWidth="1"/>
    <col min="47" max="47" width="8.81640625" hidden="1" customWidth="1"/>
    <col min="48" max="48" width="42" hidden="1" customWidth="1"/>
    <col min="49" max="54" width="8.81640625" hidden="1" customWidth="1"/>
    <col min="55" max="16384" width="8.81640625" style="1" hidden="1"/>
  </cols>
  <sheetData>
    <row r="1" spans="1:47" ht="35" x14ac:dyDescent="0.7">
      <c r="B1" s="437" t="s">
        <v>799</v>
      </c>
      <c r="C1" s="437"/>
      <c r="D1" s="437"/>
      <c r="E1" s="437"/>
      <c r="F1" s="437"/>
      <c r="G1" s="437"/>
      <c r="H1" s="437"/>
      <c r="I1" s="437"/>
      <c r="J1" s="437"/>
      <c r="K1" s="437"/>
      <c r="L1" s="437"/>
      <c r="M1" s="437"/>
      <c r="N1" s="437"/>
      <c r="O1" s="437"/>
      <c r="P1" s="437"/>
      <c r="Q1" s="437"/>
      <c r="R1" s="437"/>
      <c r="S1" s="437"/>
      <c r="T1" s="437"/>
      <c r="U1" s="437"/>
      <c r="V1" s="437"/>
      <c r="W1" s="2"/>
    </row>
    <row r="2" spans="1:47" ht="15" thickBot="1" x14ac:dyDescent="0.4">
      <c r="AM2" s="422" t="s">
        <v>705</v>
      </c>
      <c r="AN2" s="422"/>
      <c r="AO2" s="422"/>
      <c r="AP2" s="422"/>
      <c r="AQ2" s="422"/>
      <c r="AR2" s="422"/>
      <c r="AS2" s="422"/>
      <c r="AT2" s="422"/>
    </row>
    <row r="3" spans="1:47" ht="15.75" customHeight="1" thickBot="1" x14ac:dyDescent="0.4">
      <c r="B3" s="359"/>
      <c r="C3" s="359"/>
      <c r="D3" s="359" t="s">
        <v>773</v>
      </c>
      <c r="E3" s="438"/>
      <c r="F3" s="439"/>
      <c r="G3" s="440"/>
      <c r="H3" s="3"/>
      <c r="I3" s="219"/>
      <c r="J3" s="220"/>
      <c r="K3" s="220"/>
      <c r="L3" s="220"/>
      <c r="M3" s="194">
        <v>2015</v>
      </c>
      <c r="N3" s="194">
        <v>2022</v>
      </c>
      <c r="O3" s="195" t="s">
        <v>0</v>
      </c>
      <c r="P3" s="221"/>
      <c r="Q3" s="221"/>
      <c r="R3" s="219"/>
      <c r="S3" s="220"/>
      <c r="T3" s="220"/>
      <c r="U3" s="194">
        <v>2015</v>
      </c>
      <c r="V3" s="194">
        <v>2022</v>
      </c>
      <c r="W3" s="195" t="s">
        <v>0</v>
      </c>
      <c r="AM3" s="355"/>
      <c r="AN3" s="356">
        <v>1</v>
      </c>
      <c r="AO3" s="356">
        <v>2</v>
      </c>
      <c r="AP3" s="356">
        <v>3</v>
      </c>
      <c r="AQ3" s="356">
        <v>4</v>
      </c>
      <c r="AR3" s="356">
        <v>5</v>
      </c>
      <c r="AS3" s="356">
        <v>6</v>
      </c>
      <c r="AT3" s="356">
        <v>7</v>
      </c>
    </row>
    <row r="4" spans="1:47" ht="16.5" customHeight="1" x14ac:dyDescent="0.35">
      <c r="B4" s="4"/>
      <c r="C4" s="441" t="s">
        <v>1</v>
      </c>
      <c r="D4" s="441"/>
      <c r="E4" s="341" t="str">
        <f>IF($E$3="","Please select an LA area in the box above",IFERROR(VLOOKUP($E$3,$AI$5:$AJ$313,2,0),""))</f>
        <v>Please select an LA area in the box above</v>
      </c>
      <c r="F4" s="342"/>
      <c r="G4" s="343"/>
      <c r="H4" s="5"/>
      <c r="I4" s="216" t="s">
        <v>2</v>
      </c>
      <c r="J4" s="222"/>
      <c r="K4" s="222"/>
      <c r="L4" s="222"/>
      <c r="M4" s="223" t="str">
        <f>IFERROR(VLOOKUP($E$3,$AN$5:$AT$322,4,0),"")</f>
        <v/>
      </c>
      <c r="N4" s="223" t="str">
        <f>IFERROR(VLOOKUP($E$3,$AN$5:$AT$322,7,0),"")</f>
        <v/>
      </c>
      <c r="O4" s="224" t="str">
        <f>IFERROR(N4-M4,"-")</f>
        <v>-</v>
      </c>
      <c r="P4" s="221"/>
      <c r="Q4" s="221"/>
      <c r="R4" s="218" t="s">
        <v>3</v>
      </c>
      <c r="S4" s="225"/>
      <c r="T4" s="225"/>
      <c r="U4" s="225" t="str">
        <f>IFERROR(VLOOKUP($E$3,$AN$5:$AT$322,3,0),"")</f>
        <v/>
      </c>
      <c r="V4" s="225" t="str">
        <f>IFERROR(VLOOKUP($E$3,$AN$5:$AT$322,6,0),"")</f>
        <v/>
      </c>
      <c r="W4" s="226" t="str">
        <f>IFERROR(V4-U4,"-")</f>
        <v>-</v>
      </c>
      <c r="AI4" s="187" t="s">
        <v>51</v>
      </c>
      <c r="AJ4" s="187" t="s">
        <v>706</v>
      </c>
      <c r="AM4" s="188" t="s">
        <v>707</v>
      </c>
      <c r="AN4" s="188" t="s">
        <v>708</v>
      </c>
      <c r="AO4" s="188" t="s">
        <v>709</v>
      </c>
      <c r="AP4" s="188" t="s">
        <v>710</v>
      </c>
      <c r="AQ4" s="188" t="s">
        <v>711</v>
      </c>
      <c r="AR4" s="189" t="s">
        <v>816</v>
      </c>
      <c r="AS4" s="189" t="s">
        <v>817</v>
      </c>
      <c r="AT4" s="189" t="s">
        <v>818</v>
      </c>
    </row>
    <row r="5" spans="1:47" ht="16.5" customHeight="1" x14ac:dyDescent="0.35">
      <c r="E5" s="442" t="s">
        <v>781</v>
      </c>
      <c r="F5" s="442"/>
      <c r="G5" s="442"/>
      <c r="I5" s="217" t="s">
        <v>4</v>
      </c>
      <c r="J5" s="227"/>
      <c r="K5" s="227"/>
      <c r="L5" s="227"/>
      <c r="M5" s="228" t="str">
        <f>IFERROR(VLOOKUP($E$4,$AN$5:$AT$322,4,0),"")</f>
        <v/>
      </c>
      <c r="N5" s="228" t="str">
        <f>IFERROR(VLOOKUP($E$4,$AN$5:$AT$322,7,0),"")</f>
        <v/>
      </c>
      <c r="O5" s="229" t="str">
        <f>IFERROR(N5-M5,"-")</f>
        <v>-</v>
      </c>
      <c r="P5" s="221"/>
      <c r="Q5" s="221"/>
      <c r="R5" s="217" t="s">
        <v>5</v>
      </c>
      <c r="S5" s="227"/>
      <c r="T5" s="227"/>
      <c r="U5" s="227" t="str">
        <f>IFERROR(VLOOKUP($E$3,$AN$5:$AT$322,2,0),"")</f>
        <v/>
      </c>
      <c r="V5" s="227" t="str">
        <f>IFERROR(VLOOKUP($E$3,$AN$5:$AT$322,5,0),"")</f>
        <v/>
      </c>
      <c r="W5" s="230" t="str">
        <f>IFERROR(V5-U5,"-")</f>
        <v>-</v>
      </c>
      <c r="AI5" s="404" t="s">
        <v>91</v>
      </c>
      <c r="AJ5" s="405" t="s">
        <v>87</v>
      </c>
      <c r="AK5" s="185"/>
      <c r="AL5" s="185"/>
      <c r="AM5" s="406" t="s">
        <v>82</v>
      </c>
      <c r="AN5" s="406" t="s">
        <v>82</v>
      </c>
      <c r="AO5" s="403">
        <v>80</v>
      </c>
      <c r="AP5" s="403">
        <v>74</v>
      </c>
      <c r="AQ5" s="403">
        <v>154</v>
      </c>
      <c r="AR5" s="406">
        <v>75</v>
      </c>
      <c r="AS5" s="406">
        <v>76</v>
      </c>
      <c r="AT5" s="406">
        <v>151</v>
      </c>
      <c r="AU5" s="163"/>
    </row>
    <row r="6" spans="1:47" ht="14.5" x14ac:dyDescent="0.35">
      <c r="AI6" s="405" t="s">
        <v>93</v>
      </c>
      <c r="AJ6" s="405" t="s">
        <v>86</v>
      </c>
      <c r="AM6" s="406" t="s">
        <v>83</v>
      </c>
      <c r="AN6" s="406" t="s">
        <v>83</v>
      </c>
      <c r="AO6" s="406">
        <v>95</v>
      </c>
      <c r="AP6" s="406">
        <v>115</v>
      </c>
      <c r="AQ6" s="406">
        <v>210</v>
      </c>
      <c r="AR6" s="406">
        <v>85</v>
      </c>
      <c r="AS6" s="406">
        <v>120</v>
      </c>
      <c r="AT6" s="406">
        <v>205</v>
      </c>
    </row>
    <row r="7" spans="1:47" ht="14.5" x14ac:dyDescent="0.35">
      <c r="AI7" s="405" t="s">
        <v>95</v>
      </c>
      <c r="AJ7" s="405" t="s">
        <v>82</v>
      </c>
      <c r="AM7" s="406" t="s">
        <v>84</v>
      </c>
      <c r="AN7" s="406" t="s">
        <v>84</v>
      </c>
      <c r="AO7" s="406">
        <v>89</v>
      </c>
      <c r="AP7" s="406">
        <v>253</v>
      </c>
      <c r="AQ7" s="406">
        <v>342</v>
      </c>
      <c r="AR7" s="406">
        <v>76</v>
      </c>
      <c r="AS7" s="406">
        <v>271</v>
      </c>
      <c r="AT7" s="406">
        <v>347</v>
      </c>
    </row>
    <row r="8" spans="1:47" ht="15.5" x14ac:dyDescent="0.35">
      <c r="A8" s="423">
        <v>1</v>
      </c>
      <c r="B8" s="6" t="str">
        <f>IF(E3="", "Total social units by provision type","Total social units by provision type in "&amp;$E$3)</f>
        <v>Total social units by provision type</v>
      </c>
      <c r="C8" s="7"/>
      <c r="D8" s="7"/>
      <c r="E8" s="8"/>
      <c r="F8" s="9"/>
      <c r="G8" s="9"/>
      <c r="H8" s="9"/>
      <c r="I8" s="9"/>
      <c r="J8" s="9"/>
      <c r="K8" s="10"/>
      <c r="L8" s="11"/>
      <c r="AI8" s="405" t="s">
        <v>97</v>
      </c>
      <c r="AJ8" s="405" t="s">
        <v>87</v>
      </c>
      <c r="AM8" s="406" t="s">
        <v>85</v>
      </c>
      <c r="AN8" s="406" t="s">
        <v>85</v>
      </c>
      <c r="AO8" s="406">
        <v>42</v>
      </c>
      <c r="AP8" s="406">
        <v>61</v>
      </c>
      <c r="AQ8" s="406">
        <v>103</v>
      </c>
      <c r="AR8" s="406">
        <v>40</v>
      </c>
      <c r="AS8" s="406">
        <v>69</v>
      </c>
      <c r="AT8" s="406">
        <v>109</v>
      </c>
    </row>
    <row r="9" spans="1:47" ht="15.5" x14ac:dyDescent="0.35">
      <c r="A9" s="424"/>
      <c r="B9" s="15" t="s">
        <v>6</v>
      </c>
      <c r="C9" s="12"/>
      <c r="D9" s="12"/>
      <c r="E9" s="13"/>
      <c r="F9" s="13"/>
      <c r="G9" s="13"/>
      <c r="H9" s="13"/>
      <c r="I9" s="13"/>
      <c r="J9" s="13"/>
      <c r="K9" s="14"/>
      <c r="AI9" s="405" t="s">
        <v>99</v>
      </c>
      <c r="AJ9" s="405" t="s">
        <v>82</v>
      </c>
      <c r="AM9" s="406" t="s">
        <v>86</v>
      </c>
      <c r="AN9" s="406" t="s">
        <v>86</v>
      </c>
      <c r="AO9" s="406">
        <v>98</v>
      </c>
      <c r="AP9" s="406">
        <v>138</v>
      </c>
      <c r="AQ9" s="406">
        <v>236</v>
      </c>
      <c r="AR9" s="406">
        <v>72</v>
      </c>
      <c r="AS9" s="406">
        <v>146</v>
      </c>
      <c r="AT9" s="406">
        <v>218</v>
      </c>
    </row>
    <row r="10" spans="1:47" ht="14.5" x14ac:dyDescent="0.35">
      <c r="B10" s="15"/>
      <c r="C10" s="367" t="s">
        <v>819</v>
      </c>
      <c r="D10" s="16">
        <v>2015</v>
      </c>
      <c r="E10" s="16">
        <v>2016</v>
      </c>
      <c r="F10" s="16">
        <v>2017</v>
      </c>
      <c r="G10" s="16">
        <v>2018</v>
      </c>
      <c r="H10" s="16">
        <v>2019</v>
      </c>
      <c r="I10" s="16">
        <v>2020</v>
      </c>
      <c r="J10" s="365">
        <v>2021</v>
      </c>
      <c r="K10" s="17">
        <v>2022</v>
      </c>
      <c r="AI10" s="405" t="s">
        <v>101</v>
      </c>
      <c r="AJ10" s="405" t="s">
        <v>87</v>
      </c>
      <c r="AM10" s="406" t="s">
        <v>87</v>
      </c>
      <c r="AN10" s="406" t="s">
        <v>87</v>
      </c>
      <c r="AO10" s="406">
        <v>109</v>
      </c>
      <c r="AP10" s="406">
        <v>222</v>
      </c>
      <c r="AQ10" s="406">
        <v>331</v>
      </c>
      <c r="AR10" s="406">
        <v>98</v>
      </c>
      <c r="AS10" s="406">
        <v>223</v>
      </c>
      <c r="AT10" s="406">
        <v>321</v>
      </c>
    </row>
    <row r="11" spans="1:47" ht="14.5" x14ac:dyDescent="0.35">
      <c r="B11" s="433" t="s">
        <v>7</v>
      </c>
      <c r="C11" s="239" t="s">
        <v>8</v>
      </c>
      <c r="D11" s="231">
        <f>SUM($D$12:$D$13)</f>
        <v>0</v>
      </c>
      <c r="E11" s="231">
        <f>SUM($E$12:$E$13)</f>
        <v>0</v>
      </c>
      <c r="F11" s="231">
        <f>SUM($F$12:$F$13)</f>
        <v>0</v>
      </c>
      <c r="G11" s="231">
        <f>SUM($G$12:$G$13)</f>
        <v>0</v>
      </c>
      <c r="H11" s="231">
        <f>SUM($H$12:$H$13)</f>
        <v>0</v>
      </c>
      <c r="I11" s="231">
        <f>SUM($I$12:$I$13)</f>
        <v>0</v>
      </c>
      <c r="J11" s="231">
        <f>SUM($J$12:$J$13)</f>
        <v>0</v>
      </c>
      <c r="K11" s="232">
        <f>SUM($K$12:$K$13)</f>
        <v>0</v>
      </c>
      <c r="M11" s="18"/>
      <c r="N11" s="18"/>
      <c r="O11" s="18"/>
      <c r="P11" s="18"/>
      <c r="AI11" s="405" t="s">
        <v>103</v>
      </c>
      <c r="AJ11" s="405" t="s">
        <v>83</v>
      </c>
      <c r="AM11" s="406" t="s">
        <v>88</v>
      </c>
      <c r="AN11" s="406" t="s">
        <v>88</v>
      </c>
      <c r="AO11" s="406">
        <v>86</v>
      </c>
      <c r="AP11" s="406">
        <v>134</v>
      </c>
      <c r="AQ11" s="406">
        <v>220</v>
      </c>
      <c r="AR11" s="406">
        <v>75</v>
      </c>
      <c r="AS11" s="406">
        <v>138</v>
      </c>
      <c r="AT11" s="406">
        <v>213</v>
      </c>
    </row>
    <row r="12" spans="1:47" ht="14.5" x14ac:dyDescent="0.35">
      <c r="B12" s="434"/>
      <c r="C12" s="19" t="s">
        <v>9</v>
      </c>
      <c r="D12" s="411" t="str">
        <f>IFERROR(VLOOKUP($E$3,Y_1,2,0),"")</f>
        <v/>
      </c>
      <c r="E12" s="20" t="str">
        <f>IFERROR(VLOOKUP($E$3,Y_2,2,0),"")</f>
        <v/>
      </c>
      <c r="F12" s="20" t="str">
        <f>IFERROR(VLOOKUP($E$3,Y_3,2,0),"")</f>
        <v/>
      </c>
      <c r="G12" s="20" t="str">
        <f>IFERROR(VLOOKUP($E$3,Y_4,2,0),"")</f>
        <v/>
      </c>
      <c r="H12" s="20" t="str">
        <f>IFERROR(VLOOKUP($E$3,Y_5,2,0),"")</f>
        <v/>
      </c>
      <c r="I12" s="20" t="str">
        <f>IFERROR(VLOOKUP($E$3,Y_6,2,0),"")</f>
        <v/>
      </c>
      <c r="J12" s="20" t="str">
        <f>IFERROR(VLOOKUP($E$3,Y_7,2,0),"")</f>
        <v/>
      </c>
      <c r="K12" s="21" t="str">
        <f>IFERROR(VLOOKUP($E$3,Y_8,2,0),"")</f>
        <v/>
      </c>
      <c r="M12" s="18"/>
      <c r="N12" s="18"/>
      <c r="O12" s="18"/>
      <c r="P12" s="18"/>
      <c r="AI12" s="405" t="s">
        <v>105</v>
      </c>
      <c r="AJ12" s="405" t="s">
        <v>84</v>
      </c>
      <c r="AM12" s="406" t="s">
        <v>89</v>
      </c>
      <c r="AN12" s="406" t="s">
        <v>89</v>
      </c>
      <c r="AO12" s="406">
        <v>83</v>
      </c>
      <c r="AP12" s="406">
        <v>118</v>
      </c>
      <c r="AQ12" s="406">
        <v>201</v>
      </c>
      <c r="AR12" s="406">
        <v>71</v>
      </c>
      <c r="AS12" s="406">
        <v>127</v>
      </c>
      <c r="AT12" s="406">
        <v>198</v>
      </c>
    </row>
    <row r="13" spans="1:47" ht="14.5" x14ac:dyDescent="0.35">
      <c r="B13" s="434"/>
      <c r="C13" s="22" t="s">
        <v>10</v>
      </c>
      <c r="D13" s="23" t="str">
        <f>IFERROR(VLOOKUP($E$3,Y_1,3,0),"")</f>
        <v/>
      </c>
      <c r="E13" s="23" t="str">
        <f>IFERROR(VLOOKUP($E$3,Y_2,3,0),"")</f>
        <v/>
      </c>
      <c r="F13" s="23" t="str">
        <f>IFERROR(VLOOKUP($E$3,Y_3,3,0),"")</f>
        <v/>
      </c>
      <c r="G13" s="23" t="str">
        <f>IFERROR(VLOOKUP($E$3,Y_4,3,0),"")</f>
        <v/>
      </c>
      <c r="H13" s="23" t="str">
        <f>IFERROR(VLOOKUP($E$3,Y_5,3,0),"")</f>
        <v/>
      </c>
      <c r="I13" s="23" t="str">
        <f>IFERROR(VLOOKUP($E$3,Y_6,3,0),"")</f>
        <v/>
      </c>
      <c r="J13" s="23" t="str">
        <f>IFERROR(VLOOKUP($E$3,Y_7,3,0),"")</f>
        <v/>
      </c>
      <c r="K13" s="24" t="str">
        <f>IFERROR(VLOOKUP($E$3,Y_8,3,0),"")</f>
        <v/>
      </c>
      <c r="M13" s="18"/>
      <c r="N13" s="18"/>
      <c r="O13" s="18"/>
      <c r="P13" s="18"/>
      <c r="AI13" s="405" t="s">
        <v>107</v>
      </c>
      <c r="AJ13" s="405" t="s">
        <v>84</v>
      </c>
      <c r="AM13" s="406" t="s">
        <v>792</v>
      </c>
      <c r="AN13" s="406" t="s">
        <v>792</v>
      </c>
      <c r="AO13" s="406">
        <v>63</v>
      </c>
      <c r="AP13" s="406">
        <v>94</v>
      </c>
      <c r="AQ13" s="406">
        <v>157</v>
      </c>
      <c r="AR13" s="406">
        <v>66</v>
      </c>
      <c r="AS13" s="406">
        <v>94</v>
      </c>
      <c r="AT13" s="406">
        <v>160</v>
      </c>
    </row>
    <row r="14" spans="1:47" ht="14.5" x14ac:dyDescent="0.35">
      <c r="B14" s="434"/>
      <c r="C14" s="240" t="s">
        <v>11</v>
      </c>
      <c r="D14" s="233" t="str">
        <f>IFERROR(VLOOKUP($E$3,Y_1,4,0),"")</f>
        <v/>
      </c>
      <c r="E14" s="233" t="str">
        <f>IFERROR(VLOOKUP($E$3,Y_2,4,0),"")</f>
        <v/>
      </c>
      <c r="F14" s="233" t="str">
        <f>IFERROR(VLOOKUP($E$3,Y_3,4,0),"")</f>
        <v/>
      </c>
      <c r="G14" s="233" t="str">
        <f>IFERROR(VLOOKUP($E$3,Y_4,4,0),"")</f>
        <v/>
      </c>
      <c r="H14" s="233" t="str">
        <f>IFERROR(VLOOKUP($E$3,Y_5,4,0),"")</f>
        <v/>
      </c>
      <c r="I14" s="233" t="str">
        <f>IFERROR(VLOOKUP($E$3,Y_6,4,0),"")</f>
        <v/>
      </c>
      <c r="J14" s="233" t="str">
        <f>IFERROR(VLOOKUP($E$3,Y_7,4,0),"")</f>
        <v/>
      </c>
      <c r="K14" s="234" t="str">
        <f>IFERROR(VLOOKUP($E$3,Y_8,4,0),"")</f>
        <v/>
      </c>
      <c r="M14" s="18"/>
      <c r="N14" s="18"/>
      <c r="O14" s="18"/>
      <c r="P14" s="18"/>
      <c r="AI14" s="405" t="s">
        <v>109</v>
      </c>
      <c r="AJ14" s="405" t="s">
        <v>792</v>
      </c>
      <c r="AM14" s="406" t="s">
        <v>90</v>
      </c>
      <c r="AN14" s="406" t="s">
        <v>91</v>
      </c>
      <c r="AO14" s="406">
        <v>15</v>
      </c>
      <c r="AP14" s="406">
        <v>2</v>
      </c>
      <c r="AQ14" s="406">
        <v>17</v>
      </c>
      <c r="AR14" s="406">
        <v>15</v>
      </c>
      <c r="AS14" s="406">
        <v>3</v>
      </c>
      <c r="AT14" s="406">
        <v>18</v>
      </c>
    </row>
    <row r="15" spans="1:47" ht="14.5" x14ac:dyDescent="0.35">
      <c r="B15" s="434"/>
      <c r="C15" s="241" t="s">
        <v>12</v>
      </c>
      <c r="D15" s="235" t="str">
        <f>IFERROR(VLOOKUP($E$3,Y_1,5,0),"")</f>
        <v/>
      </c>
      <c r="E15" s="235" t="str">
        <f>IFERROR(VLOOKUP($E$3,Y_2,5,0),"")</f>
        <v/>
      </c>
      <c r="F15" s="235" t="str">
        <f>IFERROR(VLOOKUP($E$3,Y_3,5,0),"")</f>
        <v/>
      </c>
      <c r="G15" s="235" t="str">
        <f>IFERROR(VLOOKUP($E$3,Y_4,5,0),"")</f>
        <v/>
      </c>
      <c r="H15" s="235" t="str">
        <f>IFERROR(VLOOKUP($E$3,Y_5,5,0),"")</f>
        <v/>
      </c>
      <c r="I15" s="235" t="str">
        <f>IFERROR(VLOOKUP($E$3,Y_6,5,0),"")</f>
        <v/>
      </c>
      <c r="J15" s="366" t="str">
        <f>IFERROR(VLOOKUP($E$3,Y_7,5,0),"")</f>
        <v/>
      </c>
      <c r="K15" s="236" t="str">
        <f>IFERROR(VLOOKUP($E$3,Y_8,5,0),"")</f>
        <v/>
      </c>
      <c r="M15" s="18"/>
      <c r="N15" s="18"/>
      <c r="O15" s="18"/>
      <c r="P15" s="18"/>
      <c r="AI15" s="405" t="s">
        <v>111</v>
      </c>
      <c r="AJ15" s="405" t="s">
        <v>86</v>
      </c>
      <c r="AM15" s="407" t="s">
        <v>92</v>
      </c>
      <c r="AN15" s="407" t="s">
        <v>93</v>
      </c>
      <c r="AO15" s="407">
        <v>9</v>
      </c>
      <c r="AP15" s="407">
        <v>6</v>
      </c>
      <c r="AQ15" s="407">
        <v>15</v>
      </c>
      <c r="AR15" s="407">
        <v>9</v>
      </c>
      <c r="AS15" s="407">
        <v>7</v>
      </c>
      <c r="AT15" s="407">
        <v>16</v>
      </c>
    </row>
    <row r="16" spans="1:47" ht="14.5" x14ac:dyDescent="0.35">
      <c r="B16" s="239" t="s">
        <v>13</v>
      </c>
      <c r="C16" s="242"/>
      <c r="D16" s="231" t="str">
        <f>IFERROR(VLOOKUP($E$3,Y_1,6,0),"")</f>
        <v/>
      </c>
      <c r="E16" s="231" t="str">
        <f>IFERROR(VLOOKUP($E$3,Y_2,6,0),"")</f>
        <v/>
      </c>
      <c r="F16" s="231" t="str">
        <f>IFERROR(VLOOKUP($E$3,Y_3,6,0),"")</f>
        <v/>
      </c>
      <c r="G16" s="231" t="str">
        <f>IFERROR(VLOOKUP($E$3,Y_4,6,0),"")</f>
        <v/>
      </c>
      <c r="H16" s="231" t="str">
        <f>IFERROR(VLOOKUP($E$3,Y_5,6,0),"")</f>
        <v/>
      </c>
      <c r="I16" s="231" t="str">
        <f>IFERROR(VLOOKUP($E$3,Y_6,6,0),"")</f>
        <v/>
      </c>
      <c r="J16" s="231" t="str">
        <f>IFERROR(VLOOKUP($E$3,Y_7,6,0),"")</f>
        <v/>
      </c>
      <c r="K16" s="232" t="str">
        <f>IFERROR(VLOOKUP($E$3,Y_8,6,0),"")</f>
        <v/>
      </c>
      <c r="M16" s="18"/>
      <c r="N16" s="18"/>
      <c r="O16" s="18"/>
      <c r="P16" s="18"/>
      <c r="AI16" s="405" t="s">
        <v>113</v>
      </c>
      <c r="AJ16" s="405" t="s">
        <v>83</v>
      </c>
      <c r="AM16" s="407" t="s">
        <v>94</v>
      </c>
      <c r="AN16" s="407" t="s">
        <v>95</v>
      </c>
      <c r="AO16" s="407">
        <v>15</v>
      </c>
      <c r="AP16" s="407">
        <v>6</v>
      </c>
      <c r="AQ16" s="407">
        <v>21</v>
      </c>
      <c r="AR16" s="407">
        <v>21</v>
      </c>
      <c r="AS16" s="407">
        <v>6</v>
      </c>
      <c r="AT16" s="407">
        <v>27</v>
      </c>
    </row>
    <row r="17" spans="1:46" ht="14.5" x14ac:dyDescent="0.35">
      <c r="B17" s="25" t="s">
        <v>14</v>
      </c>
      <c r="C17" s="26"/>
      <c r="D17" s="412" t="str">
        <f>IFERROR(VLOOKUP($E$3,Y_1,7,0),"")</f>
        <v/>
      </c>
      <c r="E17" s="412" t="str">
        <f>IFERROR(VLOOKUP($E$3,Y_2,7,0),"")</f>
        <v/>
      </c>
      <c r="F17" s="412" t="str">
        <f>IFERROR(VLOOKUP($E$3,Y_3,7,0),"")</f>
        <v/>
      </c>
      <c r="G17" s="412" t="str">
        <f>IFERROR(VLOOKUP($E$3,Y_4,7,0),"")</f>
        <v/>
      </c>
      <c r="H17" s="412" t="str">
        <f>IFERROR(VLOOKUP($E$3,Y_5,7,0),"")</f>
        <v/>
      </c>
      <c r="I17" s="412" t="str">
        <f>IFERROR(VLOOKUP($E$3,Y_6,7,0),"")</f>
        <v/>
      </c>
      <c r="J17" s="412" t="str">
        <f>IFERROR(VLOOKUP($E$3,Y_7,7,0),"")</f>
        <v/>
      </c>
      <c r="K17" s="413" t="str">
        <f>IFERROR(VLOOKUP($E$3,Y_8,7,0),"")</f>
        <v/>
      </c>
      <c r="M17" s="18"/>
      <c r="N17" s="18"/>
      <c r="O17" s="18"/>
      <c r="P17" s="18"/>
      <c r="AI17" s="405" t="s">
        <v>115</v>
      </c>
      <c r="AJ17" s="405" t="s">
        <v>87</v>
      </c>
      <c r="AM17" s="407" t="s">
        <v>96</v>
      </c>
      <c r="AN17" s="407" t="s">
        <v>97</v>
      </c>
      <c r="AO17" s="407">
        <v>23</v>
      </c>
      <c r="AP17" s="407">
        <v>6</v>
      </c>
      <c r="AQ17" s="407">
        <v>29</v>
      </c>
      <c r="AR17" s="407">
        <v>26</v>
      </c>
      <c r="AS17" s="407">
        <v>5</v>
      </c>
      <c r="AT17" s="407">
        <v>31</v>
      </c>
    </row>
    <row r="18" spans="1:46" ht="14.5" x14ac:dyDescent="0.35">
      <c r="B18" s="415" t="str">
        <f>IF($E$4="Please select an LA area in the box above","",$E$4)</f>
        <v/>
      </c>
      <c r="C18" s="26"/>
      <c r="D18" s="237" t="str">
        <f>IFERROR(VLOOKUP($E$4,Y_1,7,0),"")</f>
        <v/>
      </c>
      <c r="E18" s="237" t="str">
        <f>IFERROR(VLOOKUP($E$4,Y_2,7,0),"")</f>
        <v/>
      </c>
      <c r="F18" s="237" t="str">
        <f>IFERROR(VLOOKUP($E$4,Y_3,7,0),"")</f>
        <v/>
      </c>
      <c r="G18" s="237" t="str">
        <f>IFERROR(VLOOKUP($E$4,Y_4,7,0),"")</f>
        <v/>
      </c>
      <c r="H18" s="237" t="str">
        <f>IFERROR(VLOOKUP($E$4,Y_5,7,0),"")</f>
        <v/>
      </c>
      <c r="I18" s="237" t="str">
        <f>IFERROR(VLOOKUP($E$4,Y_6,7,0),"")</f>
        <v/>
      </c>
      <c r="J18" s="237" t="str">
        <f>IFERROR(VLOOKUP($E$4,Y_7,7,0),"")</f>
        <v/>
      </c>
      <c r="K18" s="238" t="str">
        <f>IFERROR(VLOOKUP($E$4,Y_8,7,0),"")</f>
        <v/>
      </c>
      <c r="M18" s="18"/>
      <c r="N18" s="18"/>
      <c r="O18" s="18"/>
      <c r="P18" s="18"/>
      <c r="AI18" s="405" t="s">
        <v>117</v>
      </c>
      <c r="AJ18" s="405" t="s">
        <v>82</v>
      </c>
      <c r="AM18" s="407" t="s">
        <v>98</v>
      </c>
      <c r="AN18" s="407" t="s">
        <v>99</v>
      </c>
      <c r="AO18" s="407">
        <v>18</v>
      </c>
      <c r="AP18" s="407">
        <v>1</v>
      </c>
      <c r="AQ18" s="407">
        <v>19</v>
      </c>
      <c r="AR18" s="407">
        <v>24</v>
      </c>
      <c r="AS18" s="407">
        <v>1</v>
      </c>
      <c r="AT18" s="407">
        <v>25</v>
      </c>
    </row>
    <row r="19" spans="1:46" ht="14.5" x14ac:dyDescent="0.35">
      <c r="B19" s="239" t="s">
        <v>15</v>
      </c>
      <c r="C19" s="27"/>
      <c r="D19" s="237">
        <f>IFERROR(VLOOKUP($B$19,Y_1,7,0),"")</f>
        <v>2608767</v>
      </c>
      <c r="E19" s="237">
        <f>IFERROR(VLOOKUP($B$19,Y_2,7,0),"")</f>
        <v>2655501</v>
      </c>
      <c r="F19" s="237">
        <f>IFERROR(VLOOKUP($B$19,Y_3,7,0),"")</f>
        <v>2672026</v>
      </c>
      <c r="G19" s="237">
        <f>IFERROR(VLOOKUP($B$19,Y_4,7,0),"")</f>
        <v>2708355</v>
      </c>
      <c r="H19" s="237">
        <f>IFERROR(VLOOKUP($B$19,Y_5,7,0),"")</f>
        <v>2741601</v>
      </c>
      <c r="I19" s="237">
        <f>IFERROR(VLOOKUP($B$19,Y_6,7,0),"")</f>
        <v>2777878</v>
      </c>
      <c r="J19" s="237">
        <f>IFERROR(VLOOKUP($B$19,Y_7,7,0),"")</f>
        <v>2804350</v>
      </c>
      <c r="K19" s="238">
        <f>IFERROR(VLOOKUP($B$19,Y_8,7,0),"")</f>
        <v>2842600</v>
      </c>
      <c r="AI19" s="405" t="s">
        <v>119</v>
      </c>
      <c r="AJ19" s="405" t="s">
        <v>88</v>
      </c>
      <c r="AM19" s="407" t="s">
        <v>100</v>
      </c>
      <c r="AN19" s="407" t="s">
        <v>101</v>
      </c>
      <c r="AO19" s="407">
        <v>20</v>
      </c>
      <c r="AP19" s="407">
        <v>3</v>
      </c>
      <c r="AQ19" s="407">
        <v>23</v>
      </c>
      <c r="AR19" s="407">
        <v>28</v>
      </c>
      <c r="AS19" s="407">
        <v>1</v>
      </c>
      <c r="AT19" s="407">
        <v>29</v>
      </c>
    </row>
    <row r="20" spans="1:46" ht="14.5" x14ac:dyDescent="0.35">
      <c r="AI20" s="405" t="s">
        <v>121</v>
      </c>
      <c r="AJ20" s="405" t="s">
        <v>83</v>
      </c>
      <c r="AM20" s="407" t="s">
        <v>102</v>
      </c>
      <c r="AN20" s="407" t="s">
        <v>103</v>
      </c>
      <c r="AO20" s="407">
        <v>19</v>
      </c>
      <c r="AP20" s="407">
        <v>4</v>
      </c>
      <c r="AQ20" s="407">
        <v>23</v>
      </c>
      <c r="AR20" s="407">
        <v>21</v>
      </c>
      <c r="AS20" s="407">
        <v>3</v>
      </c>
      <c r="AT20" s="407">
        <v>24</v>
      </c>
    </row>
    <row r="21" spans="1:46" ht="15.5" x14ac:dyDescent="0.35">
      <c r="A21" s="423">
        <v>2</v>
      </c>
      <c r="B21" s="6" t="s">
        <v>16</v>
      </c>
      <c r="C21" s="7"/>
      <c r="D21" s="7"/>
      <c r="E21" s="28"/>
      <c r="F21" s="28"/>
      <c r="G21" s="29"/>
      <c r="H21" s="29"/>
      <c r="I21" s="29"/>
      <c r="J21" s="29"/>
      <c r="K21" s="30"/>
      <c r="AI21" s="405" t="s">
        <v>123</v>
      </c>
      <c r="AJ21" s="405" t="s">
        <v>84</v>
      </c>
      <c r="AM21" s="407" t="s">
        <v>104</v>
      </c>
      <c r="AN21" s="407" t="s">
        <v>105</v>
      </c>
      <c r="AO21" s="407">
        <v>29</v>
      </c>
      <c r="AP21" s="407">
        <v>1</v>
      </c>
      <c r="AQ21" s="407">
        <v>30</v>
      </c>
      <c r="AR21" s="407">
        <v>21</v>
      </c>
      <c r="AS21" s="407">
        <v>4</v>
      </c>
      <c r="AT21" s="407">
        <v>25</v>
      </c>
    </row>
    <row r="22" spans="1:46" ht="14.5" x14ac:dyDescent="0.35">
      <c r="A22" s="424"/>
      <c r="B22" s="243"/>
      <c r="C22" s="31"/>
      <c r="D22" s="32">
        <v>2015</v>
      </c>
      <c r="E22" s="32">
        <v>2016</v>
      </c>
      <c r="F22" s="32">
        <v>2017</v>
      </c>
      <c r="G22" s="32">
        <v>2018</v>
      </c>
      <c r="H22" s="32">
        <v>2019</v>
      </c>
      <c r="I22" s="32">
        <v>2020</v>
      </c>
      <c r="J22" s="368">
        <v>2021</v>
      </c>
      <c r="K22" s="33">
        <v>2022</v>
      </c>
      <c r="AI22" s="405" t="s">
        <v>125</v>
      </c>
      <c r="AJ22" s="405" t="s">
        <v>89</v>
      </c>
      <c r="AM22" s="407" t="s">
        <v>106</v>
      </c>
      <c r="AN22" s="407" t="s">
        <v>107</v>
      </c>
      <c r="AO22" s="407">
        <v>35</v>
      </c>
      <c r="AP22" s="407">
        <v>21</v>
      </c>
      <c r="AQ22" s="407">
        <v>56</v>
      </c>
      <c r="AR22" s="407">
        <v>30</v>
      </c>
      <c r="AS22" s="407">
        <v>30</v>
      </c>
      <c r="AT22" s="407">
        <v>60</v>
      </c>
    </row>
    <row r="23" spans="1:46" ht="14.5" x14ac:dyDescent="0.35">
      <c r="B23" s="34">
        <f>$E$3</f>
        <v>0</v>
      </c>
      <c r="C23" s="35"/>
      <c r="D23" s="244"/>
      <c r="E23" s="244"/>
      <c r="F23" s="244"/>
      <c r="G23" s="244"/>
      <c r="H23" s="244"/>
      <c r="I23" s="244"/>
      <c r="J23" s="244"/>
      <c r="K23" s="245"/>
      <c r="AI23" s="405" t="s">
        <v>127</v>
      </c>
      <c r="AJ23" s="405" t="s">
        <v>82</v>
      </c>
      <c r="AM23" s="407" t="s">
        <v>108</v>
      </c>
      <c r="AN23" s="407" t="s">
        <v>109</v>
      </c>
      <c r="AO23" s="407">
        <v>12</v>
      </c>
      <c r="AP23" s="407">
        <v>3</v>
      </c>
      <c r="AQ23" s="407">
        <v>15</v>
      </c>
      <c r="AR23" s="407">
        <v>21</v>
      </c>
      <c r="AS23" s="407">
        <v>5</v>
      </c>
      <c r="AT23" s="407">
        <v>26</v>
      </c>
    </row>
    <row r="24" spans="1:46" ht="14.5" x14ac:dyDescent="0.35">
      <c r="B24" s="36" t="s">
        <v>17</v>
      </c>
      <c r="C24" s="37"/>
      <c r="D24" s="38" t="str">
        <f>IFERROR(VLOOKUP($E$3,Y_1,8,0),"")</f>
        <v/>
      </c>
      <c r="E24" s="38" t="str">
        <f>IFERROR(VLOOKUP($E$3,Y_2,8,0),"")</f>
        <v/>
      </c>
      <c r="F24" s="38" t="str">
        <f>IFERROR(VLOOKUP($E$3,Y_3,8,0),"")</f>
        <v/>
      </c>
      <c r="G24" s="38" t="str">
        <f>IFERROR(VLOOKUP($E$3,Y_4,8,0),"")</f>
        <v/>
      </c>
      <c r="H24" s="38" t="str">
        <f>IFERROR(VLOOKUP($E$3,Y_5,8,0),"")</f>
        <v/>
      </c>
      <c r="I24" s="38" t="str">
        <f>IFERROR(VLOOKUP($E$3,Y_6,8,0),"")</f>
        <v/>
      </c>
      <c r="J24" s="38" t="str">
        <f>IFERROR(VLOOKUP($E$3,Y_7,8,0),"")</f>
        <v/>
      </c>
      <c r="K24" s="39" t="str">
        <f>IFERROR(VLOOKUP($E$3,Y_8,8,0),"")</f>
        <v/>
      </c>
      <c r="AI24" s="405" t="s">
        <v>129</v>
      </c>
      <c r="AJ24" s="405" t="s">
        <v>86</v>
      </c>
      <c r="AM24" s="407" t="s">
        <v>110</v>
      </c>
      <c r="AN24" s="407" t="s">
        <v>111</v>
      </c>
      <c r="AO24" s="407">
        <v>8</v>
      </c>
      <c r="AP24" s="407">
        <v>3</v>
      </c>
      <c r="AQ24" s="407">
        <v>11</v>
      </c>
      <c r="AR24" s="407">
        <v>11</v>
      </c>
      <c r="AS24" s="407">
        <v>5</v>
      </c>
      <c r="AT24" s="407">
        <v>16</v>
      </c>
    </row>
    <row r="25" spans="1:46" ht="14.5" x14ac:dyDescent="0.35">
      <c r="B25" s="40" t="s">
        <v>18</v>
      </c>
      <c r="C25" s="41"/>
      <c r="D25" s="42" t="str">
        <f>IFERROR(VLOOKUP($E$3,Y_1,9,0),"")</f>
        <v/>
      </c>
      <c r="E25" s="42" t="str">
        <f>IFERROR(VLOOKUP($E$3,Y_2,9,0),"")</f>
        <v/>
      </c>
      <c r="F25" s="42" t="str">
        <f>IFERROR(VLOOKUP($E$3,Y_3,9,0),"")</f>
        <v/>
      </c>
      <c r="G25" s="42" t="str">
        <f>IFERROR(VLOOKUP($E$3,Y_4,9,0),"")</f>
        <v/>
      </c>
      <c r="H25" s="42" t="str">
        <f>IFERROR(VLOOKUP($E$3,Y_5,9,0),"")</f>
        <v/>
      </c>
      <c r="I25" s="42" t="str">
        <f>IFERROR(VLOOKUP($E$3,Y_6,9,0),"")</f>
        <v/>
      </c>
      <c r="J25" s="42" t="str">
        <f>IFERROR(VLOOKUP($E$3,Y_7,9,0),"")</f>
        <v/>
      </c>
      <c r="K25" s="43" t="str">
        <f>IFERROR(VLOOKUP($E$3,Y_8,9,0),"")</f>
        <v/>
      </c>
      <c r="AI25" s="405" t="s">
        <v>131</v>
      </c>
      <c r="AJ25" s="405" t="s">
        <v>86</v>
      </c>
      <c r="AM25" s="407" t="s">
        <v>112</v>
      </c>
      <c r="AN25" s="407" t="s">
        <v>113</v>
      </c>
      <c r="AO25" s="407">
        <v>20</v>
      </c>
      <c r="AP25" s="407">
        <v>4</v>
      </c>
      <c r="AQ25" s="407">
        <v>24</v>
      </c>
      <c r="AR25" s="407">
        <v>20</v>
      </c>
      <c r="AS25" s="407">
        <v>8</v>
      </c>
      <c r="AT25" s="407">
        <v>28</v>
      </c>
    </row>
    <row r="26" spans="1:46" ht="14.5" x14ac:dyDescent="0.35">
      <c r="B26" s="44" t="s">
        <v>19</v>
      </c>
      <c r="C26" s="45"/>
      <c r="D26" s="46" t="str">
        <f>IFERROR(D25/D24,"-")</f>
        <v>-</v>
      </c>
      <c r="E26" s="46" t="str">
        <f t="shared" ref="E26:I26" si="0">IFERROR(E25/E24,"-")</f>
        <v>-</v>
      </c>
      <c r="F26" s="46" t="str">
        <f t="shared" si="0"/>
        <v>-</v>
      </c>
      <c r="G26" s="46" t="str">
        <f t="shared" si="0"/>
        <v>-</v>
      </c>
      <c r="H26" s="46" t="str">
        <f t="shared" si="0"/>
        <v>-</v>
      </c>
      <c r="I26" s="46" t="str">
        <f t="shared" si="0"/>
        <v>-</v>
      </c>
      <c r="J26" s="46" t="str">
        <f t="shared" ref="J26" si="1">IFERROR(J25/J24,"-")</f>
        <v>-</v>
      </c>
      <c r="K26" s="47" t="str">
        <f t="shared" ref="K26" si="2">IFERROR(K25/K24,"-")</f>
        <v>-</v>
      </c>
      <c r="AI26" s="405" t="s">
        <v>133</v>
      </c>
      <c r="AJ26" s="405" t="s">
        <v>82</v>
      </c>
      <c r="AM26" s="407" t="s">
        <v>114</v>
      </c>
      <c r="AN26" s="407" t="s">
        <v>115</v>
      </c>
      <c r="AO26" s="407">
        <v>27</v>
      </c>
      <c r="AP26" s="407">
        <v>4</v>
      </c>
      <c r="AQ26" s="407">
        <v>31</v>
      </c>
      <c r="AR26" s="407">
        <v>30</v>
      </c>
      <c r="AS26" s="407">
        <v>7</v>
      </c>
      <c r="AT26" s="407">
        <v>37</v>
      </c>
    </row>
    <row r="27" spans="1:46" ht="14.5" x14ac:dyDescent="0.35">
      <c r="B27" s="48" t="str">
        <f>$B$18</f>
        <v/>
      </c>
      <c r="C27" s="49"/>
      <c r="D27" s="246"/>
      <c r="E27" s="246"/>
      <c r="F27" s="246"/>
      <c r="G27" s="246"/>
      <c r="H27" s="246"/>
      <c r="I27" s="246"/>
      <c r="J27" s="369"/>
      <c r="K27" s="247"/>
      <c r="AI27" s="405" t="s">
        <v>135</v>
      </c>
      <c r="AJ27" s="405" t="s">
        <v>86</v>
      </c>
      <c r="AM27" s="407" t="s">
        <v>116</v>
      </c>
      <c r="AN27" s="407" t="s">
        <v>117</v>
      </c>
      <c r="AO27" s="407">
        <v>18</v>
      </c>
      <c r="AP27" s="407">
        <v>4</v>
      </c>
      <c r="AQ27" s="407">
        <v>22</v>
      </c>
      <c r="AR27" s="407">
        <v>24</v>
      </c>
      <c r="AS27" s="407">
        <v>1</v>
      </c>
      <c r="AT27" s="407">
        <v>25</v>
      </c>
    </row>
    <row r="28" spans="1:46" ht="14.5" x14ac:dyDescent="0.35">
      <c r="B28" s="248" t="s">
        <v>17</v>
      </c>
      <c r="C28" s="249"/>
      <c r="D28" s="250" t="str">
        <f>IFERROR(VLOOKUP($E$4,Y_1,8,0),"")</f>
        <v/>
      </c>
      <c r="E28" s="250" t="str">
        <f>IFERROR(VLOOKUP($E$4,Y_2,8,0),"")</f>
        <v/>
      </c>
      <c r="F28" s="250" t="str">
        <f>IFERROR(VLOOKUP($E$4,Y_3,8,0),"")</f>
        <v/>
      </c>
      <c r="G28" s="250" t="str">
        <f>IFERROR(VLOOKUP($E$4,Y_4,8,0),"")</f>
        <v/>
      </c>
      <c r="H28" s="250" t="str">
        <f>IFERROR(VLOOKUP($E$4,Y_5,8,0),"")</f>
        <v/>
      </c>
      <c r="I28" s="250" t="str">
        <f>IFERROR(VLOOKUP($E$4,Y_6,8,0),"")</f>
        <v/>
      </c>
      <c r="J28" s="250" t="str">
        <f>IFERROR(VLOOKUP($E$4,Y_7,8,0),"")</f>
        <v/>
      </c>
      <c r="K28" s="251" t="str">
        <f>IFERROR(VLOOKUP($E$4,Y_8,8,0),"")</f>
        <v/>
      </c>
      <c r="AI28" s="405" t="s">
        <v>137</v>
      </c>
      <c r="AJ28" s="405" t="s">
        <v>82</v>
      </c>
      <c r="AM28" s="407" t="s">
        <v>118</v>
      </c>
      <c r="AN28" s="407" t="s">
        <v>119</v>
      </c>
      <c r="AO28" s="407">
        <v>22</v>
      </c>
      <c r="AP28" s="407">
        <v>9</v>
      </c>
      <c r="AQ28" s="407">
        <v>31</v>
      </c>
      <c r="AR28" s="407">
        <v>22</v>
      </c>
      <c r="AS28" s="407">
        <v>9</v>
      </c>
      <c r="AT28" s="407">
        <v>31</v>
      </c>
    </row>
    <row r="29" spans="1:46" ht="14.5" x14ac:dyDescent="0.35">
      <c r="B29" s="252" t="s">
        <v>18</v>
      </c>
      <c r="C29" s="221"/>
      <c r="D29" s="253" t="str">
        <f>IFERROR(VLOOKUP($E$4,Y_1,9,0),"")</f>
        <v/>
      </c>
      <c r="E29" s="253" t="str">
        <f>IFERROR(VLOOKUP($E$4,Y_2,9,0),"")</f>
        <v/>
      </c>
      <c r="F29" s="253" t="str">
        <f>IFERROR(VLOOKUP($E$4,Y_3,9,0),"")</f>
        <v/>
      </c>
      <c r="G29" s="253" t="str">
        <f>IFERROR(VLOOKUP($E$4,Y_4,9,0),"")</f>
        <v/>
      </c>
      <c r="H29" s="253" t="str">
        <f>IFERROR(VLOOKUP($E$4,Y_5,9,0),"")</f>
        <v/>
      </c>
      <c r="I29" s="253" t="str">
        <f>IFERROR(VLOOKUP($E$4,Y_6,9,0),"")</f>
        <v/>
      </c>
      <c r="J29" s="370" t="str">
        <f>IFERROR(VLOOKUP($E$4,Y_7,9,0),"")</f>
        <v/>
      </c>
      <c r="K29" s="254" t="str">
        <f>IFERROR(VLOOKUP($E$4,Y_8,9,0),"")</f>
        <v/>
      </c>
      <c r="AI29" s="405" t="s">
        <v>139</v>
      </c>
      <c r="AJ29" s="405" t="s">
        <v>88</v>
      </c>
      <c r="AM29" s="407" t="s">
        <v>120</v>
      </c>
      <c r="AN29" s="407" t="s">
        <v>121</v>
      </c>
      <c r="AO29" s="407">
        <v>25</v>
      </c>
      <c r="AP29" s="407">
        <v>7</v>
      </c>
      <c r="AQ29" s="407">
        <v>32</v>
      </c>
      <c r="AR29" s="407">
        <v>31</v>
      </c>
      <c r="AS29" s="407">
        <v>9</v>
      </c>
      <c r="AT29" s="407">
        <v>40</v>
      </c>
    </row>
    <row r="30" spans="1:46" ht="14.5" x14ac:dyDescent="0.35">
      <c r="B30" s="255" t="s">
        <v>19</v>
      </c>
      <c r="C30" s="256"/>
      <c r="D30" s="257" t="str">
        <f>IFERROR(D29/D28,"-")</f>
        <v>-</v>
      </c>
      <c r="E30" s="257" t="str">
        <f t="shared" ref="E30:I30" si="3">IFERROR(E29/E28,"-")</f>
        <v>-</v>
      </c>
      <c r="F30" s="257" t="str">
        <f t="shared" si="3"/>
        <v>-</v>
      </c>
      <c r="G30" s="257" t="str">
        <f t="shared" si="3"/>
        <v>-</v>
      </c>
      <c r="H30" s="257" t="str">
        <f t="shared" si="3"/>
        <v>-</v>
      </c>
      <c r="I30" s="257" t="str">
        <f t="shared" si="3"/>
        <v>-</v>
      </c>
      <c r="J30" s="257" t="str">
        <f t="shared" ref="J30" si="4">IFERROR(J29/J28,"-")</f>
        <v>-</v>
      </c>
      <c r="K30" s="258" t="str">
        <f t="shared" ref="K30" si="5">IFERROR(K29/K28,"-")</f>
        <v>-</v>
      </c>
      <c r="AI30" s="405" t="s">
        <v>141</v>
      </c>
      <c r="AJ30" s="405" t="s">
        <v>87</v>
      </c>
      <c r="AM30" s="407" t="s">
        <v>122</v>
      </c>
      <c r="AN30" s="407" t="s">
        <v>123</v>
      </c>
      <c r="AO30" s="407">
        <v>26</v>
      </c>
      <c r="AP30" s="407">
        <v>14</v>
      </c>
      <c r="AQ30" s="407">
        <v>40</v>
      </c>
      <c r="AR30" s="407">
        <v>26</v>
      </c>
      <c r="AS30" s="407">
        <v>16</v>
      </c>
      <c r="AT30" s="407">
        <v>42</v>
      </c>
    </row>
    <row r="31" spans="1:46" ht="14.5" x14ac:dyDescent="0.35">
      <c r="B31" s="48" t="s">
        <v>15</v>
      </c>
      <c r="C31" s="49"/>
      <c r="D31" s="246"/>
      <c r="E31" s="246"/>
      <c r="F31" s="246"/>
      <c r="G31" s="246"/>
      <c r="H31" s="246"/>
      <c r="I31" s="246"/>
      <c r="J31" s="369"/>
      <c r="K31" s="247"/>
      <c r="AI31" s="405" t="s">
        <v>143</v>
      </c>
      <c r="AJ31" s="405" t="s">
        <v>792</v>
      </c>
      <c r="AM31" s="407" t="s">
        <v>124</v>
      </c>
      <c r="AN31" s="407" t="s">
        <v>125</v>
      </c>
      <c r="AO31" s="407">
        <v>32</v>
      </c>
      <c r="AP31" s="407">
        <v>45</v>
      </c>
      <c r="AQ31" s="407">
        <v>77</v>
      </c>
      <c r="AR31" s="407">
        <v>33</v>
      </c>
      <c r="AS31" s="407">
        <v>49</v>
      </c>
      <c r="AT31" s="407">
        <v>82</v>
      </c>
    </row>
    <row r="32" spans="1:46" ht="14.5" x14ac:dyDescent="0.35">
      <c r="B32" s="248" t="s">
        <v>17</v>
      </c>
      <c r="C32" s="249"/>
      <c r="D32" s="259">
        <f>IF($E$4&lt;&gt;"",VLOOKUP($B$19,Y_1,8,0),"")</f>
        <v>2451983</v>
      </c>
      <c r="E32" s="259">
        <f>IF($E$4&lt;&gt;"",VLOOKUP($B$19,Y_2,8,0),"")</f>
        <v>2493952</v>
      </c>
      <c r="F32" s="259">
        <f>IF($E$4&lt;&gt;"",VLOOKUP($B$19,Y_3,8,0),"")</f>
        <v>2511258</v>
      </c>
      <c r="G32" s="259">
        <f>IF($E$4&lt;&gt;"",VLOOKUP($B$19,Y_4,8,0),"")</f>
        <v>2539112</v>
      </c>
      <c r="H32" s="259">
        <f>IF($E$4&lt;&gt;"",VLOOKUP($B$19,Y_5,8,0),"")</f>
        <v>2560993</v>
      </c>
      <c r="I32" s="259">
        <f>IF($E$4&lt;&gt;"",VLOOKUP($B$19,Y_6,8,0),"")</f>
        <v>2583208</v>
      </c>
      <c r="J32" s="259">
        <f>IF($E$4&lt;&gt;"",VLOOKUP($B$19,Y_7,8,0),"")</f>
        <v>2598546</v>
      </c>
      <c r="K32" s="260">
        <f>IF($E$4&lt;&gt;"",VLOOKUP($B$19,Y_8,8,0),"")</f>
        <v>2619054</v>
      </c>
      <c r="AI32" s="405" t="s">
        <v>145</v>
      </c>
      <c r="AJ32" s="405" t="s">
        <v>83</v>
      </c>
      <c r="AM32" s="407" t="s">
        <v>126</v>
      </c>
      <c r="AN32" s="407" t="s">
        <v>127</v>
      </c>
      <c r="AO32" s="407">
        <v>17</v>
      </c>
      <c r="AP32" s="407">
        <v>1</v>
      </c>
      <c r="AQ32" s="407">
        <v>18</v>
      </c>
      <c r="AR32" s="407">
        <v>19</v>
      </c>
      <c r="AS32" s="407">
        <v>1</v>
      </c>
      <c r="AT32" s="407">
        <v>20</v>
      </c>
    </row>
    <row r="33" spans="1:54" ht="14.5" x14ac:dyDescent="0.35">
      <c r="B33" s="252" t="s">
        <v>18</v>
      </c>
      <c r="C33" s="221"/>
      <c r="D33" s="261">
        <f>IF($E$4&lt;&gt;"",VLOOKUP($B$19,Y_1,9,0),"")</f>
        <v>16474</v>
      </c>
      <c r="E33" s="261">
        <f>IF($E$4&lt;&gt;"",VLOOKUP($B$19,Y_2,9,0),"")</f>
        <v>8053</v>
      </c>
      <c r="F33" s="261">
        <f>IF($E$4&lt;&gt;"",VLOOKUP($B$19,Y_3,9,0),"")</f>
        <v>11479</v>
      </c>
      <c r="G33" s="261">
        <f>IF($E$4&lt;&gt;"",VLOOKUP($B$19,Y_4,9,0),"")</f>
        <v>9610</v>
      </c>
      <c r="H33" s="261">
        <f>IF($E$4&lt;&gt;"",VLOOKUP($B$19,Y_5,9,0),"")</f>
        <v>8896</v>
      </c>
      <c r="I33" s="261">
        <f>IF($E$4&lt;&gt;"",VLOOKUP($B$19,Y_6,9,0),"")</f>
        <v>7788</v>
      </c>
      <c r="J33" s="371">
        <f>IF($E$4&lt;&gt;"",VLOOKUP($B$19,Y_7,9,0),"")</f>
        <v>10772</v>
      </c>
      <c r="K33" s="262">
        <f>IF($E$4&lt;&gt;"",VLOOKUP($B$19,Y_8,9,0),"")</f>
        <v>6692</v>
      </c>
      <c r="AI33" s="405" t="s">
        <v>147</v>
      </c>
      <c r="AJ33" s="405" t="s">
        <v>83</v>
      </c>
      <c r="AM33" s="407" t="s">
        <v>128</v>
      </c>
      <c r="AN33" s="407" t="s">
        <v>129</v>
      </c>
      <c r="AO33" s="407">
        <v>16</v>
      </c>
      <c r="AP33" s="407">
        <v>8</v>
      </c>
      <c r="AQ33" s="407">
        <v>24</v>
      </c>
      <c r="AR33" s="407">
        <v>16</v>
      </c>
      <c r="AS33" s="407">
        <v>10</v>
      </c>
      <c r="AT33" s="407">
        <v>26</v>
      </c>
    </row>
    <row r="34" spans="1:54" ht="14.5" x14ac:dyDescent="0.35">
      <c r="B34" s="255" t="s">
        <v>19</v>
      </c>
      <c r="C34" s="256"/>
      <c r="D34" s="257">
        <f>IFERROR(D33/D32,"-")</f>
        <v>6.7186436447561016E-3</v>
      </c>
      <c r="E34" s="257">
        <f t="shared" ref="E34:I34" si="6">IFERROR(E33/E32,"-")</f>
        <v>3.2290116249230139E-3</v>
      </c>
      <c r="F34" s="257">
        <f t="shared" si="6"/>
        <v>4.5710158016420456E-3</v>
      </c>
      <c r="G34" s="257">
        <f t="shared" si="6"/>
        <v>3.7847877525686146E-3</v>
      </c>
      <c r="H34" s="257">
        <f t="shared" si="6"/>
        <v>3.4736526027208977E-3</v>
      </c>
      <c r="I34" s="257">
        <f t="shared" si="6"/>
        <v>3.0148559465594717E-3</v>
      </c>
      <c r="J34" s="257">
        <f t="shared" ref="J34" si="7">IFERROR(J33/J32,"-")</f>
        <v>4.1453951555985536E-3</v>
      </c>
      <c r="K34" s="258">
        <f t="shared" ref="K34" si="8">IFERROR(K33/K32,"-")</f>
        <v>2.5551210475232662E-3</v>
      </c>
      <c r="AI34" s="405" t="s">
        <v>149</v>
      </c>
      <c r="AJ34" s="405" t="s">
        <v>84</v>
      </c>
      <c r="AM34" s="407" t="s">
        <v>130</v>
      </c>
      <c r="AN34" s="407" t="s">
        <v>131</v>
      </c>
      <c r="AO34" s="407">
        <v>15</v>
      </c>
      <c r="AP34" s="407">
        <v>5</v>
      </c>
      <c r="AQ34" s="407">
        <v>20</v>
      </c>
      <c r="AR34" s="407">
        <v>18</v>
      </c>
      <c r="AS34" s="407">
        <v>11</v>
      </c>
      <c r="AT34" s="407">
        <v>29</v>
      </c>
    </row>
    <row r="35" spans="1:54" ht="14.5" x14ac:dyDescent="0.35">
      <c r="AI35" s="405" t="s">
        <v>151</v>
      </c>
      <c r="AJ35" s="405" t="s">
        <v>83</v>
      </c>
      <c r="AK35" s="353"/>
      <c r="AL35" s="353"/>
      <c r="AM35" s="407" t="s">
        <v>132</v>
      </c>
      <c r="AN35" s="407" t="s">
        <v>133</v>
      </c>
      <c r="AO35" s="407">
        <v>12</v>
      </c>
      <c r="AP35" s="407">
        <v>2</v>
      </c>
      <c r="AQ35" s="407">
        <v>14</v>
      </c>
      <c r="AR35" s="407">
        <v>20</v>
      </c>
      <c r="AS35" s="407">
        <v>2</v>
      </c>
      <c r="AT35" s="407">
        <v>22</v>
      </c>
      <c r="AU35" s="196"/>
      <c r="AV35" s="196"/>
      <c r="AW35" s="196"/>
      <c r="AX35" s="196"/>
      <c r="AY35" s="196"/>
      <c r="AZ35" s="196"/>
      <c r="BA35" s="196"/>
      <c r="BB35" s="196"/>
    </row>
    <row r="36" spans="1:54" ht="15.5" x14ac:dyDescent="0.35">
      <c r="A36" s="423">
        <v>3</v>
      </c>
      <c r="B36" s="54" t="s">
        <v>796</v>
      </c>
      <c r="C36" s="55"/>
      <c r="D36" s="56"/>
      <c r="E36" s="8"/>
      <c r="F36" s="8"/>
      <c r="G36" s="8"/>
      <c r="H36" s="8"/>
      <c r="I36" s="8"/>
      <c r="J36" s="8"/>
      <c r="K36" s="57"/>
      <c r="L36" s="11"/>
      <c r="AI36" s="405" t="s">
        <v>153</v>
      </c>
      <c r="AJ36" s="405" t="s">
        <v>87</v>
      </c>
      <c r="AM36" s="407" t="s">
        <v>134</v>
      </c>
      <c r="AN36" s="407" t="s">
        <v>135</v>
      </c>
      <c r="AO36" s="407">
        <v>21</v>
      </c>
      <c r="AP36" s="407">
        <v>3</v>
      </c>
      <c r="AQ36" s="407">
        <v>24</v>
      </c>
      <c r="AR36" s="407">
        <v>20</v>
      </c>
      <c r="AS36" s="407">
        <v>8</v>
      </c>
      <c r="AT36" s="407">
        <v>28</v>
      </c>
    </row>
    <row r="37" spans="1:54" ht="41.5" customHeight="1" x14ac:dyDescent="0.35">
      <c r="A37" s="424"/>
      <c r="B37" s="425" t="str">
        <f>IF(E3="", "Average weekly rent (£ per week) and units","Average weekly general needs rent (£ per week) and units in "&amp;$E$3&amp;", "&amp;$B$18&amp;" and England")</f>
        <v>Average weekly rent (£ per week) and units</v>
      </c>
      <c r="C37" s="426"/>
      <c r="D37" s="426"/>
      <c r="E37" s="426"/>
      <c r="F37" s="426"/>
      <c r="G37" s="426"/>
      <c r="H37" s="426"/>
      <c r="I37" s="426"/>
      <c r="J37" s="348"/>
      <c r="K37" s="58"/>
      <c r="AI37" s="405" t="s">
        <v>155</v>
      </c>
      <c r="AJ37" s="405" t="s">
        <v>88</v>
      </c>
      <c r="AM37" s="407" t="s">
        <v>136</v>
      </c>
      <c r="AN37" s="407" t="s">
        <v>137</v>
      </c>
      <c r="AO37" s="407">
        <v>11</v>
      </c>
      <c r="AP37" s="407">
        <v>4</v>
      </c>
      <c r="AQ37" s="407">
        <v>15</v>
      </c>
      <c r="AR37" s="407">
        <v>11</v>
      </c>
      <c r="AS37" s="407">
        <v>4</v>
      </c>
      <c r="AT37" s="407">
        <v>15</v>
      </c>
    </row>
    <row r="38" spans="1:54" ht="14.5" x14ac:dyDescent="0.35">
      <c r="B38" s="59"/>
      <c r="C38" s="367" t="s">
        <v>819</v>
      </c>
      <c r="D38" s="60">
        <v>2015</v>
      </c>
      <c r="E38" s="61">
        <v>2016</v>
      </c>
      <c r="F38" s="61">
        <v>2017</v>
      </c>
      <c r="G38" s="60">
        <v>2018</v>
      </c>
      <c r="H38" s="60">
        <v>2019</v>
      </c>
      <c r="I38" s="60">
        <v>2020</v>
      </c>
      <c r="J38" s="372">
        <v>2021</v>
      </c>
      <c r="K38" s="62">
        <v>2022</v>
      </c>
      <c r="AI38" s="405" t="s">
        <v>157</v>
      </c>
      <c r="AJ38" s="405" t="s">
        <v>83</v>
      </c>
      <c r="AM38" s="407" t="s">
        <v>138</v>
      </c>
      <c r="AN38" s="407" t="s">
        <v>139</v>
      </c>
      <c r="AO38" s="407">
        <v>0</v>
      </c>
      <c r="AP38" s="407">
        <v>0</v>
      </c>
      <c r="AQ38" s="407">
        <v>0</v>
      </c>
      <c r="AR38" s="407">
        <v>26</v>
      </c>
      <c r="AS38" s="407">
        <v>13</v>
      </c>
      <c r="AT38" s="407">
        <v>39</v>
      </c>
    </row>
    <row r="39" spans="1:54" ht="14.5" x14ac:dyDescent="0.35">
      <c r="B39" s="34">
        <f>$E$3</f>
        <v>0</v>
      </c>
      <c r="C39" s="35"/>
      <c r="D39" s="244"/>
      <c r="E39" s="244"/>
      <c r="F39" s="244"/>
      <c r="G39" s="244"/>
      <c r="H39" s="263"/>
      <c r="I39" s="263"/>
      <c r="J39" s="263"/>
      <c r="K39" s="264"/>
      <c r="AI39" s="405" t="s">
        <v>159</v>
      </c>
      <c r="AJ39" s="405" t="s">
        <v>84</v>
      </c>
      <c r="AM39" s="407" t="s">
        <v>140</v>
      </c>
      <c r="AN39" s="407" t="s">
        <v>141</v>
      </c>
      <c r="AO39" s="407">
        <v>23</v>
      </c>
      <c r="AP39" s="407">
        <v>1</v>
      </c>
      <c r="AQ39" s="407">
        <v>24</v>
      </c>
      <c r="AR39" s="407">
        <v>28</v>
      </c>
      <c r="AS39" s="407">
        <v>4</v>
      </c>
      <c r="AT39" s="407">
        <v>32</v>
      </c>
    </row>
    <row r="40" spans="1:54" ht="14.5" x14ac:dyDescent="0.35">
      <c r="B40" s="248" t="s">
        <v>20</v>
      </c>
      <c r="C40" s="249"/>
      <c r="D40" s="265" t="str">
        <f>IFERROR(VLOOKUP($E$3,Y_1,10,0),"")</f>
        <v/>
      </c>
      <c r="E40" s="265" t="str">
        <f>IFERROR(VLOOKUP($E$3,Y_2,10,0),"")</f>
        <v/>
      </c>
      <c r="F40" s="265" t="str">
        <f>IFERROR(VLOOKUP($E$3,Y_3,10,0),"")</f>
        <v/>
      </c>
      <c r="G40" s="265" t="str">
        <f>IFERROR(VLOOKUP($E$3,Y_4,10,0),"")</f>
        <v/>
      </c>
      <c r="H40" s="265" t="str">
        <f>IFERROR(VLOOKUP($E$3,Y_5,10,0),"")</f>
        <v/>
      </c>
      <c r="I40" s="265" t="str">
        <f>IFERROR(VLOOKUP($E$3,Y_6,10,0),"")</f>
        <v/>
      </c>
      <c r="J40" s="265" t="str">
        <f>IFERROR(VLOOKUP($E$3,Y_7,10,0),"")</f>
        <v/>
      </c>
      <c r="K40" s="266" t="str">
        <f>IFERROR(VLOOKUP($E$3,Y_8,10,0),"")</f>
        <v/>
      </c>
      <c r="AI40" s="405" t="s">
        <v>161</v>
      </c>
      <c r="AJ40" s="405" t="s">
        <v>89</v>
      </c>
      <c r="AM40" s="407" t="s">
        <v>142</v>
      </c>
      <c r="AN40" s="407" t="s">
        <v>143</v>
      </c>
      <c r="AO40" s="407">
        <v>25</v>
      </c>
      <c r="AP40" s="407">
        <v>14</v>
      </c>
      <c r="AQ40" s="407">
        <v>39</v>
      </c>
      <c r="AR40" s="407">
        <v>32</v>
      </c>
      <c r="AS40" s="407">
        <v>19</v>
      </c>
      <c r="AT40" s="407">
        <v>51</v>
      </c>
    </row>
    <row r="41" spans="1:54" ht="15.5" x14ac:dyDescent="0.35">
      <c r="B41" s="252" t="s">
        <v>780</v>
      </c>
      <c r="C41" s="221"/>
      <c r="D41" s="63" t="str">
        <f>IFERROR(VLOOKUP($E$3,Y_1,11,0),"")</f>
        <v/>
      </c>
      <c r="E41" s="63" t="str">
        <f>IFERROR(VLOOKUP($E$3,Y_2,11,0),"")</f>
        <v/>
      </c>
      <c r="F41" s="267" t="str">
        <f>IFERROR(VLOOKUP($E$3,Y_3,11,0),"")</f>
        <v/>
      </c>
      <c r="G41" s="267" t="str">
        <f>IFERROR(VLOOKUP($E$3,Y_4,11,0),"")</f>
        <v/>
      </c>
      <c r="H41" s="267" t="str">
        <f>IFERROR(VLOOKUP($E$3,Y_5,11,0),"")</f>
        <v/>
      </c>
      <c r="I41" s="267" t="str">
        <f>IFERROR(VLOOKUP($E$3,Y_6,11,0),"")</f>
        <v/>
      </c>
      <c r="J41" s="373" t="str">
        <f>IFERROR(VLOOKUP($E$3,Y_7,11,0),"")</f>
        <v/>
      </c>
      <c r="K41" s="268" t="str">
        <f>IFERROR(VLOOKUP($E$3,Y_8,11,0),"")</f>
        <v/>
      </c>
      <c r="AI41" s="405" t="s">
        <v>163</v>
      </c>
      <c r="AJ41" s="405" t="s">
        <v>83</v>
      </c>
      <c r="AM41" s="407" t="s">
        <v>144</v>
      </c>
      <c r="AN41" s="407" t="s">
        <v>145</v>
      </c>
      <c r="AO41" s="407">
        <v>27</v>
      </c>
      <c r="AP41" s="407">
        <v>7</v>
      </c>
      <c r="AQ41" s="407">
        <v>34</v>
      </c>
      <c r="AR41" s="407">
        <v>30</v>
      </c>
      <c r="AS41" s="407">
        <v>6</v>
      </c>
      <c r="AT41" s="407">
        <v>36</v>
      </c>
    </row>
    <row r="42" spans="1:54" ht="14.5" x14ac:dyDescent="0.35">
      <c r="B42" s="252" t="s">
        <v>21</v>
      </c>
      <c r="C42" s="221"/>
      <c r="D42" s="267" t="str">
        <f>IFERROR(VLOOKUP($E$3,Y_1,12,0),"")</f>
        <v/>
      </c>
      <c r="E42" s="267" t="str">
        <f>IFERROR(VLOOKUP($E$3,Y_2,12,0),"")</f>
        <v/>
      </c>
      <c r="F42" s="267" t="str">
        <f>IFERROR(VLOOKUP($E$3,Y_3,12,0),"")</f>
        <v/>
      </c>
      <c r="G42" s="267" t="str">
        <f>IFERROR(VLOOKUP($E$3,Y_4,12,0),"")</f>
        <v/>
      </c>
      <c r="H42" s="267" t="str">
        <f>IFERROR(VLOOKUP($E$3,Y_5,12,0),"")</f>
        <v/>
      </c>
      <c r="I42" s="267" t="str">
        <f>IFERROR(VLOOKUP($E$3,Y_6,12,0),"")</f>
        <v/>
      </c>
      <c r="J42" s="373" t="str">
        <f>IFERROR(VLOOKUP($E$3,Y_7,12,0),"")</f>
        <v/>
      </c>
      <c r="K42" s="268" t="str">
        <f>IFERROR(VLOOKUP($E$3,Y_8,12,0),"")</f>
        <v/>
      </c>
      <c r="AI42" s="405" t="s">
        <v>165</v>
      </c>
      <c r="AJ42" s="405" t="s">
        <v>82</v>
      </c>
      <c r="AM42" s="407" t="s">
        <v>146</v>
      </c>
      <c r="AN42" s="407" t="s">
        <v>147</v>
      </c>
      <c r="AO42" s="407">
        <v>23</v>
      </c>
      <c r="AP42" s="407">
        <v>5</v>
      </c>
      <c r="AQ42" s="407">
        <v>28</v>
      </c>
      <c r="AR42" s="407">
        <v>22</v>
      </c>
      <c r="AS42" s="407">
        <v>4</v>
      </c>
      <c r="AT42" s="407">
        <v>26</v>
      </c>
    </row>
    <row r="43" spans="1:54" ht="14.5" x14ac:dyDescent="0.35">
      <c r="B43" s="252" t="s">
        <v>22</v>
      </c>
      <c r="C43" s="221"/>
      <c r="D43" s="267" t="str">
        <f>IFERROR(VLOOKUP($E$3,Y_1,13,0),"")</f>
        <v/>
      </c>
      <c r="E43" s="267" t="str">
        <f>IFERROR(VLOOKUP($E$3,Y_2,13,0),"")</f>
        <v/>
      </c>
      <c r="F43" s="267" t="str">
        <f>IFERROR(VLOOKUP($E$3,Y_3,13,0),"")</f>
        <v/>
      </c>
      <c r="G43" s="267" t="str">
        <f>IFERROR(VLOOKUP($E$3,Y_4,13,0),"")</f>
        <v/>
      </c>
      <c r="H43" s="267" t="str">
        <f>IFERROR(VLOOKUP($E$3,Y_5,13,0),"")</f>
        <v/>
      </c>
      <c r="I43" s="267" t="str">
        <f>IFERROR(VLOOKUP($E$3,Y_6,13,0),"")</f>
        <v/>
      </c>
      <c r="J43" s="373" t="str">
        <f>IFERROR(VLOOKUP($E$3,Y_7,13,0),"")</f>
        <v/>
      </c>
      <c r="K43" s="268" t="str">
        <f>IFERROR(VLOOKUP($E$3,Y_8,13,0),"")</f>
        <v/>
      </c>
      <c r="AI43" s="405" t="s">
        <v>774</v>
      </c>
      <c r="AJ43" s="405" t="s">
        <v>87</v>
      </c>
      <c r="AM43" s="407" t="s">
        <v>148</v>
      </c>
      <c r="AN43" s="407" t="s">
        <v>149</v>
      </c>
      <c r="AO43" s="407">
        <v>30</v>
      </c>
      <c r="AP43" s="407">
        <v>27</v>
      </c>
      <c r="AQ43" s="407">
        <v>57</v>
      </c>
      <c r="AR43" s="407">
        <v>29</v>
      </c>
      <c r="AS43" s="407">
        <v>32</v>
      </c>
      <c r="AT43" s="407">
        <v>61</v>
      </c>
    </row>
    <row r="44" spans="1:54" ht="14.5" x14ac:dyDescent="0.35">
      <c r="B44" s="255" t="s">
        <v>23</v>
      </c>
      <c r="C44" s="256"/>
      <c r="D44" s="269" t="str">
        <f>IFERROR(VLOOKUP($E$3,Y_1,14,0),"")</f>
        <v/>
      </c>
      <c r="E44" s="269" t="str">
        <f>IFERROR(VLOOKUP($E$3,Y_2,14,0),"")</f>
        <v/>
      </c>
      <c r="F44" s="269" t="str">
        <f>IFERROR(VLOOKUP($E$3,Y_3,14,0),"")</f>
        <v/>
      </c>
      <c r="G44" s="269" t="str">
        <f>IFERROR(VLOOKUP($E$3,Y_4,14,0),"")</f>
        <v/>
      </c>
      <c r="H44" s="269" t="str">
        <f>IFERROR(VLOOKUP($E$3,Y_5,14,0),"")</f>
        <v/>
      </c>
      <c r="I44" s="269" t="str">
        <f>IFERROR(VLOOKUP($E$3,Y_6,14,0),"")</f>
        <v/>
      </c>
      <c r="J44" s="269" t="str">
        <f>IFERROR(VLOOKUP($E$3,Y_7,14,0),"")</f>
        <v/>
      </c>
      <c r="K44" s="270" t="str">
        <f>IFERROR(VLOOKUP($E$3,Y_8,14,0),"")</f>
        <v/>
      </c>
      <c r="AI44" s="405" t="s">
        <v>167</v>
      </c>
      <c r="AJ44" s="405" t="s">
        <v>86</v>
      </c>
      <c r="AM44" s="407" t="s">
        <v>150</v>
      </c>
      <c r="AN44" s="407" t="s">
        <v>151</v>
      </c>
      <c r="AO44" s="407">
        <v>17</v>
      </c>
      <c r="AP44" s="407">
        <v>3</v>
      </c>
      <c r="AQ44" s="407">
        <v>20</v>
      </c>
      <c r="AR44" s="407">
        <v>20</v>
      </c>
      <c r="AS44" s="407">
        <v>3</v>
      </c>
      <c r="AT44" s="407">
        <v>23</v>
      </c>
    </row>
    <row r="45" spans="1:54" ht="14.5" x14ac:dyDescent="0.35">
      <c r="B45" s="48" t="str">
        <f>$B$18</f>
        <v/>
      </c>
      <c r="C45" s="64"/>
      <c r="D45" s="267"/>
      <c r="E45" s="267"/>
      <c r="F45" s="267"/>
      <c r="G45" s="267"/>
      <c r="H45" s="271"/>
      <c r="I45" s="271"/>
      <c r="J45" s="374"/>
      <c r="K45" s="272"/>
      <c r="AI45" s="405" t="s">
        <v>169</v>
      </c>
      <c r="AJ45" s="405" t="s">
        <v>86</v>
      </c>
      <c r="AM45" s="407" t="s">
        <v>152</v>
      </c>
      <c r="AN45" s="407" t="s">
        <v>153</v>
      </c>
      <c r="AO45" s="407">
        <v>25</v>
      </c>
      <c r="AP45" s="407">
        <v>15</v>
      </c>
      <c r="AQ45" s="407">
        <v>40</v>
      </c>
      <c r="AR45" s="407">
        <v>29</v>
      </c>
      <c r="AS45" s="407">
        <v>17</v>
      </c>
      <c r="AT45" s="407">
        <v>46</v>
      </c>
    </row>
    <row r="46" spans="1:54" ht="14.5" x14ac:dyDescent="0.35">
      <c r="B46" s="248" t="s">
        <v>20</v>
      </c>
      <c r="C46" s="249"/>
      <c r="D46" s="265" t="str">
        <f>IFERROR(VLOOKUP($E$4,Y_1,10,0),"")</f>
        <v/>
      </c>
      <c r="E46" s="265" t="str">
        <f>IFERROR(VLOOKUP($E$4,Y_2,10,0),"")</f>
        <v/>
      </c>
      <c r="F46" s="265" t="str">
        <f>IFERROR(VLOOKUP($E$4,Y_3,10,0),"")</f>
        <v/>
      </c>
      <c r="G46" s="265" t="str">
        <f>IFERROR(VLOOKUP($E$4,Y_4,10,0),"")</f>
        <v/>
      </c>
      <c r="H46" s="265" t="str">
        <f>IFERROR(VLOOKUP($E$4,Y_5,10,0),"")</f>
        <v/>
      </c>
      <c r="I46" s="265" t="str">
        <f>IFERROR(VLOOKUP($E$4,Y_6,10,0),"")</f>
        <v/>
      </c>
      <c r="J46" s="265" t="str">
        <f>IFERROR(VLOOKUP($E$4,Y_7,10,0),"")</f>
        <v/>
      </c>
      <c r="K46" s="266" t="str">
        <f>IFERROR(VLOOKUP($E$4,Y_8,10,0),"")</f>
        <v/>
      </c>
      <c r="AI46" s="405" t="s">
        <v>171</v>
      </c>
      <c r="AJ46" s="405" t="s">
        <v>792</v>
      </c>
      <c r="AM46" s="407" t="s">
        <v>154</v>
      </c>
      <c r="AN46" s="407" t="s">
        <v>155</v>
      </c>
      <c r="AO46" s="407">
        <v>27</v>
      </c>
      <c r="AP46" s="407">
        <v>20</v>
      </c>
      <c r="AQ46" s="407">
        <v>47</v>
      </c>
      <c r="AR46" s="407">
        <v>29</v>
      </c>
      <c r="AS46" s="407">
        <v>17</v>
      </c>
      <c r="AT46" s="407">
        <v>46</v>
      </c>
    </row>
    <row r="47" spans="1:54" ht="15.5" x14ac:dyDescent="0.35">
      <c r="B47" s="252" t="s">
        <v>780</v>
      </c>
      <c r="C47" s="221"/>
      <c r="D47" s="63" t="str">
        <f>IFERROR(VLOOKUP($E$4,Y_1,11,0),"")</f>
        <v/>
      </c>
      <c r="E47" s="63" t="str">
        <f>IFERROR(VLOOKUP($E$4,Y_2,11,0),"")</f>
        <v/>
      </c>
      <c r="F47" s="267" t="str">
        <f>IFERROR(VLOOKUP($E$4,Y_3,11,0),"")</f>
        <v/>
      </c>
      <c r="G47" s="267" t="str">
        <f>IFERROR(VLOOKUP($E$4,Y_4,11,0),"")</f>
        <v/>
      </c>
      <c r="H47" s="267" t="str">
        <f>IFERROR(VLOOKUP($E$4,Y_5,11,0),"")</f>
        <v/>
      </c>
      <c r="I47" s="267" t="str">
        <f>IFERROR(VLOOKUP($E$4,Y_6,11,0),"")</f>
        <v/>
      </c>
      <c r="J47" s="373" t="str">
        <f>IFERROR(VLOOKUP($E$4,Y_7,11,0),"")</f>
        <v/>
      </c>
      <c r="K47" s="268" t="str">
        <f>IFERROR(VLOOKUP($E$4,Y_8,11,0),"")</f>
        <v/>
      </c>
      <c r="AI47" s="405" t="s">
        <v>173</v>
      </c>
      <c r="AJ47" s="405" t="s">
        <v>83</v>
      </c>
      <c r="AM47" s="407" t="s">
        <v>156</v>
      </c>
      <c r="AN47" s="407" t="s">
        <v>157</v>
      </c>
      <c r="AO47" s="407">
        <v>18</v>
      </c>
      <c r="AP47" s="407">
        <v>3</v>
      </c>
      <c r="AQ47" s="407">
        <v>21</v>
      </c>
      <c r="AR47" s="407">
        <v>16</v>
      </c>
      <c r="AS47" s="407">
        <v>2</v>
      </c>
      <c r="AT47" s="407">
        <v>18</v>
      </c>
    </row>
    <row r="48" spans="1:54" ht="14.5" x14ac:dyDescent="0.35">
      <c r="B48" s="252" t="s">
        <v>21</v>
      </c>
      <c r="C48" s="221"/>
      <c r="D48" s="267" t="str">
        <f>IFERROR(VLOOKUP($E$4,Y_1,12,0),"")</f>
        <v/>
      </c>
      <c r="E48" s="267" t="str">
        <f>IFERROR(VLOOKUP($E$4,Y_2,12,0),"")</f>
        <v/>
      </c>
      <c r="F48" s="267" t="str">
        <f>IFERROR(VLOOKUP($E$4,Y_3,12,0),"")</f>
        <v/>
      </c>
      <c r="G48" s="267" t="str">
        <f>IFERROR(VLOOKUP($E$4,Y_4,12,0),"")</f>
        <v/>
      </c>
      <c r="H48" s="267" t="str">
        <f>IFERROR(VLOOKUP($E$4,Y_5,12,0),"")</f>
        <v/>
      </c>
      <c r="I48" s="267" t="str">
        <f>IFERROR(VLOOKUP($E$4,Y_6,12,0),"")</f>
        <v/>
      </c>
      <c r="J48" s="373" t="str">
        <f>IFERROR(VLOOKUP($E$4,Y_7,12,0),"")</f>
        <v/>
      </c>
      <c r="K48" s="268" t="str">
        <f>IFERROR(VLOOKUP($E$4,Y_8,12,0),"")</f>
        <v/>
      </c>
      <c r="AI48" s="405" t="s">
        <v>175</v>
      </c>
      <c r="AJ48" s="405" t="s">
        <v>84</v>
      </c>
      <c r="AM48" s="407" t="s">
        <v>158</v>
      </c>
      <c r="AN48" s="407" t="s">
        <v>159</v>
      </c>
      <c r="AO48" s="407">
        <v>33</v>
      </c>
      <c r="AP48" s="407">
        <v>17</v>
      </c>
      <c r="AQ48" s="407">
        <v>50</v>
      </c>
      <c r="AR48" s="407">
        <v>33</v>
      </c>
      <c r="AS48" s="407">
        <v>21</v>
      </c>
      <c r="AT48" s="407">
        <v>54</v>
      </c>
    </row>
    <row r="49" spans="1:46" ht="14.5" x14ac:dyDescent="0.35">
      <c r="B49" s="252" t="s">
        <v>22</v>
      </c>
      <c r="C49" s="221"/>
      <c r="D49" s="267" t="str">
        <f>IFERROR(VLOOKUP($E$4,Y_1,13,0),"")</f>
        <v/>
      </c>
      <c r="E49" s="267" t="str">
        <f>IFERROR(VLOOKUP($E$4,Y_2,13,0),"")</f>
        <v/>
      </c>
      <c r="F49" s="267" t="str">
        <f>IFERROR(VLOOKUP($E$4,Y_3,13,0),"")</f>
        <v/>
      </c>
      <c r="G49" s="267" t="str">
        <f>IFERROR(VLOOKUP($E$4,Y_4,13,0),"")</f>
        <v/>
      </c>
      <c r="H49" s="267" t="str">
        <f>IFERROR(VLOOKUP($E$4,Y_5,13,0),"")</f>
        <v/>
      </c>
      <c r="I49" s="267" t="str">
        <f>IFERROR(VLOOKUP($E$4,Y_6,13,0),"")</f>
        <v/>
      </c>
      <c r="J49" s="373" t="str">
        <f>IFERROR(VLOOKUP($E$4,Y_7,13,0),"")</f>
        <v/>
      </c>
      <c r="K49" s="268" t="str">
        <f>IFERROR(VLOOKUP($E$4,Y_8,13,0),"")</f>
        <v/>
      </c>
      <c r="AI49" s="405" t="s">
        <v>177</v>
      </c>
      <c r="AJ49" s="405" t="s">
        <v>89</v>
      </c>
      <c r="AM49" s="407" t="s">
        <v>160</v>
      </c>
      <c r="AN49" s="407" t="s">
        <v>161</v>
      </c>
      <c r="AO49" s="407">
        <v>19</v>
      </c>
      <c r="AP49" s="407">
        <v>2</v>
      </c>
      <c r="AQ49" s="407">
        <v>21</v>
      </c>
      <c r="AR49" s="407">
        <v>14</v>
      </c>
      <c r="AS49" s="407">
        <v>1</v>
      </c>
      <c r="AT49" s="407">
        <v>15</v>
      </c>
    </row>
    <row r="50" spans="1:46" ht="14.5" x14ac:dyDescent="0.35">
      <c r="B50" s="255" t="s">
        <v>23</v>
      </c>
      <c r="C50" s="256"/>
      <c r="D50" s="269" t="str">
        <f>IFERROR(VLOOKUP($E$4,Y_1,14,0),"")</f>
        <v/>
      </c>
      <c r="E50" s="269" t="str">
        <f>IFERROR(VLOOKUP($E$4,Y_2,14,0),"")</f>
        <v/>
      </c>
      <c r="F50" s="269" t="str">
        <f>IFERROR(VLOOKUP($E$4,Y_3,14,0),"")</f>
        <v/>
      </c>
      <c r="G50" s="269" t="str">
        <f>IFERROR(VLOOKUP($E$4,Y_4,14,0),"")</f>
        <v/>
      </c>
      <c r="H50" s="269" t="str">
        <f>IFERROR(VLOOKUP($E$4,Y_5,14,0),"")</f>
        <v/>
      </c>
      <c r="I50" s="269" t="str">
        <f>IFERROR(VLOOKUP($E$4,Y_6,14,0),"")</f>
        <v/>
      </c>
      <c r="J50" s="269" t="str">
        <f>IFERROR(VLOOKUP($E$4,Y_7,14,0),"")</f>
        <v/>
      </c>
      <c r="K50" s="270" t="str">
        <f>IFERROR(VLOOKUP($E$4,Y_8,14,0),"")</f>
        <v/>
      </c>
      <c r="AI50" s="405" t="s">
        <v>179</v>
      </c>
      <c r="AJ50" s="405" t="s">
        <v>87</v>
      </c>
      <c r="AM50" s="407" t="s">
        <v>162</v>
      </c>
      <c r="AN50" s="407" t="s">
        <v>163</v>
      </c>
      <c r="AO50" s="407">
        <v>17</v>
      </c>
      <c r="AP50" s="407">
        <v>1</v>
      </c>
      <c r="AQ50" s="407">
        <v>18</v>
      </c>
      <c r="AR50" s="407">
        <v>17</v>
      </c>
      <c r="AS50" s="407">
        <v>1</v>
      </c>
      <c r="AT50" s="407">
        <v>18</v>
      </c>
    </row>
    <row r="51" spans="1:46" ht="14.5" x14ac:dyDescent="0.35">
      <c r="B51" s="48" t="s">
        <v>15</v>
      </c>
      <c r="C51" s="49"/>
      <c r="D51" s="267"/>
      <c r="E51" s="267"/>
      <c r="F51" s="267"/>
      <c r="G51" s="267"/>
      <c r="H51" s="271"/>
      <c r="I51" s="271"/>
      <c r="J51" s="374"/>
      <c r="K51" s="272"/>
      <c r="AI51" s="405" t="s">
        <v>181</v>
      </c>
      <c r="AJ51" s="405" t="s">
        <v>86</v>
      </c>
      <c r="AM51" s="407" t="s">
        <v>164</v>
      </c>
      <c r="AN51" s="407" t="s">
        <v>165</v>
      </c>
      <c r="AO51" s="407">
        <v>15</v>
      </c>
      <c r="AP51" s="407">
        <v>2</v>
      </c>
      <c r="AQ51" s="407">
        <v>17</v>
      </c>
      <c r="AR51" s="407">
        <v>19</v>
      </c>
      <c r="AS51" s="407">
        <v>0</v>
      </c>
      <c r="AT51" s="407">
        <v>19</v>
      </c>
    </row>
    <row r="52" spans="1:46" ht="14.5" x14ac:dyDescent="0.35">
      <c r="B52" s="248" t="s">
        <v>20</v>
      </c>
      <c r="C52" s="249"/>
      <c r="D52" s="265">
        <f>IF($E$4&lt;&gt;"",VLOOKUP($B$19,Y_1,10,0),"")</f>
        <v>95.88</v>
      </c>
      <c r="E52" s="265">
        <f>IF($E$4&lt;&gt;"",VLOOKUP($B$19,Y_2,10,0),"")</f>
        <v>97.84</v>
      </c>
      <c r="F52" s="265">
        <f>IF($E$4&lt;&gt;"",VLOOKUP($B$19,Y_3,10,0),"")</f>
        <v>96.61</v>
      </c>
      <c r="G52" s="265">
        <f>IF($E$4&lt;&gt;"",VLOOKUP($B$19,Y_4,10,0),"")</f>
        <v>96.33</v>
      </c>
      <c r="H52" s="265">
        <f>IF($E$4&lt;&gt;"",VLOOKUP($B$19,Y_5,10,0),"")</f>
        <v>95.12</v>
      </c>
      <c r="I52" s="265">
        <f>IF($E$4&lt;&gt;"",VLOOKUP($B$19,Y_6,10,0),"")</f>
        <v>94.25</v>
      </c>
      <c r="J52" s="265">
        <f>IF($E$4&lt;&gt;"",VLOOKUP($B$19,Y_7,10,0),"")</f>
        <v>96.6</v>
      </c>
      <c r="K52" s="266">
        <f>IF($E$4&lt;&gt;"",VLOOKUP($B$19,Y_8,10,0),"")</f>
        <v>98.05</v>
      </c>
      <c r="AI52" s="405" t="s">
        <v>183</v>
      </c>
      <c r="AJ52" s="405" t="s">
        <v>83</v>
      </c>
      <c r="AM52" s="407" t="s">
        <v>779</v>
      </c>
      <c r="AN52" s="407" t="s">
        <v>774</v>
      </c>
      <c r="AO52" s="407">
        <v>0</v>
      </c>
      <c r="AP52" s="407">
        <v>0</v>
      </c>
      <c r="AQ52" s="407">
        <v>0</v>
      </c>
      <c r="AR52" s="407">
        <v>47</v>
      </c>
      <c r="AS52" s="407">
        <v>16</v>
      </c>
      <c r="AT52" s="407">
        <v>63</v>
      </c>
    </row>
    <row r="53" spans="1:46" ht="15.5" x14ac:dyDescent="0.35">
      <c r="B53" s="252" t="s">
        <v>780</v>
      </c>
      <c r="C53" s="221"/>
      <c r="D53" s="63">
        <f>IF($E$4&lt;&gt;"",VLOOKUP($B$19,Y_1,11,0),"")</f>
        <v>96.85</v>
      </c>
      <c r="E53" s="63">
        <f>IF($E$4&lt;&gt;"",VLOOKUP($B$19,Y_2,11,0),"")</f>
        <v>98.83</v>
      </c>
      <c r="F53" s="267">
        <f>IF($E$4&lt;&gt;"",VLOOKUP($B$19,Y_3,11,0),"")</f>
        <v>95.96</v>
      </c>
      <c r="G53" s="267">
        <f>IF($E$4&lt;&gt;"",VLOOKUP($B$19,Y_4,11,0),"")</f>
        <v>95.09</v>
      </c>
      <c r="H53" s="267">
        <f>IF($E$4&lt;&gt;"",VLOOKUP($B$19,Y_5,11,0),"")</f>
        <v>94.54</v>
      </c>
      <c r="I53" s="267">
        <f>IF($E$4&lt;&gt;"",VLOOKUP($B$19,Y_6,11,0),"")</f>
        <v>93.8</v>
      </c>
      <c r="J53" s="373">
        <f>IF($E$4&lt;&gt;"",VLOOKUP($B$19,Y_7,11,0),"")</f>
        <v>96.19</v>
      </c>
      <c r="K53" s="268">
        <f>IF($E$4&lt;&gt;"",VLOOKUP($B$19,Y_8,11,0),"")</f>
        <v>97.56</v>
      </c>
      <c r="AI53" s="405" t="s">
        <v>185</v>
      </c>
      <c r="AJ53" s="405" t="s">
        <v>83</v>
      </c>
      <c r="AM53" s="407" t="s">
        <v>166</v>
      </c>
      <c r="AN53" s="407" t="s">
        <v>167</v>
      </c>
      <c r="AO53" s="407">
        <v>14</v>
      </c>
      <c r="AP53" s="407">
        <v>3</v>
      </c>
      <c r="AQ53" s="407">
        <v>17</v>
      </c>
      <c r="AR53" s="407">
        <v>15</v>
      </c>
      <c r="AS53" s="407">
        <v>5</v>
      </c>
      <c r="AT53" s="407">
        <v>20</v>
      </c>
    </row>
    <row r="54" spans="1:46" ht="14.5" x14ac:dyDescent="0.35">
      <c r="B54" s="252" t="s">
        <v>21</v>
      </c>
      <c r="C54" s="221"/>
      <c r="D54" s="267">
        <f>IF($E$4&lt;&gt;"",VLOOKUP($B$19,Y_1,12,0),"")</f>
        <v>6.02</v>
      </c>
      <c r="E54" s="267">
        <f>IF($E$4&lt;&gt;"",VLOOKUP($B$19,Y_2,12,0),"")</f>
        <v>6.24</v>
      </c>
      <c r="F54" s="267">
        <f>IF($E$4&lt;&gt;"",VLOOKUP($B$19,Y_3,12,0),"")</f>
        <v>6.46</v>
      </c>
      <c r="G54" s="267">
        <f>IF($E$4&lt;&gt;"",VLOOKUP($B$19,Y_4,12,0),"")</f>
        <v>6.71</v>
      </c>
      <c r="H54" s="267">
        <f>IF($E$4&lt;&gt;"",VLOOKUP($B$19,Y_5,12,0),"")</f>
        <v>6.88</v>
      </c>
      <c r="I54" s="267">
        <f>IF($E$4&lt;&gt;"",VLOOKUP($B$19,Y_6,12,0),"")</f>
        <v>7.07</v>
      </c>
      <c r="J54" s="373">
        <f>IF($E$4&lt;&gt;"",VLOOKUP($B$19,Y_7,12,0),"")</f>
        <v>7.12</v>
      </c>
      <c r="K54" s="268">
        <f>IF($E$4&lt;&gt;"",VLOOKUP($B$19,Y_8,12,0),"")</f>
        <v>7.25</v>
      </c>
      <c r="AI54" s="405" t="s">
        <v>187</v>
      </c>
      <c r="AJ54" s="405" t="s">
        <v>82</v>
      </c>
      <c r="AM54" s="407" t="s">
        <v>168</v>
      </c>
      <c r="AN54" s="407" t="s">
        <v>169</v>
      </c>
      <c r="AO54" s="407">
        <v>20</v>
      </c>
      <c r="AP54" s="407">
        <v>8</v>
      </c>
      <c r="AQ54" s="407">
        <v>28</v>
      </c>
      <c r="AR54" s="407">
        <v>22</v>
      </c>
      <c r="AS54" s="407">
        <v>12</v>
      </c>
      <c r="AT54" s="407">
        <v>34</v>
      </c>
    </row>
    <row r="55" spans="1:46" ht="14.5" x14ac:dyDescent="0.35">
      <c r="B55" s="252" t="s">
        <v>22</v>
      </c>
      <c r="C55" s="221"/>
      <c r="D55" s="267">
        <f>IF($E$4&lt;&gt;"",VLOOKUP($B$19,Y_1,13,0),"")</f>
        <v>99.33</v>
      </c>
      <c r="E55" s="267">
        <f>IF($E$4&lt;&gt;"",VLOOKUP($B$19,Y_2,13,0),"")</f>
        <v>101.35</v>
      </c>
      <c r="F55" s="267">
        <f>IF($E$4&lt;&gt;"",VLOOKUP($B$19,Y_3,13,0),"")</f>
        <v>100.38</v>
      </c>
      <c r="G55" s="267">
        <f>IF($E$4&lt;&gt;"",VLOOKUP($B$19,Y_4,13,0),"")</f>
        <v>100.16</v>
      </c>
      <c r="H55" s="267">
        <f>IF($E$4&lt;&gt;"",VLOOKUP($B$19,Y_5,13,0),"")</f>
        <v>99.18</v>
      </c>
      <c r="I55" s="267">
        <f>IF($E$4&lt;&gt;"",VLOOKUP($B$19,Y_6,13,0),"")</f>
        <v>98.49</v>
      </c>
      <c r="J55" s="373">
        <f>IF($E$4&lt;&gt;"",VLOOKUP($B$19,Y_7,13,0),"")</f>
        <v>166.27</v>
      </c>
      <c r="K55" s="268">
        <f>IF($E$4&lt;&gt;"",VLOOKUP($B$19,Y_8,13,0),"")</f>
        <v>102.48</v>
      </c>
      <c r="AI55" s="405" t="s">
        <v>189</v>
      </c>
      <c r="AJ55" s="405" t="s">
        <v>83</v>
      </c>
      <c r="AM55" s="407" t="s">
        <v>170</v>
      </c>
      <c r="AN55" s="407" t="s">
        <v>171</v>
      </c>
      <c r="AO55" s="407">
        <v>19</v>
      </c>
      <c r="AP55" s="407">
        <v>7</v>
      </c>
      <c r="AQ55" s="407">
        <v>26</v>
      </c>
      <c r="AR55" s="407">
        <v>22</v>
      </c>
      <c r="AS55" s="407">
        <v>11</v>
      </c>
      <c r="AT55" s="407">
        <v>33</v>
      </c>
    </row>
    <row r="56" spans="1:46" ht="14.5" x14ac:dyDescent="0.35">
      <c r="B56" s="255" t="s">
        <v>23</v>
      </c>
      <c r="C56" s="256"/>
      <c r="D56" s="269">
        <f>IF($E$4&lt;&gt;"",VLOOKUP($B$19,Y_1,14,0),"")</f>
        <v>1824788</v>
      </c>
      <c r="E56" s="269">
        <f>IF($E$4&lt;&gt;"",VLOOKUP($B$19,Y_2,14,0),"")</f>
        <v>1832246</v>
      </c>
      <c r="F56" s="269">
        <f>IF($E$4&lt;&gt;"",VLOOKUP($B$19,Y_3,14,0),"")</f>
        <v>1844420</v>
      </c>
      <c r="G56" s="269">
        <f>IF($E$4&lt;&gt;"",VLOOKUP($B$19,Y_4,14,0),"")</f>
        <v>1846604</v>
      </c>
      <c r="H56" s="269">
        <f>IF($E$4&lt;&gt;"",VLOOKUP($B$19,Y_5,14,0),"")</f>
        <v>1842615</v>
      </c>
      <c r="I56" s="269">
        <f>IF($E$4&lt;&gt;"",VLOOKUP($B$19,Y_6,14,0),"")</f>
        <v>1835331</v>
      </c>
      <c r="J56" s="269">
        <f>IF($E$4&lt;&gt;"",VLOOKUP($B$19,Y_7,14,0),"")</f>
        <v>1826469</v>
      </c>
      <c r="K56" s="270">
        <f>IF($E$4&lt;&gt;"",VLOOKUP($B$19,Y_8,14,0),"")</f>
        <v>1826339</v>
      </c>
      <c r="AI56" s="405" t="s">
        <v>191</v>
      </c>
      <c r="AJ56" s="405" t="s">
        <v>88</v>
      </c>
      <c r="AM56" s="407" t="s">
        <v>172</v>
      </c>
      <c r="AN56" s="407" t="s">
        <v>173</v>
      </c>
      <c r="AO56" s="407">
        <v>20</v>
      </c>
      <c r="AP56" s="407">
        <v>9</v>
      </c>
      <c r="AQ56" s="407">
        <v>29</v>
      </c>
      <c r="AR56" s="407">
        <v>23</v>
      </c>
      <c r="AS56" s="407">
        <v>6</v>
      </c>
      <c r="AT56" s="407">
        <v>29</v>
      </c>
    </row>
    <row r="57" spans="1:46" ht="14.5" x14ac:dyDescent="0.35">
      <c r="B57" s="65" t="s">
        <v>808</v>
      </c>
      <c r="C57" s="66"/>
      <c r="D57" s="66"/>
      <c r="J57" s="349"/>
      <c r="K57" s="67"/>
      <c r="AI57" s="405" t="s">
        <v>193</v>
      </c>
      <c r="AJ57" s="405" t="s">
        <v>87</v>
      </c>
      <c r="AM57" s="407" t="s">
        <v>174</v>
      </c>
      <c r="AN57" s="407" t="s">
        <v>175</v>
      </c>
      <c r="AO57" s="407">
        <v>26</v>
      </c>
      <c r="AP57" s="407">
        <v>23</v>
      </c>
      <c r="AQ57" s="407">
        <v>49</v>
      </c>
      <c r="AR57" s="407">
        <v>26</v>
      </c>
      <c r="AS57" s="407">
        <v>23</v>
      </c>
      <c r="AT57" s="407">
        <v>49</v>
      </c>
    </row>
    <row r="58" spans="1:46" ht="13.4" customHeight="1" x14ac:dyDescent="0.35">
      <c r="B58" s="65" t="s">
        <v>811</v>
      </c>
      <c r="D58" s="358"/>
      <c r="H58" s="357"/>
      <c r="J58" s="349"/>
      <c r="K58" s="68"/>
      <c r="L58" s="435" t="str">
        <f>IF(E3="","Average weekly general needs (social rent) net rent (£ per week)","Average weekly general needs (social rent) net rent (£ per week) in "&amp;$E$3&amp;", "&amp;$B$18&amp;" and England")</f>
        <v>Average weekly general needs (social rent) net rent (£ per week)</v>
      </c>
      <c r="M58" s="435"/>
      <c r="N58" s="435"/>
      <c r="O58" s="435"/>
      <c r="P58" s="435"/>
      <c r="Q58" s="435"/>
      <c r="R58" s="436"/>
      <c r="AI58" s="405" t="s">
        <v>195</v>
      </c>
      <c r="AJ58" s="405" t="s">
        <v>86</v>
      </c>
      <c r="AM58" s="407" t="s">
        <v>176</v>
      </c>
      <c r="AN58" s="407" t="s">
        <v>177</v>
      </c>
      <c r="AO58" s="407">
        <v>19</v>
      </c>
      <c r="AP58" s="407">
        <v>4</v>
      </c>
      <c r="AQ58" s="407">
        <v>23</v>
      </c>
      <c r="AR58" s="407">
        <v>19</v>
      </c>
      <c r="AS58" s="407">
        <v>6</v>
      </c>
      <c r="AT58" s="407">
        <v>25</v>
      </c>
    </row>
    <row r="59" spans="1:46" ht="13.4" customHeight="1" x14ac:dyDescent="0.35">
      <c r="B59" s="65" t="s">
        <v>798</v>
      </c>
      <c r="C59" s="66"/>
      <c r="D59" s="66"/>
      <c r="E59" s="66"/>
      <c r="J59" s="349"/>
      <c r="K59" s="68"/>
      <c r="L59" s="435"/>
      <c r="M59" s="435"/>
      <c r="N59" s="435"/>
      <c r="O59" s="435"/>
      <c r="P59" s="435"/>
      <c r="Q59" s="435"/>
      <c r="R59" s="436"/>
      <c r="AI59" s="405" t="s">
        <v>197</v>
      </c>
      <c r="AJ59" s="405" t="s">
        <v>86</v>
      </c>
      <c r="AM59" s="407" t="s">
        <v>178</v>
      </c>
      <c r="AN59" s="407" t="s">
        <v>179</v>
      </c>
      <c r="AO59" s="407">
        <v>18</v>
      </c>
      <c r="AP59" s="407">
        <v>7</v>
      </c>
      <c r="AQ59" s="407">
        <v>25</v>
      </c>
      <c r="AR59" s="407">
        <v>22</v>
      </c>
      <c r="AS59" s="407">
        <v>10</v>
      </c>
      <c r="AT59" s="407">
        <v>32</v>
      </c>
    </row>
    <row r="60" spans="1:46" ht="13.4" customHeight="1" x14ac:dyDescent="0.35">
      <c r="B60" s="429" t="s">
        <v>24</v>
      </c>
      <c r="C60" s="430"/>
      <c r="D60" s="430"/>
      <c r="E60" s="430"/>
      <c r="F60" s="430"/>
      <c r="G60" s="430"/>
      <c r="H60" s="430"/>
      <c r="I60" s="430"/>
      <c r="J60" s="350"/>
      <c r="K60" s="69"/>
      <c r="L60" s="435"/>
      <c r="M60" s="435"/>
      <c r="N60" s="435"/>
      <c r="O60" s="435"/>
      <c r="P60" s="435"/>
      <c r="Q60" s="435"/>
      <c r="R60" s="436"/>
      <c r="AI60" s="405" t="s">
        <v>199</v>
      </c>
      <c r="AJ60" s="405" t="s">
        <v>82</v>
      </c>
      <c r="AM60" s="407" t="s">
        <v>180</v>
      </c>
      <c r="AN60" s="407" t="s">
        <v>181</v>
      </c>
      <c r="AO60" s="407">
        <v>12</v>
      </c>
      <c r="AP60" s="407">
        <v>6</v>
      </c>
      <c r="AQ60" s="407">
        <v>18</v>
      </c>
      <c r="AR60" s="407">
        <v>11</v>
      </c>
      <c r="AS60" s="407">
        <v>10</v>
      </c>
      <c r="AT60" s="407">
        <v>21</v>
      </c>
    </row>
    <row r="61" spans="1:46" ht="14.5" x14ac:dyDescent="0.35">
      <c r="B61" s="431"/>
      <c r="C61" s="432"/>
      <c r="D61" s="432"/>
      <c r="E61" s="432"/>
      <c r="F61" s="432"/>
      <c r="G61" s="432"/>
      <c r="H61" s="432"/>
      <c r="I61" s="432"/>
      <c r="J61" s="347"/>
      <c r="K61" s="70"/>
      <c r="AI61" s="405" t="s">
        <v>201</v>
      </c>
      <c r="AJ61" s="405" t="s">
        <v>87</v>
      </c>
      <c r="AM61" s="407" t="s">
        <v>182</v>
      </c>
      <c r="AN61" s="407" t="s">
        <v>183</v>
      </c>
      <c r="AO61" s="407">
        <v>21</v>
      </c>
      <c r="AP61" s="407">
        <v>3</v>
      </c>
      <c r="AQ61" s="407">
        <v>24</v>
      </c>
      <c r="AR61" s="407">
        <v>21</v>
      </c>
      <c r="AS61" s="407">
        <v>3</v>
      </c>
      <c r="AT61" s="407">
        <v>24</v>
      </c>
    </row>
    <row r="62" spans="1:46" ht="14.5" x14ac:dyDescent="0.35">
      <c r="AI62" s="405" t="s">
        <v>203</v>
      </c>
      <c r="AJ62" s="405" t="s">
        <v>86</v>
      </c>
      <c r="AM62" s="407" t="s">
        <v>184</v>
      </c>
      <c r="AN62" s="407" t="s">
        <v>185</v>
      </c>
      <c r="AO62" s="407">
        <v>23</v>
      </c>
      <c r="AP62" s="407">
        <v>10</v>
      </c>
      <c r="AQ62" s="407">
        <v>33</v>
      </c>
      <c r="AR62" s="407">
        <v>34</v>
      </c>
      <c r="AS62" s="407">
        <v>5</v>
      </c>
      <c r="AT62" s="407">
        <v>39</v>
      </c>
    </row>
    <row r="63" spans="1:46" ht="15.5" x14ac:dyDescent="0.35">
      <c r="A63" s="423">
        <v>4</v>
      </c>
      <c r="B63" s="54" t="s">
        <v>797</v>
      </c>
      <c r="C63" s="55"/>
      <c r="D63" s="55"/>
      <c r="E63" s="9"/>
      <c r="F63" s="9"/>
      <c r="G63" s="9"/>
      <c r="H63" s="9"/>
      <c r="I63" s="9"/>
      <c r="J63" s="9"/>
      <c r="K63" s="10"/>
      <c r="AI63" s="405" t="s">
        <v>205</v>
      </c>
      <c r="AJ63" s="405" t="s">
        <v>84</v>
      </c>
      <c r="AM63" s="407" t="s">
        <v>186</v>
      </c>
      <c r="AN63" s="407" t="s">
        <v>187</v>
      </c>
      <c r="AO63" s="407">
        <v>20</v>
      </c>
      <c r="AP63" s="407">
        <v>3</v>
      </c>
      <c r="AQ63" s="407">
        <v>23</v>
      </c>
      <c r="AR63" s="407">
        <v>26</v>
      </c>
      <c r="AS63" s="407">
        <v>6</v>
      </c>
      <c r="AT63" s="407">
        <v>32</v>
      </c>
    </row>
    <row r="64" spans="1:46" ht="41.5" customHeight="1" x14ac:dyDescent="0.35">
      <c r="A64" s="424"/>
      <c r="B64" s="425" t="str">
        <f>IF(E3="","Average weekly rent (£ per week) and units","Average weekly supported housing/housing for older people rent (£ per week) and units in "&amp;$E$3&amp;", "&amp;$B$18&amp;" and England")</f>
        <v>Average weekly rent (£ per week) and units</v>
      </c>
      <c r="C64" s="426"/>
      <c r="D64" s="426"/>
      <c r="E64" s="426"/>
      <c r="F64" s="426"/>
      <c r="G64" s="426"/>
      <c r="H64" s="426"/>
      <c r="I64" s="426"/>
      <c r="J64" s="348"/>
      <c r="K64" s="58"/>
      <c r="AI64" s="405" t="s">
        <v>207</v>
      </c>
      <c r="AJ64" s="405" t="s">
        <v>83</v>
      </c>
      <c r="AM64" s="407" t="s">
        <v>188</v>
      </c>
      <c r="AN64" s="407" t="s">
        <v>189</v>
      </c>
      <c r="AO64" s="407">
        <v>21</v>
      </c>
      <c r="AP64" s="407">
        <v>5</v>
      </c>
      <c r="AQ64" s="407">
        <v>26</v>
      </c>
      <c r="AR64" s="407">
        <v>26</v>
      </c>
      <c r="AS64" s="407">
        <v>6</v>
      </c>
      <c r="AT64" s="407">
        <v>32</v>
      </c>
    </row>
    <row r="65" spans="2:46" ht="12.75" customHeight="1" x14ac:dyDescent="0.35">
      <c r="B65" s="376" t="str">
        <f>IF(E3="","Average weekly supported housing/housing for older people (social rent) net rent (£ per week)","Average weekly supported housing/ housing for older people (social rent) net rent (£ per week) in "&amp;$E$3&amp;", "&amp;$B$18&amp;" and England")</f>
        <v>Average weekly supported housing/housing for older people (social rent) net rent (£ per week)</v>
      </c>
      <c r="C65" s="71"/>
      <c r="D65" s="71"/>
      <c r="E65" s="71"/>
      <c r="F65" s="71"/>
      <c r="G65" s="71"/>
      <c r="H65" s="71"/>
      <c r="I65" s="71"/>
      <c r="J65" s="348"/>
      <c r="K65" s="58"/>
      <c r="AI65" s="405" t="s">
        <v>209</v>
      </c>
      <c r="AJ65" s="405" t="s">
        <v>86</v>
      </c>
      <c r="AM65" s="407" t="s">
        <v>190</v>
      </c>
      <c r="AN65" s="407" t="s">
        <v>191</v>
      </c>
      <c r="AO65" s="407">
        <v>19</v>
      </c>
      <c r="AP65" s="407">
        <v>8</v>
      </c>
      <c r="AQ65" s="407">
        <v>27</v>
      </c>
      <c r="AR65" s="407">
        <v>20</v>
      </c>
      <c r="AS65" s="407">
        <v>7</v>
      </c>
      <c r="AT65" s="407">
        <v>27</v>
      </c>
    </row>
    <row r="66" spans="2:46" ht="12.75" customHeight="1" x14ac:dyDescent="0.35">
      <c r="B66" s="72"/>
      <c r="C66" s="367" t="s">
        <v>819</v>
      </c>
      <c r="D66" s="73">
        <v>2015</v>
      </c>
      <c r="E66" s="73">
        <v>2016</v>
      </c>
      <c r="F66" s="73">
        <v>2017</v>
      </c>
      <c r="G66" s="73">
        <v>2018</v>
      </c>
      <c r="H66" s="73">
        <v>2019</v>
      </c>
      <c r="I66" s="73">
        <v>2020</v>
      </c>
      <c r="J66" s="73">
        <v>2021</v>
      </c>
      <c r="K66" s="74">
        <v>2022</v>
      </c>
      <c r="AI66" s="405" t="s">
        <v>211</v>
      </c>
      <c r="AJ66" s="405" t="s">
        <v>88</v>
      </c>
      <c r="AM66" s="407" t="s">
        <v>192</v>
      </c>
      <c r="AN66" s="407" t="s">
        <v>193</v>
      </c>
      <c r="AO66" s="407">
        <v>30</v>
      </c>
      <c r="AP66" s="407">
        <v>5</v>
      </c>
      <c r="AQ66" s="407">
        <v>35</v>
      </c>
      <c r="AR66" s="407">
        <v>35</v>
      </c>
      <c r="AS66" s="407">
        <v>6</v>
      </c>
      <c r="AT66" s="407">
        <v>41</v>
      </c>
    </row>
    <row r="67" spans="2:46" ht="14.5" x14ac:dyDescent="0.35">
      <c r="B67" s="75">
        <f>$E$3</f>
        <v>0</v>
      </c>
      <c r="C67" s="64"/>
      <c r="D67" s="273"/>
      <c r="E67" s="273"/>
      <c r="F67" s="273"/>
      <c r="G67" s="273"/>
      <c r="H67" s="273"/>
      <c r="I67" s="273"/>
      <c r="J67" s="273"/>
      <c r="K67" s="274"/>
      <c r="AI67" s="405" t="s">
        <v>213</v>
      </c>
      <c r="AJ67" s="405" t="s">
        <v>88</v>
      </c>
      <c r="AM67" s="407" t="s">
        <v>194</v>
      </c>
      <c r="AN67" s="407" t="s">
        <v>195</v>
      </c>
      <c r="AO67" s="407">
        <v>27</v>
      </c>
      <c r="AP67" s="407">
        <v>14</v>
      </c>
      <c r="AQ67" s="407">
        <v>41</v>
      </c>
      <c r="AR67" s="407">
        <v>38</v>
      </c>
      <c r="AS67" s="407">
        <v>22</v>
      </c>
      <c r="AT67" s="407">
        <v>60</v>
      </c>
    </row>
    <row r="68" spans="2:46" ht="14.15" customHeight="1" x14ac:dyDescent="0.35">
      <c r="B68" s="248" t="s">
        <v>20</v>
      </c>
      <c r="C68" s="249"/>
      <c r="D68" s="275" t="str">
        <f>IFERROR(VLOOKUP($E$3,Y_1,15,0),"")</f>
        <v/>
      </c>
      <c r="E68" s="275" t="str">
        <f>IFERROR(VLOOKUP($E$3,Y_2,15,0),"")</f>
        <v/>
      </c>
      <c r="F68" s="275" t="str">
        <f>IFERROR(VLOOKUP($E$3,Y_3,15,0),"")</f>
        <v/>
      </c>
      <c r="G68" s="275" t="str">
        <f>IFERROR(VLOOKUP($E$3,Y_4,15,0),"")</f>
        <v/>
      </c>
      <c r="H68" s="275" t="str">
        <f>IFERROR(VLOOKUP($E$3,Y_5,15,0),"")</f>
        <v/>
      </c>
      <c r="I68" s="275" t="str">
        <f>IFERROR(VLOOKUP($E$3,Y_6,15,0),"")</f>
        <v/>
      </c>
      <c r="J68" s="275" t="str">
        <f>IFERROR(VLOOKUP($E$3,Y_7,15,0),"")</f>
        <v/>
      </c>
      <c r="K68" s="276" t="str">
        <f>IFERROR(VLOOKUP($E$3,Y_8,15,0),"")</f>
        <v/>
      </c>
      <c r="AI68" s="405" t="s">
        <v>215</v>
      </c>
      <c r="AJ68" s="405" t="s">
        <v>85</v>
      </c>
      <c r="AM68" s="407" t="s">
        <v>196</v>
      </c>
      <c r="AN68" s="407" t="s">
        <v>197</v>
      </c>
      <c r="AO68" s="407">
        <v>30</v>
      </c>
      <c r="AP68" s="407">
        <v>13</v>
      </c>
      <c r="AQ68" s="407">
        <v>43</v>
      </c>
      <c r="AR68" s="407">
        <v>36</v>
      </c>
      <c r="AS68" s="407">
        <v>16</v>
      </c>
      <c r="AT68" s="407">
        <v>52</v>
      </c>
    </row>
    <row r="69" spans="2:46" ht="15.5" x14ac:dyDescent="0.35">
      <c r="B69" s="252" t="s">
        <v>780</v>
      </c>
      <c r="C69" s="221"/>
      <c r="D69" s="77" t="str">
        <f>IFERROR(VLOOKUP($E$3,Y_1,16,0),"")</f>
        <v/>
      </c>
      <c r="E69" s="77" t="str">
        <f>IFERROR(VLOOKUP($E$3,Y_2,16,0),"")</f>
        <v/>
      </c>
      <c r="F69" s="277" t="str">
        <f>IFERROR(VLOOKUP($E$3,Y_3,16,0),"")</f>
        <v/>
      </c>
      <c r="G69" s="277" t="str">
        <f>IFERROR(VLOOKUP($E$3,Y_4,16,0),"")</f>
        <v/>
      </c>
      <c r="H69" s="277" t="str">
        <f>IFERROR(VLOOKUP($E$3,Y_5,16,0),"")</f>
        <v/>
      </c>
      <c r="I69" s="277" t="str">
        <f>IFERROR(VLOOKUP($E$3,Y_6,16,0),"")</f>
        <v/>
      </c>
      <c r="J69" s="375" t="str">
        <f>IFERROR(VLOOKUP($E$3,Y_7,16,0),"")</f>
        <v/>
      </c>
      <c r="K69" s="278" t="str">
        <f>IFERROR(VLOOKUP($E$3,Y_8,16,0),"")</f>
        <v/>
      </c>
      <c r="AI69" s="405" t="s">
        <v>217</v>
      </c>
      <c r="AJ69" s="405" t="s">
        <v>89</v>
      </c>
      <c r="AM69" s="407" t="s">
        <v>198</v>
      </c>
      <c r="AN69" s="407" t="s">
        <v>199</v>
      </c>
      <c r="AO69" s="407">
        <v>20</v>
      </c>
      <c r="AP69" s="407">
        <v>6</v>
      </c>
      <c r="AQ69" s="407">
        <v>26</v>
      </c>
      <c r="AR69" s="407">
        <v>28</v>
      </c>
      <c r="AS69" s="407">
        <v>6</v>
      </c>
      <c r="AT69" s="407">
        <v>34</v>
      </c>
    </row>
    <row r="70" spans="2:46" ht="14.5" x14ac:dyDescent="0.35">
      <c r="B70" s="252" t="s">
        <v>21</v>
      </c>
      <c r="C70" s="221"/>
      <c r="D70" s="277" t="str">
        <f>IFERROR(VLOOKUP($E$3,Y_1,17,0),"")</f>
        <v/>
      </c>
      <c r="E70" s="277" t="str">
        <f>IFERROR(VLOOKUP($E$3,Y_2,17,0),"")</f>
        <v/>
      </c>
      <c r="F70" s="277" t="str">
        <f>IFERROR(VLOOKUP($E$3,Y_3,17,0),"")</f>
        <v/>
      </c>
      <c r="G70" s="277" t="str">
        <f>IFERROR(VLOOKUP($E$3,Y_4,17,0),"")</f>
        <v/>
      </c>
      <c r="H70" s="277" t="str">
        <f>IFERROR(VLOOKUP($E$3,Y_5,17,0),"")</f>
        <v/>
      </c>
      <c r="I70" s="277" t="str">
        <f>IFERROR(VLOOKUP($E$3,Y_6,17,0),"")</f>
        <v/>
      </c>
      <c r="J70" s="375" t="str">
        <f>IFERROR(VLOOKUP($E$3,Y_7,17,0),"")</f>
        <v/>
      </c>
      <c r="K70" s="278" t="str">
        <f>IFERROR(VLOOKUP($E$3,Y_8,17,0),"")</f>
        <v/>
      </c>
      <c r="AI70" s="405" t="s">
        <v>219</v>
      </c>
      <c r="AJ70" s="405" t="s">
        <v>792</v>
      </c>
      <c r="AM70" s="407" t="s">
        <v>200</v>
      </c>
      <c r="AN70" s="407" t="s">
        <v>201</v>
      </c>
      <c r="AO70" s="407">
        <v>18</v>
      </c>
      <c r="AP70" s="407">
        <v>8</v>
      </c>
      <c r="AQ70" s="407">
        <v>26</v>
      </c>
      <c r="AR70" s="407">
        <v>25</v>
      </c>
      <c r="AS70" s="407">
        <v>8</v>
      </c>
      <c r="AT70" s="407">
        <v>33</v>
      </c>
    </row>
    <row r="71" spans="2:46" ht="14.5" x14ac:dyDescent="0.35">
      <c r="B71" s="252" t="s">
        <v>22</v>
      </c>
      <c r="C71" s="221"/>
      <c r="D71" s="277" t="str">
        <f>IFERROR(VLOOKUP($E$3,Y_1,18,0),"")</f>
        <v/>
      </c>
      <c r="E71" s="277" t="str">
        <f>IFERROR(VLOOKUP($E$3,Y_2,18,0),"")</f>
        <v/>
      </c>
      <c r="F71" s="277" t="str">
        <f>IFERROR(VLOOKUP($E$3,Y_3,18,0),"")</f>
        <v/>
      </c>
      <c r="G71" s="277" t="str">
        <f>IFERROR(VLOOKUP($E$3,Y_4,18,0),"")</f>
        <v/>
      </c>
      <c r="H71" s="277" t="str">
        <f>IFERROR(VLOOKUP($E$3,Y_5,18,0),"")</f>
        <v/>
      </c>
      <c r="I71" s="277" t="str">
        <f>IFERROR(VLOOKUP($E$3,Y_6,18,0),"")</f>
        <v/>
      </c>
      <c r="J71" s="375" t="str">
        <f>IFERROR(VLOOKUP($E$3,Y_7,18,0),"")</f>
        <v/>
      </c>
      <c r="K71" s="278" t="str">
        <f>IFERROR(VLOOKUP($E$3,Y_8,18,0),"")</f>
        <v/>
      </c>
      <c r="AI71" s="405" t="s">
        <v>221</v>
      </c>
      <c r="AJ71" s="405" t="s">
        <v>87</v>
      </c>
      <c r="AM71" s="407" t="s">
        <v>202</v>
      </c>
      <c r="AN71" s="407" t="s">
        <v>203</v>
      </c>
      <c r="AO71" s="407">
        <v>17</v>
      </c>
      <c r="AP71" s="407">
        <v>6</v>
      </c>
      <c r="AQ71" s="407">
        <v>23</v>
      </c>
      <c r="AR71" s="407">
        <v>18</v>
      </c>
      <c r="AS71" s="407">
        <v>10</v>
      </c>
      <c r="AT71" s="407">
        <v>28</v>
      </c>
    </row>
    <row r="72" spans="2:46" ht="14.5" x14ac:dyDescent="0.35">
      <c r="B72" s="255" t="s">
        <v>23</v>
      </c>
      <c r="C72" s="256"/>
      <c r="D72" s="279" t="str">
        <f>IFERROR(VLOOKUP($E$3,Y_1,19,0),"")</f>
        <v/>
      </c>
      <c r="E72" s="279" t="str">
        <f>IFERROR(VLOOKUP($E$3,Y_2,19,0),"")</f>
        <v/>
      </c>
      <c r="F72" s="279" t="str">
        <f>IFERROR(VLOOKUP($E$3,Y_3,19,0),"")</f>
        <v/>
      </c>
      <c r="G72" s="279" t="str">
        <f>IFERROR(VLOOKUP($E$3,Y_4,19,0),"")</f>
        <v/>
      </c>
      <c r="H72" s="279" t="str">
        <f>IFERROR(VLOOKUP($E$3,Y_5,19,0),"")</f>
        <v/>
      </c>
      <c r="I72" s="279" t="str">
        <f>IFERROR(VLOOKUP($E$3,Y_6,19,0),"")</f>
        <v/>
      </c>
      <c r="J72" s="279" t="str">
        <f>IFERROR(VLOOKUP($E$3,Y_7,19,0),"")</f>
        <v/>
      </c>
      <c r="K72" s="280" t="str">
        <f>IFERROR(VLOOKUP($E$3,Y_8,19,0),"")</f>
        <v/>
      </c>
      <c r="AI72" s="405" t="s">
        <v>223</v>
      </c>
      <c r="AJ72" s="405" t="s">
        <v>84</v>
      </c>
      <c r="AM72" s="407" t="s">
        <v>204</v>
      </c>
      <c r="AN72" s="407" t="s">
        <v>205</v>
      </c>
      <c r="AO72" s="407">
        <v>2</v>
      </c>
      <c r="AP72" s="407">
        <v>1</v>
      </c>
      <c r="AQ72" s="407">
        <v>3</v>
      </c>
      <c r="AR72" s="407">
        <v>3</v>
      </c>
      <c r="AS72" s="407">
        <v>0</v>
      </c>
      <c r="AT72" s="407">
        <v>3</v>
      </c>
    </row>
    <row r="73" spans="2:46" ht="14.5" x14ac:dyDescent="0.35">
      <c r="B73" s="75" t="str">
        <f>$B$18</f>
        <v/>
      </c>
      <c r="C73" s="64"/>
      <c r="D73" s="273"/>
      <c r="E73" s="273"/>
      <c r="F73" s="273"/>
      <c r="G73" s="273"/>
      <c r="H73" s="273"/>
      <c r="I73" s="273"/>
      <c r="J73" s="273"/>
      <c r="K73" s="274"/>
      <c r="AI73" s="405" t="s">
        <v>225</v>
      </c>
      <c r="AJ73" s="405" t="s">
        <v>83</v>
      </c>
      <c r="AM73" s="407" t="s">
        <v>206</v>
      </c>
      <c r="AN73" s="407" t="s">
        <v>207</v>
      </c>
      <c r="AO73" s="407">
        <v>26</v>
      </c>
      <c r="AP73" s="407">
        <v>9</v>
      </c>
      <c r="AQ73" s="407">
        <v>35</v>
      </c>
      <c r="AR73" s="407">
        <v>30</v>
      </c>
      <c r="AS73" s="407">
        <v>15</v>
      </c>
      <c r="AT73" s="407">
        <v>45</v>
      </c>
    </row>
    <row r="74" spans="2:46" ht="14.5" x14ac:dyDescent="0.35">
      <c r="B74" s="248" t="s">
        <v>20</v>
      </c>
      <c r="C74" s="249"/>
      <c r="D74" s="275" t="str">
        <f>IFERROR(VLOOKUP($E$4,Y_1,15,0),"")</f>
        <v/>
      </c>
      <c r="E74" s="275" t="str">
        <f>IFERROR(VLOOKUP($E$4,Y_2,15,0),"")</f>
        <v/>
      </c>
      <c r="F74" s="275" t="str">
        <f>IFERROR(VLOOKUP($E$4,Y_3,15,0),"")</f>
        <v/>
      </c>
      <c r="G74" s="275" t="str">
        <f>IFERROR(VLOOKUP($E$4,Y_4,15,0),"")</f>
        <v/>
      </c>
      <c r="H74" s="275" t="str">
        <f>IFERROR(VLOOKUP($E$4,Y_5,15,0),"")</f>
        <v/>
      </c>
      <c r="I74" s="275" t="str">
        <f>IFERROR(VLOOKUP($E$4,Y_6,15,0),"")</f>
        <v/>
      </c>
      <c r="J74" s="275" t="str">
        <f>IFERROR(VLOOKUP($E$4,Y_7,15,0),"")</f>
        <v/>
      </c>
      <c r="K74" s="276" t="str">
        <f>IFERROR(VLOOKUP($E$4,Y_8,15,0),"")</f>
        <v/>
      </c>
      <c r="AI74" s="405" t="s">
        <v>227</v>
      </c>
      <c r="AJ74" s="405" t="s">
        <v>85</v>
      </c>
      <c r="AM74" s="407" t="s">
        <v>208</v>
      </c>
      <c r="AN74" s="407" t="s">
        <v>209</v>
      </c>
      <c r="AO74" s="407">
        <v>7</v>
      </c>
      <c r="AP74" s="407">
        <v>6</v>
      </c>
      <c r="AQ74" s="407">
        <v>13</v>
      </c>
      <c r="AR74" s="407">
        <v>8</v>
      </c>
      <c r="AS74" s="407">
        <v>6</v>
      </c>
      <c r="AT74" s="407">
        <v>14</v>
      </c>
    </row>
    <row r="75" spans="2:46" ht="15.5" x14ac:dyDescent="0.35">
      <c r="B75" s="252" t="s">
        <v>780</v>
      </c>
      <c r="C75" s="221"/>
      <c r="D75" s="77" t="str">
        <f>IFERROR(VLOOKUP($E$4,Y_1,16,0),"")</f>
        <v/>
      </c>
      <c r="E75" s="77" t="str">
        <f>IFERROR(VLOOKUP($E$4,Y_2,16,0),"")</f>
        <v/>
      </c>
      <c r="F75" s="277" t="str">
        <f>IFERROR(VLOOKUP($E$4,Y_3,16,0),"")</f>
        <v/>
      </c>
      <c r="G75" s="277" t="str">
        <f>IFERROR(VLOOKUP($E$4,Y_4,16,0),"")</f>
        <v/>
      </c>
      <c r="H75" s="277" t="str">
        <f>IFERROR(VLOOKUP($E$4,Y_5,16,0),"")</f>
        <v/>
      </c>
      <c r="I75" s="277" t="str">
        <f>IFERROR(VLOOKUP($E$4,Y_6,16,0),"")</f>
        <v/>
      </c>
      <c r="J75" s="375" t="str">
        <f>IFERROR(VLOOKUP($E$4,Y_7,16,0),"")</f>
        <v/>
      </c>
      <c r="K75" s="278" t="str">
        <f>IFERROR(VLOOKUP($E$4,Y_8,16,0),"")</f>
        <v/>
      </c>
      <c r="AI75" s="405" t="s">
        <v>229</v>
      </c>
      <c r="AJ75" s="405" t="s">
        <v>87</v>
      </c>
      <c r="AM75" s="407" t="s">
        <v>210</v>
      </c>
      <c r="AN75" s="407" t="s">
        <v>211</v>
      </c>
      <c r="AO75" s="407">
        <v>27</v>
      </c>
      <c r="AP75" s="407">
        <v>14</v>
      </c>
      <c r="AQ75" s="407">
        <v>41</v>
      </c>
      <c r="AR75" s="407">
        <v>28</v>
      </c>
      <c r="AS75" s="407">
        <v>18</v>
      </c>
      <c r="AT75" s="407">
        <v>46</v>
      </c>
    </row>
    <row r="76" spans="2:46" ht="14.5" x14ac:dyDescent="0.35">
      <c r="B76" s="252" t="s">
        <v>21</v>
      </c>
      <c r="C76" s="221"/>
      <c r="D76" s="277" t="str">
        <f>IFERROR(VLOOKUP($E$4,Y_1,17,0),"")</f>
        <v/>
      </c>
      <c r="E76" s="277" t="str">
        <f>IFERROR(VLOOKUP($E$4,Y_2,17,0),"")</f>
        <v/>
      </c>
      <c r="F76" s="277" t="str">
        <f>IFERROR(VLOOKUP($E$4,Y_3,17,0),"")</f>
        <v/>
      </c>
      <c r="G76" s="277" t="str">
        <f>IFERROR(VLOOKUP($E$4,Y_4,17,0),"")</f>
        <v/>
      </c>
      <c r="H76" s="277" t="str">
        <f>IFERROR(VLOOKUP($E$4,Y_5,17,0),"")</f>
        <v/>
      </c>
      <c r="I76" s="277" t="str">
        <f>IFERROR(VLOOKUP($E$4,Y_6,17,0),"")</f>
        <v/>
      </c>
      <c r="J76" s="375" t="str">
        <f>IFERROR(VLOOKUP($E$4,Y_7,17,0),"")</f>
        <v/>
      </c>
      <c r="K76" s="278" t="str">
        <f>IFERROR(VLOOKUP($E$4,Y_8,17,0),"")</f>
        <v/>
      </c>
      <c r="AI76" s="405" t="s">
        <v>231</v>
      </c>
      <c r="AJ76" s="405" t="s">
        <v>82</v>
      </c>
      <c r="AM76" s="407" t="s">
        <v>212</v>
      </c>
      <c r="AN76" s="407" t="s">
        <v>213</v>
      </c>
      <c r="AO76" s="407">
        <v>22</v>
      </c>
      <c r="AP76" s="407">
        <v>3</v>
      </c>
      <c r="AQ76" s="407">
        <v>25</v>
      </c>
      <c r="AR76" s="407">
        <v>21</v>
      </c>
      <c r="AS76" s="407">
        <v>3</v>
      </c>
      <c r="AT76" s="407">
        <v>24</v>
      </c>
    </row>
    <row r="77" spans="2:46" ht="14.5" x14ac:dyDescent="0.35">
      <c r="B77" s="252" t="s">
        <v>22</v>
      </c>
      <c r="C77" s="221"/>
      <c r="D77" s="277" t="str">
        <f>IFERROR(VLOOKUP($E$4,Y_1,18,0),"")</f>
        <v/>
      </c>
      <c r="E77" s="277" t="str">
        <f>IFERROR(VLOOKUP($E$4,Y_2,18,0),"")</f>
        <v/>
      </c>
      <c r="F77" s="277" t="str">
        <f>IFERROR(VLOOKUP($E$4,Y_3,18,0),"")</f>
        <v/>
      </c>
      <c r="G77" s="277" t="str">
        <f>IFERROR(VLOOKUP($E$4,Y_4,18,0),"")</f>
        <v/>
      </c>
      <c r="H77" s="277" t="str">
        <f>IFERROR(VLOOKUP($E$4,Y_5,18,0),"")</f>
        <v/>
      </c>
      <c r="I77" s="277" t="str">
        <f>IFERROR(VLOOKUP($E$4,Y_6,18,0),"")</f>
        <v/>
      </c>
      <c r="J77" s="375" t="str">
        <f>IFERROR(VLOOKUP($E$4,Y_7,18,0),"")</f>
        <v/>
      </c>
      <c r="K77" s="278" t="str">
        <f>IFERROR(VLOOKUP($E$4,Y_8,18,0),"")</f>
        <v/>
      </c>
      <c r="AI77" s="405" t="s">
        <v>233</v>
      </c>
      <c r="AJ77" s="405" t="s">
        <v>82</v>
      </c>
      <c r="AM77" s="407" t="s">
        <v>214</v>
      </c>
      <c r="AN77" s="407" t="s">
        <v>215</v>
      </c>
      <c r="AO77" s="407">
        <v>25</v>
      </c>
      <c r="AP77" s="407">
        <v>12</v>
      </c>
      <c r="AQ77" s="407">
        <v>37</v>
      </c>
      <c r="AR77" s="407">
        <v>25</v>
      </c>
      <c r="AS77" s="407">
        <v>13</v>
      </c>
      <c r="AT77" s="407">
        <v>38</v>
      </c>
    </row>
    <row r="78" spans="2:46" ht="14.5" x14ac:dyDescent="0.35">
      <c r="B78" s="255" t="s">
        <v>23</v>
      </c>
      <c r="C78" s="256"/>
      <c r="D78" s="279" t="str">
        <f>IFERROR(VLOOKUP($E$4,Y_1,19,0),"")</f>
        <v/>
      </c>
      <c r="E78" s="279" t="str">
        <f>IFERROR(VLOOKUP($E$4,Y_2,19,0),"")</f>
        <v/>
      </c>
      <c r="F78" s="279" t="str">
        <f>IFERROR(VLOOKUP($E$4,Y_3,19,0),"")</f>
        <v/>
      </c>
      <c r="G78" s="279" t="str">
        <f>IFERROR(VLOOKUP($E$4,Y_4,19,0),"")</f>
        <v/>
      </c>
      <c r="H78" s="279" t="str">
        <f>IFERROR(VLOOKUP($E$4,Y_5,19,0),"")</f>
        <v/>
      </c>
      <c r="I78" s="279" t="str">
        <f>IFERROR(VLOOKUP($E$4,Y_6,19,0),"")</f>
        <v/>
      </c>
      <c r="J78" s="279" t="str">
        <f>IFERROR(VLOOKUP($E$4,Y_7,19,0),"")</f>
        <v/>
      </c>
      <c r="K78" s="280" t="str">
        <f>IFERROR(VLOOKUP($E$4,Y_8,19,0),"")</f>
        <v/>
      </c>
      <c r="AI78" s="405" t="s">
        <v>235</v>
      </c>
      <c r="AJ78" s="405" t="s">
        <v>792</v>
      </c>
      <c r="AM78" s="407" t="s">
        <v>216</v>
      </c>
      <c r="AN78" s="407" t="s">
        <v>217</v>
      </c>
      <c r="AO78" s="407">
        <v>21</v>
      </c>
      <c r="AP78" s="407">
        <v>10</v>
      </c>
      <c r="AQ78" s="407">
        <v>31</v>
      </c>
      <c r="AR78" s="407">
        <v>22</v>
      </c>
      <c r="AS78" s="407">
        <v>14</v>
      </c>
      <c r="AT78" s="407">
        <v>36</v>
      </c>
    </row>
    <row r="79" spans="2:46" ht="14.5" x14ac:dyDescent="0.35">
      <c r="B79" s="75" t="s">
        <v>15</v>
      </c>
      <c r="C79" s="76"/>
      <c r="D79" s="273"/>
      <c r="E79" s="273"/>
      <c r="F79" s="273"/>
      <c r="G79" s="273"/>
      <c r="H79" s="273"/>
      <c r="I79" s="273"/>
      <c r="J79" s="273"/>
      <c r="K79" s="274"/>
      <c r="AI79" s="405" t="s">
        <v>237</v>
      </c>
      <c r="AJ79" s="405" t="s">
        <v>88</v>
      </c>
      <c r="AM79" s="407" t="s">
        <v>218</v>
      </c>
      <c r="AN79" s="407" t="s">
        <v>219</v>
      </c>
      <c r="AO79" s="407">
        <v>17</v>
      </c>
      <c r="AP79" s="407">
        <v>2</v>
      </c>
      <c r="AQ79" s="407">
        <v>19</v>
      </c>
      <c r="AR79" s="407">
        <v>17</v>
      </c>
      <c r="AS79" s="407">
        <v>3</v>
      </c>
      <c r="AT79" s="407">
        <v>20</v>
      </c>
    </row>
    <row r="80" spans="2:46" ht="14.5" x14ac:dyDescent="0.35">
      <c r="B80" s="248" t="s">
        <v>20</v>
      </c>
      <c r="C80" s="249"/>
      <c r="D80" s="275">
        <f>IF($E$4&lt;&gt;"",VLOOKUP($B$19,Y_1,15,0),"")</f>
        <v>87.71</v>
      </c>
      <c r="E80" s="275">
        <f>IF($E$4&lt;&gt;"",VLOOKUP($B$19,Y_2,15,0),"")</f>
        <v>89.43</v>
      </c>
      <c r="F80" s="275">
        <f>IF($E$4&lt;&gt;"",VLOOKUP($B$19,Y_3,15,0),"")</f>
        <v>91.25</v>
      </c>
      <c r="G80" s="275">
        <f>IF($E$4&lt;&gt;"",VLOOKUP($B$19,Y_4,15,0),"")</f>
        <v>93.08</v>
      </c>
      <c r="H80" s="275">
        <f>IF($E$4&lt;&gt;"",VLOOKUP($B$19,Y_5,15,0),"")</f>
        <v>92.78</v>
      </c>
      <c r="I80" s="275">
        <f>IF($E$4&lt;&gt;"",VLOOKUP($B$19,Y_6,15,0),"")</f>
        <v>90.81</v>
      </c>
      <c r="J80" s="275">
        <f>IF($E$4&lt;&gt;"",VLOOKUP($B$19,Y_7,15,0),"")</f>
        <v>93.69</v>
      </c>
      <c r="K80" s="276">
        <f>IF($E$4&lt;&gt;"",VLOOKUP($B$19,Y_8,15,0),"")</f>
        <v>95.6</v>
      </c>
      <c r="AI80" s="405" t="s">
        <v>239</v>
      </c>
      <c r="AJ80" s="405" t="s">
        <v>87</v>
      </c>
      <c r="AM80" s="407" t="s">
        <v>220</v>
      </c>
      <c r="AN80" s="407" t="s">
        <v>221</v>
      </c>
      <c r="AO80" s="407">
        <v>21</v>
      </c>
      <c r="AP80" s="407">
        <v>4</v>
      </c>
      <c r="AQ80" s="407">
        <v>25</v>
      </c>
      <c r="AR80" s="407">
        <v>26</v>
      </c>
      <c r="AS80" s="407">
        <v>7</v>
      </c>
      <c r="AT80" s="407">
        <v>33</v>
      </c>
    </row>
    <row r="81" spans="1:46" ht="15.5" x14ac:dyDescent="0.35">
      <c r="B81" s="252" t="s">
        <v>780</v>
      </c>
      <c r="C81" s="221"/>
      <c r="D81" s="77">
        <f>IF($E$4&lt;&gt;"",VLOOKUP($B$19,Y_1,16,0),"")</f>
        <v>85.34</v>
      </c>
      <c r="E81" s="77">
        <f>IF($E$4&lt;&gt;"",VLOOKUP($B$19,Y_2,16,0),"")</f>
        <v>86.91</v>
      </c>
      <c r="F81" s="277">
        <f>IF($E$4&lt;&gt;"",VLOOKUP($B$19,Y_3,16,0),"")</f>
        <v>87.12</v>
      </c>
      <c r="G81" s="277">
        <f>IF($E$4&lt;&gt;"",VLOOKUP($B$19,Y_4,16,0),"")</f>
        <v>87.59</v>
      </c>
      <c r="H81" s="277">
        <f>IF($E$4&lt;&gt;"",VLOOKUP($B$19,Y_5,16,0),"")</f>
        <v>86.8</v>
      </c>
      <c r="I81" s="277">
        <f>IF($E$4&lt;&gt;"",VLOOKUP($B$19,Y_6,16,0),"")</f>
        <v>86.22</v>
      </c>
      <c r="J81" s="375">
        <f>IF($E$4&lt;&gt;"",VLOOKUP($B$19,Y_7,16,0),"")</f>
        <v>85.46</v>
      </c>
      <c r="K81" s="278">
        <f>IF($E$4&lt;&gt;"",VLOOKUP($B$19,Y_8,16,0),"")</f>
        <v>86.71</v>
      </c>
      <c r="AI81" s="405" t="s">
        <v>241</v>
      </c>
      <c r="AJ81" s="405" t="s">
        <v>89</v>
      </c>
      <c r="AM81" s="407" t="s">
        <v>222</v>
      </c>
      <c r="AN81" s="407" t="s">
        <v>223</v>
      </c>
      <c r="AO81" s="407">
        <v>38</v>
      </c>
      <c r="AP81" s="407">
        <v>15</v>
      </c>
      <c r="AQ81" s="407">
        <v>53</v>
      </c>
      <c r="AR81" s="407">
        <v>39</v>
      </c>
      <c r="AS81" s="407">
        <v>22</v>
      </c>
      <c r="AT81" s="407">
        <v>61</v>
      </c>
    </row>
    <row r="82" spans="1:46" ht="14.5" x14ac:dyDescent="0.35">
      <c r="B82" s="252" t="s">
        <v>21</v>
      </c>
      <c r="C82" s="221"/>
      <c r="D82" s="277">
        <f>IF($E$4&lt;&gt;"",VLOOKUP($B$19,Y_1,17,0),"")</f>
        <v>31.28</v>
      </c>
      <c r="E82" s="277">
        <f>IF($E$4&lt;&gt;"",VLOOKUP($B$19,Y_2,17,0),"")</f>
        <v>32.619999999999997</v>
      </c>
      <c r="F82" s="277">
        <f>IF($E$4&lt;&gt;"",VLOOKUP($B$19,Y_3,17,0),"")</f>
        <v>35.47</v>
      </c>
      <c r="G82" s="277">
        <f>IF($E$4&lt;&gt;"",VLOOKUP($B$19,Y_4,17,0),"")</f>
        <v>39.71</v>
      </c>
      <c r="H82" s="277">
        <f>IF($E$4&lt;&gt;"",VLOOKUP($B$19,Y_5,17,0),"")</f>
        <v>41.68</v>
      </c>
      <c r="I82" s="277">
        <f>IF($E$4&lt;&gt;"",VLOOKUP($B$19,Y_6,17,0),"")</f>
        <v>43.17</v>
      </c>
      <c r="J82" s="375">
        <f>IF($E$4&lt;&gt;"",VLOOKUP($B$19,Y_7,17,0),"")</f>
        <v>45.91</v>
      </c>
      <c r="K82" s="278">
        <f>IF($E$4&lt;&gt;"",VLOOKUP($B$19,Y_8,17,0),"")</f>
        <v>46</v>
      </c>
      <c r="AI82" s="405" t="s">
        <v>243</v>
      </c>
      <c r="AJ82" s="405" t="s">
        <v>84</v>
      </c>
      <c r="AM82" s="407" t="s">
        <v>224</v>
      </c>
      <c r="AN82" s="407" t="s">
        <v>225</v>
      </c>
      <c r="AO82" s="407">
        <v>17</v>
      </c>
      <c r="AP82" s="407">
        <v>7</v>
      </c>
      <c r="AQ82" s="407">
        <v>24</v>
      </c>
      <c r="AR82" s="407">
        <v>23</v>
      </c>
      <c r="AS82" s="407">
        <v>11</v>
      </c>
      <c r="AT82" s="407">
        <v>34</v>
      </c>
    </row>
    <row r="83" spans="1:46" ht="14.5" x14ac:dyDescent="0.35">
      <c r="B83" s="252" t="s">
        <v>22</v>
      </c>
      <c r="C83" s="221"/>
      <c r="D83" s="277">
        <f>IF($E$4&lt;&gt;"",VLOOKUP($B$19,Y_1,18,0),"")</f>
        <v>115.98</v>
      </c>
      <c r="E83" s="277">
        <f>IF($E$4&lt;&gt;"",VLOOKUP($B$19,Y_2,18,0),"")</f>
        <v>118.78</v>
      </c>
      <c r="F83" s="277">
        <f>IF($E$4&lt;&gt;"",VLOOKUP($B$19,Y_3,18,0),"")</f>
        <v>124.36</v>
      </c>
      <c r="G83" s="277">
        <f>IF($E$4&lt;&gt;"",VLOOKUP($B$19,Y_4,18,0),"")</f>
        <v>129.31</v>
      </c>
      <c r="H83" s="277">
        <f>IF($E$4&lt;&gt;"",VLOOKUP($B$19,Y_5,18,0),"")</f>
        <v>131.68</v>
      </c>
      <c r="I83" s="277">
        <f>IF($E$4&lt;&gt;"",VLOOKUP($B$19,Y_6,18,0),"")</f>
        <v>131.75</v>
      </c>
      <c r="J83" s="375">
        <f>IF($E$4&lt;&gt;"",VLOOKUP($B$19,Y_7,18,0),"")</f>
        <v>143.97999999999999</v>
      </c>
      <c r="K83" s="278">
        <f>IF($E$4&lt;&gt;"",VLOOKUP($B$19,Y_8,18,0),"")</f>
        <v>139.35</v>
      </c>
      <c r="AI83" s="405" t="s">
        <v>245</v>
      </c>
      <c r="AJ83" s="405" t="s">
        <v>83</v>
      </c>
      <c r="AM83" s="407" t="s">
        <v>226</v>
      </c>
      <c r="AN83" s="407" t="s">
        <v>227</v>
      </c>
      <c r="AO83" s="407">
        <v>21</v>
      </c>
      <c r="AP83" s="407">
        <v>13</v>
      </c>
      <c r="AQ83" s="407">
        <v>34</v>
      </c>
      <c r="AR83" s="407">
        <v>23</v>
      </c>
      <c r="AS83" s="407">
        <v>12</v>
      </c>
      <c r="AT83" s="407">
        <v>35</v>
      </c>
    </row>
    <row r="84" spans="1:46" ht="14.5" x14ac:dyDescent="0.35">
      <c r="B84" s="255" t="s">
        <v>23</v>
      </c>
      <c r="C84" s="256"/>
      <c r="D84" s="279">
        <f>IF($E$4&lt;&gt;"",VLOOKUP($B$19,Y_1,19,0),"")</f>
        <v>361210</v>
      </c>
      <c r="E84" s="279">
        <f>IF($E$4&lt;&gt;"",VLOOKUP($B$19,Y_2,19,0),"")</f>
        <v>361336</v>
      </c>
      <c r="F84" s="279">
        <f>IF($E$4&lt;&gt;"",VLOOKUP($B$19,Y_3,19,0),"")</f>
        <v>334858</v>
      </c>
      <c r="G84" s="279">
        <f>IF($E$4&lt;&gt;"",VLOOKUP($B$19,Y_4,19,0),"")</f>
        <v>339386</v>
      </c>
      <c r="H84" s="279">
        <f>IF($E$4&lt;&gt;"",VLOOKUP($B$19,Y_5,19,0),"")</f>
        <v>336779</v>
      </c>
      <c r="I84" s="279">
        <f>IF($E$4&lt;&gt;"",VLOOKUP($B$19,Y_6,19,0),"")</f>
        <v>334761</v>
      </c>
      <c r="J84" s="279">
        <f>IF($E$4&lt;&gt;"",VLOOKUP($B$19,Y_7,19,0),"")</f>
        <v>334866</v>
      </c>
      <c r="K84" s="280">
        <f>IF($E$4&lt;&gt;"",VLOOKUP($B$19,Y_8,19,0),"")</f>
        <v>333961</v>
      </c>
      <c r="AI84" s="405" t="s">
        <v>247</v>
      </c>
      <c r="AJ84" s="405" t="s">
        <v>88</v>
      </c>
      <c r="AM84" s="407" t="s">
        <v>228</v>
      </c>
      <c r="AN84" s="407" t="s">
        <v>229</v>
      </c>
      <c r="AO84" s="407">
        <v>16</v>
      </c>
      <c r="AP84" s="407">
        <v>8</v>
      </c>
      <c r="AQ84" s="407">
        <v>24</v>
      </c>
      <c r="AR84" s="407">
        <v>19</v>
      </c>
      <c r="AS84" s="407">
        <v>5</v>
      </c>
      <c r="AT84" s="407">
        <v>24</v>
      </c>
    </row>
    <row r="85" spans="1:46" ht="14.5" x14ac:dyDescent="0.35">
      <c r="B85" s="78" t="s">
        <v>808</v>
      </c>
      <c r="C85" s="79"/>
      <c r="D85" s="79"/>
      <c r="E85" s="51"/>
      <c r="F85" s="51"/>
      <c r="G85" s="51"/>
      <c r="H85" s="51"/>
      <c r="I85" s="51"/>
      <c r="J85" s="349"/>
      <c r="K85" s="67"/>
      <c r="AI85" s="405" t="s">
        <v>249</v>
      </c>
      <c r="AJ85" s="405" t="s">
        <v>87</v>
      </c>
      <c r="AM85" s="407" t="s">
        <v>230</v>
      </c>
      <c r="AN85" s="407" t="s">
        <v>231</v>
      </c>
      <c r="AO85" s="407">
        <v>18</v>
      </c>
      <c r="AP85" s="407">
        <v>12</v>
      </c>
      <c r="AQ85" s="407">
        <v>30</v>
      </c>
      <c r="AR85" s="407">
        <v>25</v>
      </c>
      <c r="AS85" s="407">
        <v>13</v>
      </c>
      <c r="AT85" s="407">
        <v>38</v>
      </c>
    </row>
    <row r="86" spans="1:46" ht="14.5" x14ac:dyDescent="0.35">
      <c r="B86" s="65" t="s">
        <v>798</v>
      </c>
      <c r="C86" s="66"/>
      <c r="D86" s="66"/>
      <c r="E86" s="66"/>
      <c r="J86" s="349"/>
      <c r="K86" s="68"/>
      <c r="AI86" s="405" t="s">
        <v>251</v>
      </c>
      <c r="AJ86" s="405" t="s">
        <v>83</v>
      </c>
      <c r="AM86" s="407" t="s">
        <v>232</v>
      </c>
      <c r="AN86" s="407" t="s">
        <v>233</v>
      </c>
      <c r="AO86" s="407">
        <v>12</v>
      </c>
      <c r="AP86" s="407">
        <v>4</v>
      </c>
      <c r="AQ86" s="407">
        <v>16</v>
      </c>
      <c r="AR86" s="407">
        <v>14</v>
      </c>
      <c r="AS86" s="407">
        <v>6</v>
      </c>
      <c r="AT86" s="407">
        <v>20</v>
      </c>
    </row>
    <row r="87" spans="1:46" ht="14.5" x14ac:dyDescent="0.35">
      <c r="B87" s="65" t="s">
        <v>811</v>
      </c>
      <c r="D87" s="358"/>
      <c r="J87" s="349"/>
      <c r="K87" s="68"/>
      <c r="AI87" s="405" t="s">
        <v>253</v>
      </c>
      <c r="AJ87" s="405" t="s">
        <v>82</v>
      </c>
      <c r="AM87" s="407" t="s">
        <v>234</v>
      </c>
      <c r="AN87" s="407" t="s">
        <v>235</v>
      </c>
      <c r="AO87" s="407">
        <v>21</v>
      </c>
      <c r="AP87" s="407">
        <v>8</v>
      </c>
      <c r="AQ87" s="407">
        <v>29</v>
      </c>
      <c r="AR87" s="407">
        <v>27</v>
      </c>
      <c r="AS87" s="407">
        <v>12</v>
      </c>
      <c r="AT87" s="407">
        <v>39</v>
      </c>
    </row>
    <row r="88" spans="1:46" ht="13.4" customHeight="1" x14ac:dyDescent="0.35">
      <c r="B88" s="429" t="s">
        <v>24</v>
      </c>
      <c r="C88" s="430"/>
      <c r="D88" s="430"/>
      <c r="E88" s="430"/>
      <c r="F88" s="430"/>
      <c r="G88" s="430"/>
      <c r="H88" s="430"/>
      <c r="I88" s="430"/>
      <c r="J88" s="350"/>
      <c r="K88" s="69"/>
      <c r="AI88" s="405" t="s">
        <v>255</v>
      </c>
      <c r="AJ88" s="405" t="s">
        <v>792</v>
      </c>
      <c r="AM88" s="407" t="s">
        <v>236</v>
      </c>
      <c r="AN88" s="407" t="s">
        <v>237</v>
      </c>
      <c r="AO88" s="407">
        <v>0</v>
      </c>
      <c r="AP88" s="407">
        <v>0</v>
      </c>
      <c r="AQ88" s="407">
        <v>0</v>
      </c>
      <c r="AR88" s="407">
        <v>29</v>
      </c>
      <c r="AS88" s="407">
        <v>23</v>
      </c>
      <c r="AT88" s="407">
        <v>52</v>
      </c>
    </row>
    <row r="89" spans="1:46" ht="13.4" customHeight="1" x14ac:dyDescent="0.35">
      <c r="B89" s="431"/>
      <c r="C89" s="432"/>
      <c r="D89" s="432"/>
      <c r="E89" s="432"/>
      <c r="F89" s="432"/>
      <c r="G89" s="432"/>
      <c r="H89" s="432"/>
      <c r="I89" s="432"/>
      <c r="J89" s="347"/>
      <c r="K89" s="70"/>
      <c r="AI89" s="405" t="s">
        <v>257</v>
      </c>
      <c r="AJ89" s="405" t="s">
        <v>89</v>
      </c>
      <c r="AM89" s="407" t="s">
        <v>238</v>
      </c>
      <c r="AN89" s="407" t="s">
        <v>239</v>
      </c>
      <c r="AO89" s="407">
        <v>19</v>
      </c>
      <c r="AP89" s="407">
        <v>2</v>
      </c>
      <c r="AQ89" s="407">
        <v>21</v>
      </c>
      <c r="AR89" s="407">
        <v>25</v>
      </c>
      <c r="AS89" s="407">
        <v>4</v>
      </c>
      <c r="AT89" s="407">
        <v>29</v>
      </c>
    </row>
    <row r="90" spans="1:46" ht="13.4" customHeight="1" x14ac:dyDescent="0.35">
      <c r="AI90" s="405" t="s">
        <v>259</v>
      </c>
      <c r="AJ90" s="405" t="s">
        <v>83</v>
      </c>
      <c r="AM90" s="407" t="s">
        <v>240</v>
      </c>
      <c r="AN90" s="407" t="s">
        <v>241</v>
      </c>
      <c r="AO90" s="407">
        <v>23</v>
      </c>
      <c r="AP90" s="407">
        <v>3</v>
      </c>
      <c r="AQ90" s="407">
        <v>26</v>
      </c>
      <c r="AR90" s="407">
        <v>25</v>
      </c>
      <c r="AS90" s="407">
        <v>2</v>
      </c>
      <c r="AT90" s="407">
        <v>27</v>
      </c>
    </row>
    <row r="91" spans="1:46" ht="15.5" x14ac:dyDescent="0.35">
      <c r="A91" s="423">
        <v>5</v>
      </c>
      <c r="B91" s="54" t="s">
        <v>25</v>
      </c>
      <c r="C91" s="55"/>
      <c r="D91" s="55"/>
      <c r="E91" s="8"/>
      <c r="F91" s="8"/>
      <c r="G91" s="8"/>
      <c r="H91" s="8"/>
      <c r="I91" s="8"/>
      <c r="J91" s="8"/>
      <c r="K91" s="57"/>
      <c r="AI91" s="405" t="s">
        <v>261</v>
      </c>
      <c r="AJ91" s="405" t="s">
        <v>87</v>
      </c>
      <c r="AM91" s="407" t="s">
        <v>242</v>
      </c>
      <c r="AN91" s="407" t="s">
        <v>243</v>
      </c>
      <c r="AO91" s="407">
        <v>31</v>
      </c>
      <c r="AP91" s="407">
        <v>21</v>
      </c>
      <c r="AQ91" s="407">
        <v>52</v>
      </c>
      <c r="AR91" s="407">
        <v>34</v>
      </c>
      <c r="AS91" s="407">
        <v>32</v>
      </c>
      <c r="AT91" s="407">
        <v>66</v>
      </c>
    </row>
    <row r="92" spans="1:46" ht="41.5" customHeight="1" x14ac:dyDescent="0.35">
      <c r="A92" s="424"/>
      <c r="B92" s="425" t="str">
        <f>IF(E3="","Average weekly gross rent (£ per week) and units","Average weekly gross rent (£ per week) and units for "&amp;$E$3&amp;", "&amp;$B$18&amp; " and England")</f>
        <v>Average weekly gross rent (£ per week) and units</v>
      </c>
      <c r="C92" s="426"/>
      <c r="D92" s="426"/>
      <c r="E92" s="426"/>
      <c r="F92" s="426"/>
      <c r="G92" s="426"/>
      <c r="H92" s="426"/>
      <c r="I92" s="426"/>
      <c r="J92" s="348"/>
      <c r="K92" s="58"/>
      <c r="AI92" s="405" t="s">
        <v>263</v>
      </c>
      <c r="AJ92" s="405" t="s">
        <v>87</v>
      </c>
      <c r="AM92" s="407" t="s">
        <v>244</v>
      </c>
      <c r="AN92" s="407" t="s">
        <v>245</v>
      </c>
      <c r="AO92" s="407">
        <v>21</v>
      </c>
      <c r="AP92" s="407">
        <v>4</v>
      </c>
      <c r="AQ92" s="407">
        <v>25</v>
      </c>
      <c r="AR92" s="407">
        <v>25</v>
      </c>
      <c r="AS92" s="407">
        <v>4</v>
      </c>
      <c r="AT92" s="407">
        <v>29</v>
      </c>
    </row>
    <row r="93" spans="1:46" ht="14.5" x14ac:dyDescent="0.35">
      <c r="B93" s="376" t="str">
        <f>IF(E3="","Average weekly general needs Affordable Rent gross rent (£ per week)","Average weekly general needs Affordable Rent gross rent (£ per week) for "&amp;$E$3&amp;", "&amp;$B$18&amp; " and England")</f>
        <v>Average weekly general needs Affordable Rent gross rent (£ per week)</v>
      </c>
      <c r="C93" s="80"/>
      <c r="D93" s="80"/>
      <c r="E93" s="80"/>
      <c r="F93" s="80"/>
      <c r="G93" s="80"/>
      <c r="H93" s="80"/>
      <c r="I93" s="80"/>
      <c r="J93" s="351"/>
      <c r="K93" s="81"/>
      <c r="AI93" s="405" t="s">
        <v>265</v>
      </c>
      <c r="AJ93" s="405" t="s">
        <v>86</v>
      </c>
      <c r="AM93" s="407" t="s">
        <v>246</v>
      </c>
      <c r="AN93" s="407" t="s">
        <v>247</v>
      </c>
      <c r="AO93" s="407">
        <v>23</v>
      </c>
      <c r="AP93" s="407">
        <v>8</v>
      </c>
      <c r="AQ93" s="407">
        <v>31</v>
      </c>
      <c r="AR93" s="407">
        <v>24</v>
      </c>
      <c r="AS93" s="407">
        <v>7</v>
      </c>
      <c r="AT93" s="407">
        <v>31</v>
      </c>
    </row>
    <row r="94" spans="1:46" ht="14.5" x14ac:dyDescent="0.35">
      <c r="B94" s="72"/>
      <c r="C94" s="367" t="s">
        <v>819</v>
      </c>
      <c r="D94" s="73">
        <v>2015</v>
      </c>
      <c r="E94" s="73">
        <v>2016</v>
      </c>
      <c r="F94" s="73">
        <v>2017</v>
      </c>
      <c r="G94" s="73">
        <v>2018</v>
      </c>
      <c r="H94" s="73">
        <v>2019</v>
      </c>
      <c r="I94" s="73">
        <v>2020</v>
      </c>
      <c r="J94" s="73">
        <v>2021</v>
      </c>
      <c r="K94" s="74">
        <v>2022</v>
      </c>
      <c r="AI94" s="405" t="s">
        <v>267</v>
      </c>
      <c r="AJ94" s="405" t="s">
        <v>87</v>
      </c>
      <c r="AM94" s="407" t="s">
        <v>248</v>
      </c>
      <c r="AN94" s="407" t="s">
        <v>249</v>
      </c>
      <c r="AO94" s="407">
        <v>19</v>
      </c>
      <c r="AP94" s="407">
        <v>3</v>
      </c>
      <c r="AQ94" s="407">
        <v>22</v>
      </c>
      <c r="AR94" s="407">
        <v>26</v>
      </c>
      <c r="AS94" s="407">
        <v>3</v>
      </c>
      <c r="AT94" s="407">
        <v>29</v>
      </c>
    </row>
    <row r="95" spans="1:46" ht="14.5" x14ac:dyDescent="0.35">
      <c r="B95" s="75">
        <f>$E$3</f>
        <v>0</v>
      </c>
      <c r="C95" s="76"/>
      <c r="D95" s="273"/>
      <c r="E95" s="273"/>
      <c r="F95" s="273"/>
      <c r="G95" s="273"/>
      <c r="H95" s="273"/>
      <c r="I95" s="273"/>
      <c r="J95" s="273"/>
      <c r="K95" s="274"/>
      <c r="AI95" s="405" t="s">
        <v>269</v>
      </c>
      <c r="AJ95" s="405" t="s">
        <v>84</v>
      </c>
      <c r="AM95" s="407" t="s">
        <v>250</v>
      </c>
      <c r="AN95" s="407" t="s">
        <v>251</v>
      </c>
      <c r="AO95" s="407">
        <v>26</v>
      </c>
      <c r="AP95" s="407">
        <v>5</v>
      </c>
      <c r="AQ95" s="407">
        <v>31</v>
      </c>
      <c r="AR95" s="407">
        <v>27</v>
      </c>
      <c r="AS95" s="407">
        <v>5</v>
      </c>
      <c r="AT95" s="407">
        <v>32</v>
      </c>
    </row>
    <row r="96" spans="1:46" ht="14.5" x14ac:dyDescent="0.35">
      <c r="B96" s="248" t="s">
        <v>26</v>
      </c>
      <c r="C96" s="249"/>
      <c r="D96" s="275" t="str">
        <f>IFERROR(VLOOKUP($E$3,Y_1,20,0),"")</f>
        <v/>
      </c>
      <c r="E96" s="275" t="str">
        <f>IFERROR(VLOOKUP($E$3,Y_2,20,0),"")</f>
        <v/>
      </c>
      <c r="F96" s="275" t="str">
        <f>IFERROR(VLOOKUP($E$3,Y_3,20,0),"")</f>
        <v/>
      </c>
      <c r="G96" s="275" t="str">
        <f>IFERROR(VLOOKUP($E$3,Y_4,20,0),"")</f>
        <v/>
      </c>
      <c r="H96" s="275" t="str">
        <f>IFERROR(VLOOKUP($E$3,Y_5,20,0),"")</f>
        <v/>
      </c>
      <c r="I96" s="275" t="str">
        <f>IFERROR(VLOOKUP($E$3,Y_6,20,0),"")</f>
        <v/>
      </c>
      <c r="J96" s="275" t="str">
        <f>IFERROR(VLOOKUP($E$3,Y_7,20,0),"")</f>
        <v/>
      </c>
      <c r="K96" s="276" t="str">
        <f>IFERROR(VLOOKUP($E$3,Y_8,20,0),"")</f>
        <v/>
      </c>
      <c r="AI96" s="405" t="s">
        <v>271</v>
      </c>
      <c r="AJ96" s="405" t="s">
        <v>83</v>
      </c>
      <c r="AM96" s="407" t="s">
        <v>252</v>
      </c>
      <c r="AN96" s="407" t="s">
        <v>253</v>
      </c>
      <c r="AO96" s="407">
        <v>19</v>
      </c>
      <c r="AP96" s="407">
        <v>3</v>
      </c>
      <c r="AQ96" s="407">
        <v>22</v>
      </c>
      <c r="AR96" s="407">
        <v>19</v>
      </c>
      <c r="AS96" s="407">
        <v>4</v>
      </c>
      <c r="AT96" s="407">
        <v>23</v>
      </c>
    </row>
    <row r="97" spans="1:46" ht="14.5" x14ac:dyDescent="0.35">
      <c r="B97" s="255" t="s">
        <v>23</v>
      </c>
      <c r="C97" s="256"/>
      <c r="D97" s="279" t="str">
        <f>IFERROR(VLOOKUP($E$3,Y_1,21,0),"")</f>
        <v/>
      </c>
      <c r="E97" s="279" t="str">
        <f>IFERROR(VLOOKUP($E$3,Y_2,21,0),"")</f>
        <v/>
      </c>
      <c r="F97" s="279" t="str">
        <f>IFERROR(VLOOKUP($E$3,Y_3,21,0),"")</f>
        <v/>
      </c>
      <c r="G97" s="279" t="str">
        <f>IFERROR(VLOOKUP($E$3,Y_4,21,0),"")</f>
        <v/>
      </c>
      <c r="H97" s="279" t="str">
        <f>IFERROR(VLOOKUP($E$3,Y_5,21,0),"")</f>
        <v/>
      </c>
      <c r="I97" s="279" t="str">
        <f>IFERROR(VLOOKUP($E$3,Y_6,21,0),"")</f>
        <v/>
      </c>
      <c r="J97" s="279" t="str">
        <f>IFERROR(VLOOKUP($E$3,Y_7,21,0),"")</f>
        <v/>
      </c>
      <c r="K97" s="280" t="str">
        <f>IFERROR(VLOOKUP($E$3,Y_8,21,0),"")</f>
        <v/>
      </c>
      <c r="AI97" s="405" t="s">
        <v>273</v>
      </c>
      <c r="AJ97" s="405" t="s">
        <v>87</v>
      </c>
      <c r="AM97" s="407" t="s">
        <v>254</v>
      </c>
      <c r="AN97" s="407" t="s">
        <v>255</v>
      </c>
      <c r="AO97" s="407">
        <v>19</v>
      </c>
      <c r="AP97" s="407">
        <v>7</v>
      </c>
      <c r="AQ97" s="407">
        <v>26</v>
      </c>
      <c r="AR97" s="407">
        <v>30</v>
      </c>
      <c r="AS97" s="407">
        <v>11</v>
      </c>
      <c r="AT97" s="407">
        <v>41</v>
      </c>
    </row>
    <row r="98" spans="1:46" ht="14.5" x14ac:dyDescent="0.35">
      <c r="B98" s="75" t="str">
        <f>$B$18</f>
        <v/>
      </c>
      <c r="C98" s="76"/>
      <c r="D98" s="273"/>
      <c r="E98" s="273"/>
      <c r="F98" s="273"/>
      <c r="G98" s="273"/>
      <c r="H98" s="273"/>
      <c r="I98" s="273"/>
      <c r="J98" s="273"/>
      <c r="K98" s="274"/>
      <c r="AI98" s="405" t="s">
        <v>275</v>
      </c>
      <c r="AJ98" s="405" t="s">
        <v>82</v>
      </c>
      <c r="AM98" s="407" t="s">
        <v>256</v>
      </c>
      <c r="AN98" s="407" t="s">
        <v>257</v>
      </c>
      <c r="AO98" s="407">
        <v>15</v>
      </c>
      <c r="AP98" s="407">
        <v>1</v>
      </c>
      <c r="AQ98" s="407">
        <v>16</v>
      </c>
      <c r="AR98" s="407">
        <v>18</v>
      </c>
      <c r="AS98" s="407">
        <v>1</v>
      </c>
      <c r="AT98" s="407">
        <v>19</v>
      </c>
    </row>
    <row r="99" spans="1:46" ht="14.5" x14ac:dyDescent="0.35">
      <c r="B99" s="248" t="s">
        <v>26</v>
      </c>
      <c r="C99" s="249"/>
      <c r="D99" s="275" t="str">
        <f>IFERROR(VLOOKUP($E$4,Y_1,20,0),"")</f>
        <v/>
      </c>
      <c r="E99" s="275" t="str">
        <f>IFERROR(VLOOKUP($E$4,Y_2,20,0),"")</f>
        <v/>
      </c>
      <c r="F99" s="275" t="str">
        <f>IFERROR(VLOOKUP($E$4,Y_3,20,0),"")</f>
        <v/>
      </c>
      <c r="G99" s="82" t="str">
        <f>IFERROR(VLOOKUP($E$4,Y_4,20,0),"")</f>
        <v/>
      </c>
      <c r="H99" s="275" t="str">
        <f>IFERROR(VLOOKUP($E$4,Y_5,20,0),"")</f>
        <v/>
      </c>
      <c r="I99" s="275" t="str">
        <f>IFERROR(VLOOKUP($E$4,Y_6,20,0),"")</f>
        <v/>
      </c>
      <c r="J99" s="275" t="str">
        <f>IFERROR(VLOOKUP($E$4,Y_7,20,0),"")</f>
        <v/>
      </c>
      <c r="K99" s="276" t="str">
        <f>IFERROR(VLOOKUP($E$4,Y_8,20,0),"")</f>
        <v/>
      </c>
      <c r="AI99" s="405" t="s">
        <v>277</v>
      </c>
      <c r="AJ99" s="405" t="s">
        <v>88</v>
      </c>
      <c r="AM99" s="407" t="s">
        <v>258</v>
      </c>
      <c r="AN99" s="407" t="s">
        <v>259</v>
      </c>
      <c r="AO99" s="407">
        <v>0</v>
      </c>
      <c r="AP99" s="407">
        <v>0</v>
      </c>
      <c r="AQ99" s="407">
        <v>0</v>
      </c>
      <c r="AR99" s="407">
        <v>23</v>
      </c>
      <c r="AS99" s="407">
        <v>7</v>
      </c>
      <c r="AT99" s="407">
        <v>30</v>
      </c>
    </row>
    <row r="100" spans="1:46" ht="14.5" x14ac:dyDescent="0.35">
      <c r="B100" s="255" t="s">
        <v>23</v>
      </c>
      <c r="C100" s="256"/>
      <c r="D100" s="279" t="str">
        <f>IFERROR(VLOOKUP($E$4,Y_1,21,0),"")</f>
        <v/>
      </c>
      <c r="E100" s="279" t="str">
        <f>IFERROR(VLOOKUP($E$4,Y_2,21,0),"")</f>
        <v/>
      </c>
      <c r="F100" s="279" t="str">
        <f>IFERROR(VLOOKUP($E$4,Y_3,21,0),"")</f>
        <v/>
      </c>
      <c r="G100" s="279" t="str">
        <f>IFERROR(VLOOKUP($E$4,Y_4,21,0),"")</f>
        <v/>
      </c>
      <c r="H100" s="279" t="str">
        <f>IFERROR(VLOOKUP($E$4,Y_5,21,0),"")</f>
        <v/>
      </c>
      <c r="I100" s="279" t="str">
        <f>IFERROR(VLOOKUP($E$4,Y_6,21,0),"")</f>
        <v/>
      </c>
      <c r="J100" s="279" t="str">
        <f>IFERROR(VLOOKUP($E$4,Y_7,21,0),"")</f>
        <v/>
      </c>
      <c r="K100" s="280" t="str">
        <f>IFERROR(VLOOKUP($E$4,Y_8,21,0),"")</f>
        <v/>
      </c>
      <c r="AI100" s="405" t="s">
        <v>279</v>
      </c>
      <c r="AJ100" s="405" t="s">
        <v>87</v>
      </c>
      <c r="AM100" s="407" t="s">
        <v>260</v>
      </c>
      <c r="AN100" s="407" t="s">
        <v>261</v>
      </c>
      <c r="AO100" s="407">
        <v>21</v>
      </c>
      <c r="AP100" s="407">
        <v>4</v>
      </c>
      <c r="AQ100" s="407">
        <v>25</v>
      </c>
      <c r="AR100" s="407">
        <v>23</v>
      </c>
      <c r="AS100" s="407">
        <v>6</v>
      </c>
      <c r="AT100" s="407">
        <v>29</v>
      </c>
    </row>
    <row r="101" spans="1:46" ht="14.5" x14ac:dyDescent="0.35">
      <c r="B101" s="75" t="s">
        <v>15</v>
      </c>
      <c r="C101" s="76"/>
      <c r="D101" s="273"/>
      <c r="E101" s="273"/>
      <c r="F101" s="273"/>
      <c r="G101" s="273"/>
      <c r="H101" s="273"/>
      <c r="I101" s="273"/>
      <c r="J101" s="273"/>
      <c r="K101" s="274"/>
      <c r="AI101" s="405" t="s">
        <v>281</v>
      </c>
      <c r="AJ101" s="405" t="s">
        <v>83</v>
      </c>
      <c r="AM101" s="407" t="s">
        <v>262</v>
      </c>
      <c r="AN101" s="407" t="s">
        <v>263</v>
      </c>
      <c r="AO101" s="407">
        <v>20</v>
      </c>
      <c r="AP101" s="407">
        <v>3</v>
      </c>
      <c r="AQ101" s="407">
        <v>23</v>
      </c>
      <c r="AR101" s="407">
        <v>25</v>
      </c>
      <c r="AS101" s="407">
        <v>5</v>
      </c>
      <c r="AT101" s="407">
        <v>30</v>
      </c>
    </row>
    <row r="102" spans="1:46" ht="14.5" x14ac:dyDescent="0.35">
      <c r="B102" s="248" t="s">
        <v>26</v>
      </c>
      <c r="C102" s="249"/>
      <c r="D102" s="275">
        <f>IF($E$4&lt;&gt;"",VLOOKUP($B$19,Y_1,20,0),"")</f>
        <v>124.34</v>
      </c>
      <c r="E102" s="275">
        <f>IF($E$4&lt;&gt;"",VLOOKUP($B$19,Y_2,20,0),"")</f>
        <v>128.6</v>
      </c>
      <c r="F102" s="275">
        <f>IF($E$4&lt;&gt;"",VLOOKUP($B$19,Y_3,20,0),"")</f>
        <v>127.95</v>
      </c>
      <c r="G102" s="82">
        <f>IF($E$4&lt;&gt;"",VLOOKUP($B$19,Y_4,20,0),"")</f>
        <v>127.8</v>
      </c>
      <c r="H102" s="275">
        <f>IF($E$4&lt;&gt;"",VLOOKUP($B$19,Y_5,20,0),"")</f>
        <v>128.05000000000001</v>
      </c>
      <c r="I102" s="275">
        <f>IF($E$4&lt;&gt;"",VLOOKUP($B$19,Y_6,20,0),"")</f>
        <v>128.62</v>
      </c>
      <c r="J102" s="275">
        <f>IF($E$4&lt;&gt;"",VLOOKUP($B$19,Y_7,20,0),"")</f>
        <v>133.31</v>
      </c>
      <c r="K102" s="276">
        <f>IF($E$4&lt;&gt;"",VLOOKUP($B$19,Y_8,20,0),"")</f>
        <v>136.72</v>
      </c>
      <c r="AI102" s="405" t="s">
        <v>283</v>
      </c>
      <c r="AJ102" s="405" t="s">
        <v>87</v>
      </c>
      <c r="AM102" s="407" t="s">
        <v>264</v>
      </c>
      <c r="AN102" s="407" t="s">
        <v>265</v>
      </c>
      <c r="AO102" s="407">
        <v>10</v>
      </c>
      <c r="AP102" s="407">
        <v>3</v>
      </c>
      <c r="AQ102" s="407">
        <v>13</v>
      </c>
      <c r="AR102" s="407">
        <v>10</v>
      </c>
      <c r="AS102" s="407">
        <v>3</v>
      </c>
      <c r="AT102" s="407">
        <v>13</v>
      </c>
    </row>
    <row r="103" spans="1:46" ht="14.5" x14ac:dyDescent="0.35">
      <c r="B103" s="255" t="s">
        <v>23</v>
      </c>
      <c r="C103" s="256"/>
      <c r="D103" s="279">
        <f>IF($E$4&lt;&gt;"",VLOOKUP($B$19,Y_1,21,0),"")</f>
        <v>117288</v>
      </c>
      <c r="E103" s="279">
        <f>IF($E$4&lt;&gt;"",VLOOKUP($B$19,Y_2,21,0),"")</f>
        <v>151611</v>
      </c>
      <c r="F103" s="279">
        <f>IF($E$4&lt;&gt;"",VLOOKUP($B$19,Y_3,21,0),"")</f>
        <v>182115</v>
      </c>
      <c r="G103" s="279">
        <f>IF($E$4&lt;&gt;"",VLOOKUP($B$19,Y_4,21,0),"")</f>
        <v>208889</v>
      </c>
      <c r="H103" s="279">
        <f>IF($E$4&lt;&gt;"",VLOOKUP($B$19,Y_5,21,0),"")</f>
        <v>231212</v>
      </c>
      <c r="I103" s="279">
        <f>IF($E$4&lt;&gt;"",VLOOKUP($B$19,Y_6,21,0),"")</f>
        <v>254218</v>
      </c>
      <c r="J103" s="279">
        <f>IF($E$4&lt;&gt;"",VLOOKUP($B$19,Y_7,21,0),"")</f>
        <v>272045</v>
      </c>
      <c r="K103" s="280">
        <f>IF($E$4&lt;&gt;"",VLOOKUP($B$19,Y_8,21,0),"")</f>
        <v>294526</v>
      </c>
      <c r="AI103" s="405" t="s">
        <v>285</v>
      </c>
      <c r="AJ103" s="405" t="s">
        <v>88</v>
      </c>
      <c r="AM103" s="407" t="s">
        <v>266</v>
      </c>
      <c r="AN103" s="407" t="s">
        <v>267</v>
      </c>
      <c r="AO103" s="407">
        <v>18</v>
      </c>
      <c r="AP103" s="407">
        <v>7</v>
      </c>
      <c r="AQ103" s="407">
        <v>25</v>
      </c>
      <c r="AR103" s="407">
        <v>15</v>
      </c>
      <c r="AS103" s="407">
        <v>7</v>
      </c>
      <c r="AT103" s="407">
        <v>22</v>
      </c>
    </row>
    <row r="104" spans="1:46" ht="14.5" x14ac:dyDescent="0.35">
      <c r="B104" s="50"/>
      <c r="C104" s="51"/>
      <c r="D104" s="51"/>
      <c r="E104" s="51"/>
      <c r="F104" s="51"/>
      <c r="G104" s="51"/>
      <c r="H104" s="51"/>
      <c r="I104" s="51"/>
      <c r="J104" s="51"/>
      <c r="K104" s="67"/>
      <c r="AI104" s="405" t="s">
        <v>287</v>
      </c>
      <c r="AJ104" s="405" t="s">
        <v>86</v>
      </c>
      <c r="AM104" s="407" t="s">
        <v>268</v>
      </c>
      <c r="AN104" s="407" t="s">
        <v>269</v>
      </c>
      <c r="AO104" s="407">
        <v>31</v>
      </c>
      <c r="AP104" s="407">
        <v>12</v>
      </c>
      <c r="AQ104" s="407">
        <v>43</v>
      </c>
      <c r="AR104" s="407">
        <v>33</v>
      </c>
      <c r="AS104" s="407">
        <v>17</v>
      </c>
      <c r="AT104" s="407">
        <v>50</v>
      </c>
    </row>
    <row r="105" spans="1:46" ht="41.5" customHeight="1" x14ac:dyDescent="0.35">
      <c r="B105" s="65" t="s">
        <v>809</v>
      </c>
      <c r="C105" s="66"/>
      <c r="D105" s="66"/>
      <c r="K105" s="68"/>
      <c r="AI105" s="405" t="s">
        <v>289</v>
      </c>
      <c r="AJ105" s="405" t="s">
        <v>85</v>
      </c>
      <c r="AM105" s="407" t="s">
        <v>270</v>
      </c>
      <c r="AN105" s="407" t="s">
        <v>271</v>
      </c>
      <c r="AO105" s="407">
        <v>24</v>
      </c>
      <c r="AP105" s="407">
        <v>5</v>
      </c>
      <c r="AQ105" s="407">
        <v>29</v>
      </c>
      <c r="AR105" s="407">
        <v>20</v>
      </c>
      <c r="AS105" s="407">
        <v>4</v>
      </c>
      <c r="AT105" s="407">
        <v>24</v>
      </c>
    </row>
    <row r="106" spans="1:46" ht="13.4" customHeight="1" x14ac:dyDescent="0.35">
      <c r="B106" s="52"/>
      <c r="C106" s="53"/>
      <c r="D106" s="53"/>
      <c r="E106" s="53"/>
      <c r="F106" s="53"/>
      <c r="G106" s="53"/>
      <c r="H106" s="53"/>
      <c r="I106" s="53"/>
      <c r="J106" s="53"/>
      <c r="K106" s="83"/>
      <c r="AI106" s="405" t="s">
        <v>291</v>
      </c>
      <c r="AJ106" s="405" t="s">
        <v>82</v>
      </c>
      <c r="AM106" s="407" t="s">
        <v>272</v>
      </c>
      <c r="AN106" s="407" t="s">
        <v>273</v>
      </c>
      <c r="AO106" s="407">
        <v>16</v>
      </c>
      <c r="AP106" s="407">
        <v>5</v>
      </c>
      <c r="AQ106" s="407">
        <v>21</v>
      </c>
      <c r="AR106" s="407">
        <v>19</v>
      </c>
      <c r="AS106" s="407">
        <v>8</v>
      </c>
      <c r="AT106" s="407">
        <v>27</v>
      </c>
    </row>
    <row r="107" spans="1:46" ht="14.5" x14ac:dyDescent="0.35">
      <c r="AI107" s="405" t="s">
        <v>293</v>
      </c>
      <c r="AJ107" s="405" t="s">
        <v>88</v>
      </c>
      <c r="AM107" s="407" t="s">
        <v>274</v>
      </c>
      <c r="AN107" s="407" t="s">
        <v>275</v>
      </c>
      <c r="AO107" s="407">
        <v>17</v>
      </c>
      <c r="AP107" s="407">
        <v>3</v>
      </c>
      <c r="AQ107" s="407">
        <v>20</v>
      </c>
      <c r="AR107" s="407">
        <v>18</v>
      </c>
      <c r="AS107" s="407">
        <v>2</v>
      </c>
      <c r="AT107" s="407">
        <v>20</v>
      </c>
    </row>
    <row r="108" spans="1:46" ht="15.5" x14ac:dyDescent="0.35">
      <c r="A108" s="423">
        <v>6</v>
      </c>
      <c r="B108" s="54" t="s">
        <v>782</v>
      </c>
      <c r="C108" s="55"/>
      <c r="D108" s="55"/>
      <c r="E108" s="8"/>
      <c r="F108" s="8"/>
      <c r="G108" s="8"/>
      <c r="H108" s="8"/>
      <c r="I108" s="8"/>
      <c r="J108" s="8"/>
      <c r="K108" s="57"/>
      <c r="AI108" s="405" t="s">
        <v>295</v>
      </c>
      <c r="AJ108" s="405" t="s">
        <v>87</v>
      </c>
      <c r="AM108" s="407" t="s">
        <v>276</v>
      </c>
      <c r="AN108" s="407" t="s">
        <v>277</v>
      </c>
      <c r="AO108" s="407">
        <v>23</v>
      </c>
      <c r="AP108" s="407">
        <v>3</v>
      </c>
      <c r="AQ108" s="407">
        <v>26</v>
      </c>
      <c r="AR108" s="407">
        <v>22</v>
      </c>
      <c r="AS108" s="407">
        <v>6</v>
      </c>
      <c r="AT108" s="407">
        <v>28</v>
      </c>
    </row>
    <row r="109" spans="1:46" ht="41.5" customHeight="1" x14ac:dyDescent="0.35">
      <c r="A109" s="424"/>
      <c r="B109" s="425" t="str">
        <f>IF(E3="","Average weekly gross rent (£ per week) and units","Average weekly gross rent (£ per week) and units for "&amp;$E$3&amp;", "&amp;$B$18&amp; " and England")</f>
        <v>Average weekly gross rent (£ per week) and units</v>
      </c>
      <c r="C109" s="426"/>
      <c r="D109" s="426"/>
      <c r="E109" s="426"/>
      <c r="F109" s="426"/>
      <c r="G109" s="426"/>
      <c r="H109" s="426"/>
      <c r="I109" s="426"/>
      <c r="J109" s="348"/>
      <c r="K109" s="58"/>
      <c r="AI109" s="405" t="s">
        <v>297</v>
      </c>
      <c r="AJ109" s="405" t="s">
        <v>87</v>
      </c>
      <c r="AM109" s="407" t="s">
        <v>278</v>
      </c>
      <c r="AN109" s="407" t="s">
        <v>279</v>
      </c>
      <c r="AO109" s="407">
        <v>24</v>
      </c>
      <c r="AP109" s="407">
        <v>4</v>
      </c>
      <c r="AQ109" s="407">
        <v>28</v>
      </c>
      <c r="AR109" s="407">
        <v>27</v>
      </c>
      <c r="AS109" s="407">
        <v>6</v>
      </c>
      <c r="AT109" s="407">
        <v>33</v>
      </c>
    </row>
    <row r="110" spans="1:46" ht="14.5" x14ac:dyDescent="0.35">
      <c r="B110" s="376" t="str">
        <f>IF(E3="","Average weekly supported housing/housing for older people Affordable Rent gross rent (£ per week)","Average weekly supported housing/housing for older people Affordable Rent gross rent (£ per week) for "&amp;$E$3&amp;", "&amp;$B$18&amp; " and England")</f>
        <v>Average weekly supported housing/housing for older people Affordable Rent gross rent (£ per week)</v>
      </c>
      <c r="C110" s="84"/>
      <c r="D110" s="84"/>
      <c r="E110" s="84"/>
      <c r="F110" s="84"/>
      <c r="G110" s="84"/>
      <c r="H110" s="84"/>
      <c r="I110" s="84"/>
      <c r="J110" s="352"/>
      <c r="K110" s="85"/>
      <c r="AI110" s="405" t="s">
        <v>299</v>
      </c>
      <c r="AJ110" s="405" t="s">
        <v>83</v>
      </c>
      <c r="AM110" s="407" t="s">
        <v>280</v>
      </c>
      <c r="AN110" s="407" t="s">
        <v>281</v>
      </c>
      <c r="AO110" s="407">
        <v>25</v>
      </c>
      <c r="AP110" s="407">
        <v>3</v>
      </c>
      <c r="AQ110" s="407">
        <v>28</v>
      </c>
      <c r="AR110" s="407">
        <v>27</v>
      </c>
      <c r="AS110" s="407">
        <v>5</v>
      </c>
      <c r="AT110" s="407">
        <v>32</v>
      </c>
    </row>
    <row r="111" spans="1:46" ht="14.5" x14ac:dyDescent="0.35">
      <c r="B111" s="72"/>
      <c r="C111" s="367" t="s">
        <v>819</v>
      </c>
      <c r="D111" s="73">
        <v>2015</v>
      </c>
      <c r="E111" s="73">
        <v>2016</v>
      </c>
      <c r="F111" s="73">
        <v>2017</v>
      </c>
      <c r="G111" s="73">
        <v>2018</v>
      </c>
      <c r="H111" s="73">
        <v>2019</v>
      </c>
      <c r="I111" s="73">
        <v>2020</v>
      </c>
      <c r="J111" s="73">
        <v>2021</v>
      </c>
      <c r="K111" s="74">
        <v>2022</v>
      </c>
      <c r="AI111" s="405" t="s">
        <v>301</v>
      </c>
      <c r="AJ111" s="405" t="s">
        <v>84</v>
      </c>
      <c r="AM111" s="407" t="s">
        <v>282</v>
      </c>
      <c r="AN111" s="407" t="s">
        <v>283</v>
      </c>
      <c r="AO111" s="407">
        <v>24</v>
      </c>
      <c r="AP111" s="407">
        <v>9</v>
      </c>
      <c r="AQ111" s="407">
        <v>33</v>
      </c>
      <c r="AR111" s="407">
        <v>24</v>
      </c>
      <c r="AS111" s="407">
        <v>11</v>
      </c>
      <c r="AT111" s="407">
        <v>35</v>
      </c>
    </row>
    <row r="112" spans="1:46" ht="14.5" x14ac:dyDescent="0.35">
      <c r="B112" s="75">
        <f>$E$3</f>
        <v>0</v>
      </c>
      <c r="C112" s="76"/>
      <c r="D112" s="273"/>
      <c r="E112" s="273"/>
      <c r="F112" s="273"/>
      <c r="G112" s="273"/>
      <c r="H112" s="273"/>
      <c r="I112" s="273"/>
      <c r="J112" s="273"/>
      <c r="K112" s="274"/>
      <c r="AI112" s="405" t="s">
        <v>303</v>
      </c>
      <c r="AJ112" s="405" t="s">
        <v>87</v>
      </c>
      <c r="AM112" s="407" t="s">
        <v>284</v>
      </c>
      <c r="AN112" s="407" t="s">
        <v>285</v>
      </c>
      <c r="AO112" s="407">
        <v>21</v>
      </c>
      <c r="AP112" s="407">
        <v>3</v>
      </c>
      <c r="AQ112" s="407">
        <v>24</v>
      </c>
      <c r="AR112" s="407">
        <v>19</v>
      </c>
      <c r="AS112" s="407">
        <v>6</v>
      </c>
      <c r="AT112" s="407">
        <v>25</v>
      </c>
    </row>
    <row r="113" spans="1:46" ht="14.5" x14ac:dyDescent="0.35">
      <c r="B113" s="248" t="s">
        <v>26</v>
      </c>
      <c r="C113" s="249"/>
      <c r="D113" s="409" t="str">
        <f>IFERROR(VLOOKUP($E$3,Y_1,22,0),"")</f>
        <v/>
      </c>
      <c r="E113" s="409" t="str">
        <f>IFERROR(VLOOKUP($E$3,Y_2,22,0),"")</f>
        <v/>
      </c>
      <c r="F113" s="409" t="str">
        <f>IFERROR(VLOOKUP($E$3,Y_3,22,0),"")</f>
        <v/>
      </c>
      <c r="G113" s="409" t="str">
        <f>IFERROR(VLOOKUP($E$3,Y_4,22,0),"")</f>
        <v/>
      </c>
      <c r="H113" s="409" t="str">
        <f>IFERROR(VLOOKUP($E$3,Y_5,22,0),"")</f>
        <v/>
      </c>
      <c r="I113" s="409" t="str">
        <f>IFERROR(VLOOKUP($E$3,Y_6,22,0),"")</f>
        <v/>
      </c>
      <c r="J113" s="409" t="str">
        <f>IFERROR(VLOOKUP($E$3,Y_7,22,0),"")</f>
        <v/>
      </c>
      <c r="K113" s="410" t="str">
        <f>IFERROR(VLOOKUP($E$3,Y_8,22,0),"")</f>
        <v/>
      </c>
      <c r="AI113" s="405" t="s">
        <v>305</v>
      </c>
      <c r="AJ113" s="405" t="s">
        <v>84</v>
      </c>
      <c r="AM113" s="407" t="s">
        <v>286</v>
      </c>
      <c r="AN113" s="407" t="s">
        <v>287</v>
      </c>
      <c r="AO113" s="407">
        <v>13</v>
      </c>
      <c r="AP113" s="407">
        <v>4</v>
      </c>
      <c r="AQ113" s="407">
        <v>17</v>
      </c>
      <c r="AR113" s="407">
        <v>18</v>
      </c>
      <c r="AS113" s="407">
        <v>7</v>
      </c>
      <c r="AT113" s="407">
        <v>25</v>
      </c>
    </row>
    <row r="114" spans="1:46" ht="14.5" x14ac:dyDescent="0.35">
      <c r="B114" s="255" t="s">
        <v>23</v>
      </c>
      <c r="C114" s="256"/>
      <c r="D114" s="281" t="str">
        <f>IFERROR(VLOOKUP($E$3,Y_1,23,0),"")</f>
        <v/>
      </c>
      <c r="E114" s="281" t="str">
        <f>IFERROR(VLOOKUP($E$3,Y_2,23,0),"")</f>
        <v/>
      </c>
      <c r="F114" s="281" t="str">
        <f>IFERROR(VLOOKUP($E$3,Y_3,23,0),"")</f>
        <v/>
      </c>
      <c r="G114" s="281" t="str">
        <f>IFERROR(VLOOKUP($E$3,Y_4,23,0),"")</f>
        <v/>
      </c>
      <c r="H114" s="281" t="str">
        <f>IFERROR(VLOOKUP($E$3,Y_5,23,0),"")</f>
        <v/>
      </c>
      <c r="I114" s="281" t="str">
        <f>IFERROR(VLOOKUP($E$3,Y_6,23,0),"")</f>
        <v/>
      </c>
      <c r="J114" s="281" t="str">
        <f>IFERROR(VLOOKUP($E$3,Y_7,23,0),"")</f>
        <v/>
      </c>
      <c r="K114" s="282" t="str">
        <f>IFERROR(VLOOKUP($E$3,Y_8,23,0),"")</f>
        <v/>
      </c>
      <c r="AI114" s="405" t="s">
        <v>307</v>
      </c>
      <c r="AJ114" s="405" t="s">
        <v>86</v>
      </c>
      <c r="AM114" s="407" t="s">
        <v>288</v>
      </c>
      <c r="AN114" s="407" t="s">
        <v>289</v>
      </c>
      <c r="AO114" s="407">
        <v>20</v>
      </c>
      <c r="AP114" s="407">
        <v>6</v>
      </c>
      <c r="AQ114" s="407">
        <v>26</v>
      </c>
      <c r="AR114" s="407">
        <v>19</v>
      </c>
      <c r="AS114" s="407">
        <v>5</v>
      </c>
      <c r="AT114" s="407">
        <v>24</v>
      </c>
    </row>
    <row r="115" spans="1:46" ht="14.5" x14ac:dyDescent="0.35">
      <c r="B115" s="75" t="str">
        <f>$B$18</f>
        <v/>
      </c>
      <c r="C115" s="76"/>
      <c r="D115" s="273"/>
      <c r="E115" s="273"/>
      <c r="F115" s="273"/>
      <c r="G115" s="273"/>
      <c r="H115" s="273"/>
      <c r="I115" s="273"/>
      <c r="J115" s="273"/>
      <c r="K115" s="274"/>
      <c r="AI115" s="405" t="s">
        <v>309</v>
      </c>
      <c r="AJ115" s="405" t="s">
        <v>792</v>
      </c>
      <c r="AM115" s="407" t="s">
        <v>290</v>
      </c>
      <c r="AN115" s="407" t="s">
        <v>291</v>
      </c>
      <c r="AO115" s="407">
        <v>22</v>
      </c>
      <c r="AP115" s="407">
        <v>1</v>
      </c>
      <c r="AQ115" s="407">
        <v>23</v>
      </c>
      <c r="AR115" s="407">
        <v>21</v>
      </c>
      <c r="AS115" s="407">
        <v>2</v>
      </c>
      <c r="AT115" s="407">
        <v>23</v>
      </c>
    </row>
    <row r="116" spans="1:46" ht="14.5" x14ac:dyDescent="0.35">
      <c r="B116" s="248" t="s">
        <v>26</v>
      </c>
      <c r="C116" s="249"/>
      <c r="D116" s="275" t="str">
        <f>IFERROR(VLOOKUP($E$4,Y_1,22,0),"")</f>
        <v/>
      </c>
      <c r="E116" s="275" t="str">
        <f>IFERROR(VLOOKUP($E$4,Y_2,22,0),"")</f>
        <v/>
      </c>
      <c r="F116" s="275" t="str">
        <f>IFERROR(VLOOKUP($E$4,Y_3,22,0),"")</f>
        <v/>
      </c>
      <c r="G116" s="275" t="str">
        <f>IFERROR(VLOOKUP($E$4,Y_4,22,0),"")</f>
        <v/>
      </c>
      <c r="H116" s="275" t="str">
        <f>IFERROR(VLOOKUP($E$4,Y_5,22,0),"")</f>
        <v/>
      </c>
      <c r="I116" s="275" t="str">
        <f>IFERROR(VLOOKUP($E$4,Y_6,22,0),"")</f>
        <v/>
      </c>
      <c r="J116" s="275" t="str">
        <f>IFERROR(VLOOKUP($E$4,Y_7,22,0),"")</f>
        <v/>
      </c>
      <c r="K116" s="276" t="str">
        <f>IFERROR(VLOOKUP($E$4,Y_8,22,0),"")</f>
        <v/>
      </c>
      <c r="AI116" s="405" t="s">
        <v>311</v>
      </c>
      <c r="AJ116" s="405" t="s">
        <v>84</v>
      </c>
      <c r="AM116" s="407" t="s">
        <v>292</v>
      </c>
      <c r="AN116" s="407" t="s">
        <v>293</v>
      </c>
      <c r="AO116" s="407">
        <v>30</v>
      </c>
      <c r="AP116" s="407">
        <v>6</v>
      </c>
      <c r="AQ116" s="407">
        <v>36</v>
      </c>
      <c r="AR116" s="407">
        <v>28</v>
      </c>
      <c r="AS116" s="407">
        <v>10</v>
      </c>
      <c r="AT116" s="407">
        <v>38</v>
      </c>
    </row>
    <row r="117" spans="1:46" ht="14.5" x14ac:dyDescent="0.35">
      <c r="B117" s="255" t="s">
        <v>23</v>
      </c>
      <c r="C117" s="256"/>
      <c r="D117" s="281" t="str">
        <f>IFERROR(VLOOKUP($E$4,Y_1,23,0),"")</f>
        <v/>
      </c>
      <c r="E117" s="281" t="str">
        <f>IFERROR(VLOOKUP($E$4,Y_2,23,0),"")</f>
        <v/>
      </c>
      <c r="F117" s="281" t="str">
        <f>IFERROR(VLOOKUP($E$4,Y_3,23,0),"")</f>
        <v/>
      </c>
      <c r="G117" s="281" t="str">
        <f>IFERROR(VLOOKUP($E$4,Y_4,23,0),"")</f>
        <v/>
      </c>
      <c r="H117" s="281" t="str">
        <f>IFERROR(VLOOKUP($E$4,Y_5,23,0),"")</f>
        <v/>
      </c>
      <c r="I117" s="281" t="str">
        <f>IFERROR(VLOOKUP($E$4,Y_6,23,0),"")</f>
        <v/>
      </c>
      <c r="J117" s="281" t="str">
        <f>IFERROR(VLOOKUP($E$4,Y_7,23,0),"")</f>
        <v/>
      </c>
      <c r="K117" s="282" t="str">
        <f>IFERROR(VLOOKUP($E$4,Y_8,23,0),"")</f>
        <v/>
      </c>
      <c r="AI117" s="405" t="s">
        <v>313</v>
      </c>
      <c r="AJ117" s="405" t="s">
        <v>82</v>
      </c>
      <c r="AM117" s="407" t="s">
        <v>294</v>
      </c>
      <c r="AN117" s="407" t="s">
        <v>295</v>
      </c>
      <c r="AO117" s="407">
        <v>18</v>
      </c>
      <c r="AP117" s="407">
        <v>7</v>
      </c>
      <c r="AQ117" s="407">
        <v>25</v>
      </c>
      <c r="AR117" s="407">
        <v>18</v>
      </c>
      <c r="AS117" s="407">
        <v>5</v>
      </c>
      <c r="AT117" s="407">
        <v>23</v>
      </c>
    </row>
    <row r="118" spans="1:46" ht="14.5" x14ac:dyDescent="0.35">
      <c r="B118" s="75" t="s">
        <v>15</v>
      </c>
      <c r="C118" s="76"/>
      <c r="D118" s="273"/>
      <c r="E118" s="273"/>
      <c r="F118" s="273"/>
      <c r="G118" s="273"/>
      <c r="H118" s="273"/>
      <c r="I118" s="273"/>
      <c r="J118" s="273"/>
      <c r="K118" s="274"/>
      <c r="AI118" s="405" t="s">
        <v>315</v>
      </c>
      <c r="AJ118" s="405" t="s">
        <v>84</v>
      </c>
      <c r="AM118" s="407" t="s">
        <v>296</v>
      </c>
      <c r="AN118" s="407" t="s">
        <v>297</v>
      </c>
      <c r="AO118" s="407">
        <v>14</v>
      </c>
      <c r="AP118" s="407">
        <v>5</v>
      </c>
      <c r="AQ118" s="407">
        <v>19</v>
      </c>
      <c r="AR118" s="407">
        <v>18</v>
      </c>
      <c r="AS118" s="407">
        <v>5</v>
      </c>
      <c r="AT118" s="407">
        <v>23</v>
      </c>
    </row>
    <row r="119" spans="1:46" ht="14.5" x14ac:dyDescent="0.35">
      <c r="B119" s="248" t="s">
        <v>26</v>
      </c>
      <c r="C119" s="249"/>
      <c r="D119" s="275">
        <f>IF($E$4&lt;&gt;"",VLOOKUP($B$19,Y_1,22,0),"")</f>
        <v>146.38999999999999</v>
      </c>
      <c r="E119" s="275">
        <f>IF($E$4&lt;&gt;"",VLOOKUP($B$19,Y_2,22,0),"")</f>
        <v>154.62</v>
      </c>
      <c r="F119" s="275">
        <f>IF($E$4&lt;&gt;"",VLOOKUP($B$19,Y_3,22,0),"")</f>
        <v>163.69999999999999</v>
      </c>
      <c r="G119" s="275">
        <f>IF($E$4&lt;&gt;"",VLOOKUP($B$19,Y_4,22,0),"")</f>
        <v>166.43</v>
      </c>
      <c r="H119" s="275">
        <f>IF($E$4&lt;&gt;"",VLOOKUP($B$19,Y_5,22,0),"")</f>
        <v>169.93</v>
      </c>
      <c r="I119" s="275">
        <f>IF($E$4&lt;&gt;"",VLOOKUP($B$19,Y_6,22,0),"")</f>
        <v>172.58</v>
      </c>
      <c r="J119" s="275">
        <f>IF($E$4&lt;&gt;"",VLOOKUP($B$19,Y_7,22,0),"")</f>
        <v>176.5</v>
      </c>
      <c r="K119" s="276">
        <f>IF($E$4&lt;&gt;"",VLOOKUP($B$19,Y_8,22,0),"")</f>
        <v>181.29</v>
      </c>
      <c r="AI119" s="405" t="s">
        <v>317</v>
      </c>
      <c r="AJ119" s="405" t="s">
        <v>83</v>
      </c>
      <c r="AM119" s="407" t="s">
        <v>298</v>
      </c>
      <c r="AN119" s="407" t="s">
        <v>299</v>
      </c>
      <c r="AO119" s="407">
        <v>19</v>
      </c>
      <c r="AP119" s="407">
        <v>2</v>
      </c>
      <c r="AQ119" s="407">
        <v>21</v>
      </c>
      <c r="AR119" s="407">
        <v>19</v>
      </c>
      <c r="AS119" s="407">
        <v>4</v>
      </c>
      <c r="AT119" s="407">
        <v>23</v>
      </c>
    </row>
    <row r="120" spans="1:46" ht="14.5" x14ac:dyDescent="0.35">
      <c r="B120" s="255" t="s">
        <v>23</v>
      </c>
      <c r="C120" s="256"/>
      <c r="D120" s="281">
        <f>IF($E$4&lt;&gt;"",VLOOKUP($B$19,Y_1,23,0),"")</f>
        <v>5976</v>
      </c>
      <c r="E120" s="281">
        <f>IF($E$4&lt;&gt;"",VLOOKUP($B$19,Y_2,23,0),"")</f>
        <v>9582</v>
      </c>
      <c r="F120" s="281">
        <f>IF($E$4&lt;&gt;"",VLOOKUP($B$19,Y_3,23,0),"")</f>
        <v>10633</v>
      </c>
      <c r="G120" s="281">
        <f>IF($E$4&lt;&gt;"",VLOOKUP($B$19,Y_4,23,0),"")</f>
        <v>12354</v>
      </c>
      <c r="H120" s="281">
        <f>IF($E$4&lt;&gt;"",VLOOKUP($B$19,Y_5,23,0),"")</f>
        <v>13668</v>
      </c>
      <c r="I120" s="281">
        <f>IF($E$4&lt;&gt;"",VLOOKUP($B$19,Y_6,23,0),"")</f>
        <v>14553</v>
      </c>
      <c r="J120" s="281">
        <f>IF($E$4&lt;&gt;"",VLOOKUP($B$19,Y_7,23,0),"")</f>
        <v>16901</v>
      </c>
      <c r="K120" s="282">
        <f>IF($E$4&lt;&gt;"",VLOOKUP($B$19,Y_8,23,0),"")</f>
        <v>14731</v>
      </c>
      <c r="AI120" s="405" t="s">
        <v>319</v>
      </c>
      <c r="AJ120" s="405" t="s">
        <v>792</v>
      </c>
      <c r="AM120" s="407" t="s">
        <v>300</v>
      </c>
      <c r="AN120" s="407" t="s">
        <v>301</v>
      </c>
      <c r="AO120" s="407">
        <v>29</v>
      </c>
      <c r="AP120" s="407">
        <v>12</v>
      </c>
      <c r="AQ120" s="407">
        <v>41</v>
      </c>
      <c r="AR120" s="407">
        <v>25</v>
      </c>
      <c r="AS120" s="407">
        <v>18</v>
      </c>
      <c r="AT120" s="407">
        <v>43</v>
      </c>
    </row>
    <row r="121" spans="1:46" ht="14.5" x14ac:dyDescent="0.35">
      <c r="B121" s="50"/>
      <c r="C121" s="51"/>
      <c r="D121" s="51"/>
      <c r="E121" s="51"/>
      <c r="F121" s="51"/>
      <c r="G121" s="51"/>
      <c r="H121" s="51"/>
      <c r="I121" s="51"/>
      <c r="J121" s="51"/>
      <c r="K121" s="67"/>
      <c r="AI121" s="405" t="s">
        <v>321</v>
      </c>
      <c r="AJ121" s="405" t="s">
        <v>84</v>
      </c>
      <c r="AM121" s="407" t="s">
        <v>302</v>
      </c>
      <c r="AN121" s="407" t="s">
        <v>303</v>
      </c>
      <c r="AO121" s="407">
        <v>19</v>
      </c>
      <c r="AP121" s="407">
        <v>14</v>
      </c>
      <c r="AQ121" s="407">
        <v>33</v>
      </c>
      <c r="AR121" s="407">
        <v>20</v>
      </c>
      <c r="AS121" s="407">
        <v>14</v>
      </c>
      <c r="AT121" s="407">
        <v>34</v>
      </c>
    </row>
    <row r="122" spans="1:46" ht="41.5" customHeight="1" x14ac:dyDescent="0.35">
      <c r="B122" s="65" t="s">
        <v>809</v>
      </c>
      <c r="C122" s="66"/>
      <c r="D122" s="66"/>
      <c r="K122" s="68"/>
      <c r="AI122" s="405" t="s">
        <v>323</v>
      </c>
      <c r="AJ122" s="405" t="s">
        <v>87</v>
      </c>
      <c r="AM122" s="407" t="s">
        <v>304</v>
      </c>
      <c r="AN122" s="407" t="s">
        <v>305</v>
      </c>
      <c r="AO122" s="407">
        <v>38</v>
      </c>
      <c r="AP122" s="407">
        <v>25</v>
      </c>
      <c r="AQ122" s="407">
        <v>63</v>
      </c>
      <c r="AR122" s="407">
        <v>33</v>
      </c>
      <c r="AS122" s="407">
        <v>26</v>
      </c>
      <c r="AT122" s="407">
        <v>59</v>
      </c>
    </row>
    <row r="123" spans="1:46" ht="13.4" customHeight="1" x14ac:dyDescent="0.35">
      <c r="B123" s="52"/>
      <c r="C123" s="53"/>
      <c r="D123" s="53"/>
      <c r="E123" s="53"/>
      <c r="F123" s="53"/>
      <c r="G123" s="53"/>
      <c r="H123" s="53"/>
      <c r="I123" s="53"/>
      <c r="J123" s="53"/>
      <c r="K123" s="83"/>
      <c r="AI123" s="405" t="s">
        <v>325</v>
      </c>
      <c r="AJ123" s="405" t="s">
        <v>85</v>
      </c>
      <c r="AM123" s="407" t="s">
        <v>306</v>
      </c>
      <c r="AN123" s="407" t="s">
        <v>307</v>
      </c>
      <c r="AO123" s="407">
        <v>16</v>
      </c>
      <c r="AP123" s="407">
        <v>5</v>
      </c>
      <c r="AQ123" s="407">
        <v>21</v>
      </c>
      <c r="AR123" s="407">
        <v>17</v>
      </c>
      <c r="AS123" s="407">
        <v>4</v>
      </c>
      <c r="AT123" s="407">
        <v>21</v>
      </c>
    </row>
    <row r="124" spans="1:46" ht="14.5" x14ac:dyDescent="0.35">
      <c r="AI124" s="405" t="s">
        <v>327</v>
      </c>
      <c r="AJ124" s="405" t="s">
        <v>87</v>
      </c>
      <c r="AM124" s="407" t="s">
        <v>308</v>
      </c>
      <c r="AN124" s="407" t="s">
        <v>309</v>
      </c>
      <c r="AO124" s="407">
        <v>17</v>
      </c>
      <c r="AP124" s="407">
        <v>6</v>
      </c>
      <c r="AQ124" s="407">
        <v>23</v>
      </c>
      <c r="AR124" s="407">
        <v>22</v>
      </c>
      <c r="AS124" s="407">
        <v>5</v>
      </c>
      <c r="AT124" s="407">
        <v>27</v>
      </c>
    </row>
    <row r="125" spans="1:46" ht="15.5" x14ac:dyDescent="0.35">
      <c r="A125" s="423">
        <v>7</v>
      </c>
      <c r="B125" s="6" t="s">
        <v>795</v>
      </c>
      <c r="C125" s="7"/>
      <c r="D125" s="28"/>
      <c r="E125" s="28"/>
      <c r="F125" s="28"/>
      <c r="G125" s="86"/>
      <c r="H125" s="86"/>
      <c r="I125" s="86"/>
      <c r="J125" s="86"/>
      <c r="K125" s="87"/>
      <c r="AI125" s="405" t="s">
        <v>329</v>
      </c>
      <c r="AJ125" s="405" t="s">
        <v>87</v>
      </c>
      <c r="AM125" s="407" t="s">
        <v>310</v>
      </c>
      <c r="AN125" s="407" t="s">
        <v>311</v>
      </c>
      <c r="AO125" s="407">
        <v>31</v>
      </c>
      <c r="AP125" s="407">
        <v>16</v>
      </c>
      <c r="AQ125" s="407">
        <v>47</v>
      </c>
      <c r="AR125" s="407">
        <v>27</v>
      </c>
      <c r="AS125" s="407">
        <v>15</v>
      </c>
      <c r="AT125" s="407">
        <v>42</v>
      </c>
    </row>
    <row r="126" spans="1:46" ht="41.5" customHeight="1" x14ac:dyDescent="0.35">
      <c r="A126" s="424"/>
      <c r="B126" s="425" t="str">
        <f>IF(E3="","",$E$3&amp;", "&amp;$B$18&amp;" and England")</f>
        <v/>
      </c>
      <c r="C126" s="426"/>
      <c r="D126" s="426"/>
      <c r="E126" s="426"/>
      <c r="F126" s="426"/>
      <c r="G126" s="426"/>
      <c r="H126" s="426"/>
      <c r="I126" s="426"/>
      <c r="J126" s="378" t="str">
        <f>IF(E3="","Percentage of sales per year by type for large PRPs","Percentage of sales per year by type for large PRPs in "&amp;$E$3)</f>
        <v>Percentage of sales per year by type for large PRPs</v>
      </c>
      <c r="K126" s="58"/>
      <c r="AI126" s="405" t="s">
        <v>331</v>
      </c>
      <c r="AJ126" s="405" t="s">
        <v>84</v>
      </c>
      <c r="AM126" s="407" t="s">
        <v>312</v>
      </c>
      <c r="AN126" s="407" t="s">
        <v>313</v>
      </c>
      <c r="AO126" s="407">
        <v>13</v>
      </c>
      <c r="AP126" s="407">
        <v>3</v>
      </c>
      <c r="AQ126" s="407">
        <v>16</v>
      </c>
      <c r="AR126" s="407">
        <v>20</v>
      </c>
      <c r="AS126" s="407">
        <v>2</v>
      </c>
      <c r="AT126" s="407">
        <v>22</v>
      </c>
    </row>
    <row r="127" spans="1:46" ht="15" customHeight="1" x14ac:dyDescent="0.35">
      <c r="B127" s="88"/>
      <c r="C127" s="377" t="s">
        <v>819</v>
      </c>
      <c r="D127" s="89">
        <v>2015</v>
      </c>
      <c r="E127" s="89">
        <v>2016</v>
      </c>
      <c r="F127" s="89">
        <v>2017</v>
      </c>
      <c r="G127" s="89">
        <v>2018</v>
      </c>
      <c r="H127" s="89">
        <v>2019</v>
      </c>
      <c r="I127" s="89">
        <v>2020</v>
      </c>
      <c r="J127" s="89">
        <v>2021</v>
      </c>
      <c r="K127" s="90">
        <v>2022</v>
      </c>
      <c r="AI127" s="405" t="s">
        <v>333</v>
      </c>
      <c r="AJ127" s="405" t="s">
        <v>89</v>
      </c>
      <c r="AM127" s="407" t="s">
        <v>314</v>
      </c>
      <c r="AN127" s="407" t="s">
        <v>315</v>
      </c>
      <c r="AO127" s="407">
        <v>32</v>
      </c>
      <c r="AP127" s="407">
        <v>25</v>
      </c>
      <c r="AQ127" s="407">
        <v>57</v>
      </c>
      <c r="AR127" s="407">
        <v>33</v>
      </c>
      <c r="AS127" s="407">
        <v>29</v>
      </c>
      <c r="AT127" s="407">
        <v>62</v>
      </c>
    </row>
    <row r="128" spans="1:46" ht="14.5" x14ac:dyDescent="0.35">
      <c r="B128" s="91">
        <f>$E$3</f>
        <v>0</v>
      </c>
      <c r="C128" s="49"/>
      <c r="D128" s="273"/>
      <c r="E128" s="273"/>
      <c r="F128" s="273"/>
      <c r="G128" s="273"/>
      <c r="H128" s="273"/>
      <c r="I128" s="273"/>
      <c r="J128" s="273"/>
      <c r="K128" s="274"/>
      <c r="Y128" s="176" t="s">
        <v>713</v>
      </c>
      <c r="Z128" s="177"/>
      <c r="AA128" s="177"/>
      <c r="AB128" s="177"/>
      <c r="AC128" s="177"/>
      <c r="AD128" s="177"/>
      <c r="AE128" s="177"/>
      <c r="AF128" s="177"/>
      <c r="AG128" s="177"/>
      <c r="AI128" s="405" t="s">
        <v>335</v>
      </c>
      <c r="AJ128" s="405" t="s">
        <v>83</v>
      </c>
      <c r="AM128" s="407" t="s">
        <v>316</v>
      </c>
      <c r="AN128" s="407" t="s">
        <v>317</v>
      </c>
      <c r="AO128" s="407">
        <v>18</v>
      </c>
      <c r="AP128" s="407">
        <v>4</v>
      </c>
      <c r="AQ128" s="407">
        <v>22</v>
      </c>
      <c r="AR128" s="407">
        <v>21</v>
      </c>
      <c r="AS128" s="407">
        <v>4</v>
      </c>
      <c r="AT128" s="407">
        <v>25</v>
      </c>
    </row>
    <row r="129" spans="2:46" ht="14.5" x14ac:dyDescent="0.35">
      <c r="B129" s="283" t="s">
        <v>28</v>
      </c>
      <c r="C129" s="284"/>
      <c r="D129" s="92" t="str">
        <f>IFERROR(VLOOKUP($E$3,Y_1,24,0),"")</f>
        <v/>
      </c>
      <c r="E129" s="92" t="str">
        <f>IFERROR(VLOOKUP($E$3,Y_2,24,0),"")</f>
        <v/>
      </c>
      <c r="F129" s="92" t="str">
        <f>IFERROR(VLOOKUP($E$3,Y_3,24,0),"")</f>
        <v/>
      </c>
      <c r="G129" s="92" t="str">
        <f>IFERROR(VLOOKUP($E$3,Y_4,24,0),"")</f>
        <v/>
      </c>
      <c r="H129" s="92" t="str">
        <f>IFERROR(VLOOKUP($E$3,Y_5,24,0),"")</f>
        <v/>
      </c>
      <c r="I129" s="92" t="str">
        <f>IFERROR(VLOOKUP($E$3,Y_6,24,0),"")</f>
        <v/>
      </c>
      <c r="J129" s="92" t="str">
        <f>IFERROR(VLOOKUP($E$3,Y_7,24,0),"")</f>
        <v/>
      </c>
      <c r="K129" s="93" t="str">
        <f>IFERROR(VLOOKUP($E$3,Y_8,24,0),"")</f>
        <v/>
      </c>
      <c r="Y129" s="178"/>
      <c r="Z129" s="179">
        <v>2015</v>
      </c>
      <c r="AA129" s="179">
        <v>2016</v>
      </c>
      <c r="AB129" s="180">
        <v>2017</v>
      </c>
      <c r="AC129" s="180">
        <v>2018</v>
      </c>
      <c r="AD129" s="180">
        <v>2019</v>
      </c>
      <c r="AE129" s="180">
        <v>2020</v>
      </c>
      <c r="AF129" s="180">
        <v>2021</v>
      </c>
      <c r="AG129" s="180">
        <v>2022</v>
      </c>
      <c r="AI129" s="405" t="s">
        <v>337</v>
      </c>
      <c r="AJ129" s="405" t="s">
        <v>82</v>
      </c>
      <c r="AM129" s="407" t="s">
        <v>318</v>
      </c>
      <c r="AN129" s="407" t="s">
        <v>319</v>
      </c>
      <c r="AO129" s="407">
        <v>17</v>
      </c>
      <c r="AP129" s="407">
        <v>12</v>
      </c>
      <c r="AQ129" s="407">
        <v>29</v>
      </c>
      <c r="AR129" s="407">
        <v>24</v>
      </c>
      <c r="AS129" s="407">
        <v>10</v>
      </c>
      <c r="AT129" s="407">
        <v>34</v>
      </c>
    </row>
    <row r="130" spans="2:46" ht="14.5" x14ac:dyDescent="0.35">
      <c r="B130" s="190" t="s">
        <v>29</v>
      </c>
      <c r="C130" s="191"/>
      <c r="D130" s="94" t="str">
        <f>IFERROR(VLOOKUP($E$3,Y_1,25,0),"")</f>
        <v/>
      </c>
      <c r="E130" s="94" t="str">
        <f>IFERROR(VLOOKUP($E$3,Y_2,25,0),"")</f>
        <v/>
      </c>
      <c r="F130" s="94" t="str">
        <f>IFERROR(VLOOKUP($E$3,Y_3,25,0),"")</f>
        <v/>
      </c>
      <c r="G130" s="94" t="str">
        <f>IFERROR(VLOOKUP($E$3,Y_4,25,0),"")</f>
        <v/>
      </c>
      <c r="H130" s="94" t="str">
        <f>IFERROR(VLOOKUP($E$3,Y_5,25,0),"")</f>
        <v/>
      </c>
      <c r="I130" s="94" t="str">
        <f>IFERROR(VLOOKUP($E$3,Y_6,25,0),"")</f>
        <v/>
      </c>
      <c r="J130" s="94" t="str">
        <f>IFERROR(VLOOKUP($E$3,Y_7,25,0),"")</f>
        <v/>
      </c>
      <c r="K130" s="95" t="str">
        <f>IFERROR(VLOOKUP($E$3,Y_8,25,0),"")</f>
        <v/>
      </c>
      <c r="Y130" s="181" t="s">
        <v>28</v>
      </c>
      <c r="Z130" s="182" t="e">
        <f>'PRP LA trend tool 2015-22'!$D$129/SUM('PRP LA trend tool 2015-22'!$D$129:$D$133)</f>
        <v>#VALUE!</v>
      </c>
      <c r="AA130" s="182" t="e">
        <f>'PRP LA trend tool 2015-22'!$E$129/SUM('PRP LA trend tool 2015-22'!$E$129:$E$133)</f>
        <v>#VALUE!</v>
      </c>
      <c r="AB130" s="182" t="e">
        <f>'PRP LA trend tool 2015-22'!$F$129/SUM('PRP LA trend tool 2015-22'!$F$129:$F$133)</f>
        <v>#VALUE!</v>
      </c>
      <c r="AC130" s="182" t="e">
        <f>'PRP LA trend tool 2015-22'!$G$129/SUM('PRP LA trend tool 2015-22'!$G$129:$G$133)</f>
        <v>#VALUE!</v>
      </c>
      <c r="AD130" s="182" t="e">
        <f>'PRP LA trend tool 2015-22'!$H$129/SUM('PRP LA trend tool 2015-22'!$H$129:$H$133)</f>
        <v>#VALUE!</v>
      </c>
      <c r="AE130" s="182" t="e">
        <f>'PRP LA trend tool 2015-22'!$I$129/SUM('PRP LA trend tool 2015-22'!$I$129:$I$133)</f>
        <v>#VALUE!</v>
      </c>
      <c r="AF130" s="182" t="e">
        <f>'PRP LA trend tool 2015-22'!$J$129/SUM('PRP LA trend tool 2015-22'!$J$129:$J$133)</f>
        <v>#VALUE!</v>
      </c>
      <c r="AG130" s="182" t="e">
        <f>'PRP LA trend tool 2015-22'!$K$129/SUM('PRP LA trend tool 2015-22'!$K$129:$K$133)</f>
        <v>#VALUE!</v>
      </c>
      <c r="AI130" s="405" t="s">
        <v>339</v>
      </c>
      <c r="AJ130" s="405" t="s">
        <v>84</v>
      </c>
      <c r="AM130" s="407" t="s">
        <v>320</v>
      </c>
      <c r="AN130" s="407" t="s">
        <v>321</v>
      </c>
      <c r="AO130" s="407">
        <v>27</v>
      </c>
      <c r="AP130" s="407">
        <v>8</v>
      </c>
      <c r="AQ130" s="407">
        <v>35</v>
      </c>
      <c r="AR130" s="407">
        <v>28</v>
      </c>
      <c r="AS130" s="407">
        <v>10</v>
      </c>
      <c r="AT130" s="407">
        <v>38</v>
      </c>
    </row>
    <row r="131" spans="2:46" ht="14.5" x14ac:dyDescent="0.35">
      <c r="B131" s="190" t="s">
        <v>30</v>
      </c>
      <c r="C131" s="191"/>
      <c r="D131" s="94" t="str">
        <f>IFERROR(VLOOKUP($E$3,Y_1,26,0),"")</f>
        <v/>
      </c>
      <c r="E131" s="94" t="str">
        <f>IFERROR(VLOOKUP($E$3,Y_2,26,0),"")</f>
        <v/>
      </c>
      <c r="F131" s="94" t="str">
        <f>IFERROR(VLOOKUP($E$3,Y_3,26,0),"")</f>
        <v/>
      </c>
      <c r="G131" s="94" t="str">
        <f>IFERROR(VLOOKUP($E$3,Y_4,26,0),"")</f>
        <v/>
      </c>
      <c r="H131" s="94" t="str">
        <f>IFERROR(VLOOKUP($E$3,Y_5,26,0),"")</f>
        <v/>
      </c>
      <c r="I131" s="94" t="str">
        <f>IFERROR(VLOOKUP($E$3,Y_6,26,0),"")</f>
        <v/>
      </c>
      <c r="J131" s="94" t="str">
        <f>IFERROR(VLOOKUP($E$3,Y_7,26,0),"")</f>
        <v/>
      </c>
      <c r="K131" s="95" t="str">
        <f>IFERROR(VLOOKUP($E$3,Y_8,26,0),"")</f>
        <v/>
      </c>
      <c r="Y131" s="181" t="s">
        <v>29</v>
      </c>
      <c r="Z131" s="182" t="e">
        <f>'PRP LA trend tool 2015-22'!$D$130/SUM('PRP LA trend tool 2015-22'!$D$129:$D$133)</f>
        <v>#VALUE!</v>
      </c>
      <c r="AA131" s="182" t="e">
        <f>'PRP LA trend tool 2015-22'!$E$130/SUM('PRP LA trend tool 2015-22'!$E$129:$E$133)</f>
        <v>#VALUE!</v>
      </c>
      <c r="AB131" s="182" t="e">
        <f>'PRP LA trend tool 2015-22'!$F$130/SUM('PRP LA trend tool 2015-22'!$F$129:$F$133)</f>
        <v>#VALUE!</v>
      </c>
      <c r="AC131" s="182" t="e">
        <f>'PRP LA trend tool 2015-22'!$G$130/SUM('PRP LA trend tool 2015-22'!$G$129:$G$133)</f>
        <v>#VALUE!</v>
      </c>
      <c r="AD131" s="182" t="e">
        <f>'PRP LA trend tool 2015-22'!$H$130/SUM('PRP LA trend tool 2015-22'!$H$129:$H$133)</f>
        <v>#VALUE!</v>
      </c>
      <c r="AE131" s="182" t="e">
        <f>'PRP LA trend tool 2015-22'!$I$130/SUM('PRP LA trend tool 2015-22'!$I$129:$I$133)</f>
        <v>#VALUE!</v>
      </c>
      <c r="AF131" s="182" t="e">
        <f>'PRP LA trend tool 2015-22'!$J$130/SUM('PRP LA trend tool 2015-22'!$J$129:$J$133)</f>
        <v>#VALUE!</v>
      </c>
      <c r="AG131" s="182" t="e">
        <f>'PRP LA trend tool 2015-22'!$K$130/SUM('PRP LA trend tool 2015-22'!$K$129:$K$133)</f>
        <v>#VALUE!</v>
      </c>
      <c r="AI131" s="405" t="s">
        <v>341</v>
      </c>
      <c r="AJ131" s="405" t="s">
        <v>82</v>
      </c>
      <c r="AM131" s="407" t="s">
        <v>322</v>
      </c>
      <c r="AN131" s="407" t="s">
        <v>323</v>
      </c>
      <c r="AO131" s="407">
        <v>20</v>
      </c>
      <c r="AP131" s="407">
        <v>1</v>
      </c>
      <c r="AQ131" s="407">
        <v>21</v>
      </c>
      <c r="AR131" s="407">
        <v>21</v>
      </c>
      <c r="AS131" s="407">
        <v>1</v>
      </c>
      <c r="AT131" s="407">
        <v>22</v>
      </c>
    </row>
    <row r="132" spans="2:46" ht="14.5" x14ac:dyDescent="0.35">
      <c r="B132" s="190" t="s">
        <v>31</v>
      </c>
      <c r="C132" s="191"/>
      <c r="D132" s="94" t="str">
        <f>IFERROR(VLOOKUP($E$3,Y_1,27,0),"")</f>
        <v/>
      </c>
      <c r="E132" s="94" t="str">
        <f>IFERROR(VLOOKUP($E$3,Y_2,27,0),"")</f>
        <v/>
      </c>
      <c r="F132" s="94" t="str">
        <f>IFERROR(VLOOKUP($E$3,Y_3,27,0),"")</f>
        <v/>
      </c>
      <c r="G132" s="94" t="str">
        <f>IFERROR(VLOOKUP($E$3,Y_4,27,0),"")</f>
        <v/>
      </c>
      <c r="H132" s="94" t="str">
        <f>IFERROR(VLOOKUP($E$3,Y_5,27,0),"")</f>
        <v/>
      </c>
      <c r="I132" s="94" t="str">
        <f>IFERROR(VLOOKUP($E$3,Y_6,27,0),"")</f>
        <v/>
      </c>
      <c r="J132" s="94" t="str">
        <f>IFERROR(VLOOKUP($E$3,Y_7,27,0),"")</f>
        <v/>
      </c>
      <c r="K132" s="95" t="str">
        <f>IFERROR(VLOOKUP($E$3,Y_8,27,0),"")</f>
        <v/>
      </c>
      <c r="Y132" s="181" t="s">
        <v>30</v>
      </c>
      <c r="Z132" s="182" t="e">
        <f>'PRP LA trend tool 2015-22'!$D$131/SUM('PRP LA trend tool 2015-22'!$D$129:$D$133)</f>
        <v>#VALUE!</v>
      </c>
      <c r="AA132" s="182" t="e">
        <f>'PRP LA trend tool 2015-22'!$E$131/SUM('PRP LA trend tool 2015-22'!$E$129:$E$133)</f>
        <v>#VALUE!</v>
      </c>
      <c r="AB132" s="182" t="e">
        <f>'PRP LA trend tool 2015-22'!$F$131/SUM('PRP LA trend tool 2015-22'!$F$129:$F$133)</f>
        <v>#VALUE!</v>
      </c>
      <c r="AC132" s="182" t="e">
        <f>'PRP LA trend tool 2015-22'!$G$131/SUM('PRP LA trend tool 2015-22'!$G$129:$G$133)</f>
        <v>#VALUE!</v>
      </c>
      <c r="AD132" s="182" t="e">
        <f>'PRP LA trend tool 2015-22'!$H$131/SUM('PRP LA trend tool 2015-22'!$H$129:$H$133)</f>
        <v>#VALUE!</v>
      </c>
      <c r="AE132" s="182" t="e">
        <f>'PRP LA trend tool 2015-22'!$I$131/SUM('PRP LA trend tool 2015-22'!$I$129:$I$133)</f>
        <v>#VALUE!</v>
      </c>
      <c r="AF132" s="182" t="e">
        <f>'PRP LA trend tool 2015-22'!$J$131/SUM('PRP LA trend tool 2015-22'!$J$129:$J$133)</f>
        <v>#VALUE!</v>
      </c>
      <c r="AG132" s="182" t="e">
        <f>'PRP LA trend tool 2015-22'!$K$131/SUM('PRP LA trend tool 2015-22'!$K$129:$K$133)</f>
        <v>#VALUE!</v>
      </c>
      <c r="AI132" s="405" t="s">
        <v>343</v>
      </c>
      <c r="AJ132" s="405" t="s">
        <v>87</v>
      </c>
      <c r="AM132" s="407" t="s">
        <v>324</v>
      </c>
      <c r="AN132" s="407" t="s">
        <v>325</v>
      </c>
      <c r="AO132" s="407">
        <v>12</v>
      </c>
      <c r="AP132" s="407">
        <v>4</v>
      </c>
      <c r="AQ132" s="407">
        <v>16</v>
      </c>
      <c r="AR132" s="407">
        <v>14</v>
      </c>
      <c r="AS132" s="407">
        <v>5</v>
      </c>
      <c r="AT132" s="407">
        <v>19</v>
      </c>
    </row>
    <row r="133" spans="2:46" ht="14.5" x14ac:dyDescent="0.35">
      <c r="B133" s="285" t="s">
        <v>32</v>
      </c>
      <c r="C133" s="286"/>
      <c r="D133" s="96" t="str">
        <f>IFERROR(VLOOKUP($E$3,Y_1,28,0),"")</f>
        <v/>
      </c>
      <c r="E133" s="96" t="str">
        <f>IFERROR(VLOOKUP($E$3,Y_2,28,0),"")</f>
        <v/>
      </c>
      <c r="F133" s="96" t="str">
        <f>IFERROR(VLOOKUP($E$3,Y_3,28,0),"")</f>
        <v/>
      </c>
      <c r="G133" s="96" t="str">
        <f>IFERROR(VLOOKUP($E$3,Y_4,28,0),"")</f>
        <v/>
      </c>
      <c r="H133" s="96" t="str">
        <f>IFERROR(VLOOKUP($E$3,Y_5,28,0),"")</f>
        <v/>
      </c>
      <c r="I133" s="96" t="str">
        <f>IFERROR(VLOOKUP($E$3,Y_6,28,0),"")</f>
        <v/>
      </c>
      <c r="J133" s="96" t="str">
        <f>IFERROR(VLOOKUP($E$3,Y_7,28,0),"")</f>
        <v/>
      </c>
      <c r="K133" s="97" t="str">
        <f>IFERROR(VLOOKUP($E$3,Y_8,28,0),"")</f>
        <v/>
      </c>
      <c r="Y133" s="181" t="s">
        <v>31</v>
      </c>
      <c r="Z133" s="182" t="e">
        <f>'PRP LA trend tool 2015-22'!$D$132/SUM('PRP LA trend tool 2015-22'!$D$129:$D$133)</f>
        <v>#VALUE!</v>
      </c>
      <c r="AA133" s="182" t="e">
        <f>'PRP LA trend tool 2015-22'!$E$132/SUM('PRP LA trend tool 2015-22'!$E$129:$E$133)</f>
        <v>#VALUE!</v>
      </c>
      <c r="AB133" s="182" t="e">
        <f>'PRP LA trend tool 2015-22'!$F$132/SUM('PRP LA trend tool 2015-22'!$F$129:$F$133)</f>
        <v>#VALUE!</v>
      </c>
      <c r="AC133" s="182" t="e">
        <f>'PRP LA trend tool 2015-22'!$G$132/SUM('PRP LA trend tool 2015-22'!$G$129:$G$133)</f>
        <v>#VALUE!</v>
      </c>
      <c r="AD133" s="182" t="e">
        <f>'PRP LA trend tool 2015-22'!$H$132/SUM('PRP LA trend tool 2015-22'!$H$129:$H$133)</f>
        <v>#VALUE!</v>
      </c>
      <c r="AE133" s="182" t="e">
        <f>'PRP LA trend tool 2015-22'!$I$132/SUM('PRP LA trend tool 2015-22'!$I$129:$I$133)</f>
        <v>#VALUE!</v>
      </c>
      <c r="AF133" s="182" t="e">
        <f>'PRP LA trend tool 2015-22'!$J$132/SUM('PRP LA trend tool 2015-22'!$J$129:$J$133)</f>
        <v>#VALUE!</v>
      </c>
      <c r="AG133" s="182" t="e">
        <f>'PRP LA trend tool 2015-22'!$K$132/SUM('PRP LA trend tool 2015-22'!$K$129:$K$133)</f>
        <v>#VALUE!</v>
      </c>
      <c r="AI133" s="405" t="s">
        <v>345</v>
      </c>
      <c r="AJ133" s="405" t="s">
        <v>84</v>
      </c>
      <c r="AM133" s="407" t="s">
        <v>326</v>
      </c>
      <c r="AN133" s="407" t="s">
        <v>327</v>
      </c>
      <c r="AO133" s="407">
        <v>15</v>
      </c>
      <c r="AP133" s="407">
        <v>5</v>
      </c>
      <c r="AQ133" s="407">
        <v>20</v>
      </c>
      <c r="AR133" s="407">
        <v>16</v>
      </c>
      <c r="AS133" s="407">
        <v>5</v>
      </c>
      <c r="AT133" s="407">
        <v>21</v>
      </c>
    </row>
    <row r="134" spans="2:46" ht="14.5" x14ac:dyDescent="0.35">
      <c r="B134" s="75" t="str">
        <f>$B$18</f>
        <v/>
      </c>
      <c r="C134" s="98"/>
      <c r="D134" s="273"/>
      <c r="E134" s="273"/>
      <c r="F134" s="273"/>
      <c r="G134" s="273"/>
      <c r="H134" s="273"/>
      <c r="I134" s="273"/>
      <c r="J134" s="273"/>
      <c r="K134" s="274"/>
      <c r="Y134" s="181" t="s">
        <v>32</v>
      </c>
      <c r="Z134" s="182" t="e">
        <f>'PRP LA trend tool 2015-22'!$D$133/SUM('PRP LA trend tool 2015-22'!$D$129:$D$133)</f>
        <v>#VALUE!</v>
      </c>
      <c r="AA134" s="182" t="e">
        <f>'PRP LA trend tool 2015-22'!$E$133/SUM('PRP LA trend tool 2015-22'!$E$129:$E$133)</f>
        <v>#VALUE!</v>
      </c>
      <c r="AB134" s="182" t="e">
        <f>'PRP LA trend tool 2015-22'!$F$133/SUM('PRP LA trend tool 2015-22'!$F$129:$F$133)</f>
        <v>#VALUE!</v>
      </c>
      <c r="AC134" s="182" t="e">
        <f>'PRP LA trend tool 2015-22'!$G$133/SUM('PRP LA trend tool 2015-22'!$G$129:$G$133)</f>
        <v>#VALUE!</v>
      </c>
      <c r="AD134" s="182" t="e">
        <f>'PRP LA trend tool 2015-22'!$H$133/SUM('PRP LA trend tool 2015-22'!$H$129:$H$133)</f>
        <v>#VALUE!</v>
      </c>
      <c r="AE134" s="182" t="e">
        <f>'PRP LA trend tool 2015-22'!$I$133/SUM('PRP LA trend tool 2015-22'!$I$129:$I$133)</f>
        <v>#VALUE!</v>
      </c>
      <c r="AF134" s="182" t="e">
        <f>'PRP LA trend tool 2015-22'!$J$133/SUM('PRP LA trend tool 2015-22'!$J$129:$J$133)</f>
        <v>#VALUE!</v>
      </c>
      <c r="AG134" s="182" t="e">
        <f>'PRP LA trend tool 2015-22'!$K$133/SUM('PRP LA trend tool 2015-22'!$K$129:$K$133)</f>
        <v>#VALUE!</v>
      </c>
      <c r="AI134" s="405" t="s">
        <v>347</v>
      </c>
      <c r="AJ134" s="405" t="s">
        <v>83</v>
      </c>
      <c r="AM134" s="407" t="s">
        <v>328</v>
      </c>
      <c r="AN134" s="407" t="s">
        <v>329</v>
      </c>
      <c r="AO134" s="407">
        <v>22</v>
      </c>
      <c r="AP134" s="407">
        <v>8</v>
      </c>
      <c r="AQ134" s="407">
        <v>30</v>
      </c>
      <c r="AR134" s="407">
        <v>25</v>
      </c>
      <c r="AS134" s="407">
        <v>6</v>
      </c>
      <c r="AT134" s="407">
        <v>31</v>
      </c>
    </row>
    <row r="135" spans="2:46" ht="14.5" x14ac:dyDescent="0.35">
      <c r="B135" s="283" t="s">
        <v>28</v>
      </c>
      <c r="C135" s="284"/>
      <c r="D135" s="99" t="str">
        <f>IFERROR(VLOOKUP($E$4,Y_1,24,0),"")</f>
        <v/>
      </c>
      <c r="E135" s="99" t="str">
        <f>IFERROR(VLOOKUP($E$4,Y_2,24,0),"")</f>
        <v/>
      </c>
      <c r="F135" s="99" t="str">
        <f>IFERROR(VLOOKUP($E$4,Y_3,24,0),"")</f>
        <v/>
      </c>
      <c r="G135" s="99" t="str">
        <f>IFERROR(VLOOKUP($E$4,Y_4,24,0),"")</f>
        <v/>
      </c>
      <c r="H135" s="99" t="str">
        <f>IFERROR(VLOOKUP($E$4,Y_5,24,0),"")</f>
        <v/>
      </c>
      <c r="I135" s="99" t="str">
        <f>IFERROR(VLOOKUP($E$4,Y_6,24,0),"")</f>
        <v/>
      </c>
      <c r="J135" s="99" t="str">
        <f>IFERROR(VLOOKUP($E$4,Y_7,24,0),"")</f>
        <v/>
      </c>
      <c r="K135" s="100" t="str">
        <f>IFERROR(VLOOKUP($E$4,Y_8,24,0),"")</f>
        <v/>
      </c>
      <c r="Y135" s="181" t="s">
        <v>712</v>
      </c>
      <c r="Z135" s="183" t="e">
        <f t="shared" ref="Z135:AF135" si="9">SUM(Z130:Z134)</f>
        <v>#VALUE!</v>
      </c>
      <c r="AA135" s="183" t="e">
        <f t="shared" si="9"/>
        <v>#VALUE!</v>
      </c>
      <c r="AB135" s="183" t="e">
        <f t="shared" si="9"/>
        <v>#VALUE!</v>
      </c>
      <c r="AC135" s="183" t="e">
        <f t="shared" si="9"/>
        <v>#VALUE!</v>
      </c>
      <c r="AD135" s="183" t="e">
        <f t="shared" si="9"/>
        <v>#VALUE!</v>
      </c>
      <c r="AE135" s="183" t="e">
        <f t="shared" si="9"/>
        <v>#VALUE!</v>
      </c>
      <c r="AF135" s="183" t="e">
        <f t="shared" si="9"/>
        <v>#VALUE!</v>
      </c>
      <c r="AG135" s="183" t="e">
        <f t="shared" ref="AG135" si="10">SUM(AG130:AG134)</f>
        <v>#VALUE!</v>
      </c>
      <c r="AI135" s="405" t="s">
        <v>349</v>
      </c>
      <c r="AJ135" s="405" t="s">
        <v>86</v>
      </c>
      <c r="AM135" s="407" t="s">
        <v>330</v>
      </c>
      <c r="AN135" s="407" t="s">
        <v>331</v>
      </c>
      <c r="AO135" s="407">
        <v>32</v>
      </c>
      <c r="AP135" s="407">
        <v>3</v>
      </c>
      <c r="AQ135" s="407">
        <v>35</v>
      </c>
      <c r="AR135" s="407">
        <v>29</v>
      </c>
      <c r="AS135" s="407">
        <v>6</v>
      </c>
      <c r="AT135" s="407">
        <v>35</v>
      </c>
    </row>
    <row r="136" spans="2:46" ht="14.5" x14ac:dyDescent="0.35">
      <c r="B136" s="190" t="s">
        <v>29</v>
      </c>
      <c r="C136" s="191"/>
      <c r="D136" s="101" t="str">
        <f>IFERROR(VLOOKUP($E$4,Y_1,25,0),"")</f>
        <v/>
      </c>
      <c r="E136" s="101" t="str">
        <f>IFERROR(VLOOKUP($E$4,Y_2,25,0),"")</f>
        <v/>
      </c>
      <c r="F136" s="101" t="str">
        <f>IFERROR(VLOOKUP($E$4,Y_3,25,0),"")</f>
        <v/>
      </c>
      <c r="G136" s="101" t="str">
        <f>IFERROR(VLOOKUP($E$4,Y_4,25,0),"")</f>
        <v/>
      </c>
      <c r="H136" s="101" t="str">
        <f>IFERROR(VLOOKUP($E$4,Y_5,25,0),"")</f>
        <v/>
      </c>
      <c r="I136" s="101" t="str">
        <f>IFERROR(VLOOKUP($E$4,Y_6,25,0),"")</f>
        <v/>
      </c>
      <c r="J136" s="101" t="str">
        <f>IFERROR(VLOOKUP($E$4,Y_7,25,0),"")</f>
        <v/>
      </c>
      <c r="K136" s="102" t="str">
        <f>IFERROR(VLOOKUP($E$4,Y_8,25,0),"")</f>
        <v/>
      </c>
      <c r="AI136" s="405" t="s">
        <v>351</v>
      </c>
      <c r="AJ136" s="405" t="s">
        <v>83</v>
      </c>
      <c r="AM136" s="407" t="s">
        <v>332</v>
      </c>
      <c r="AN136" s="407" t="s">
        <v>333</v>
      </c>
      <c r="AO136" s="407">
        <v>23</v>
      </c>
      <c r="AP136" s="407">
        <v>2</v>
      </c>
      <c r="AQ136" s="407">
        <v>25</v>
      </c>
      <c r="AR136" s="407">
        <v>24</v>
      </c>
      <c r="AS136" s="407">
        <v>5</v>
      </c>
      <c r="AT136" s="407">
        <v>29</v>
      </c>
    </row>
    <row r="137" spans="2:46" ht="14.5" x14ac:dyDescent="0.35">
      <c r="B137" s="190" t="s">
        <v>30</v>
      </c>
      <c r="C137" s="191"/>
      <c r="D137" s="101" t="str">
        <f>IFERROR(VLOOKUP($E$4,Y_1,26,0),"")</f>
        <v/>
      </c>
      <c r="E137" s="101" t="str">
        <f>IFERROR(VLOOKUP($E$4,Y_2,26,0),"")</f>
        <v/>
      </c>
      <c r="F137" s="101" t="str">
        <f>IFERROR(VLOOKUP($E$4,Y_3,26,0),"")</f>
        <v/>
      </c>
      <c r="G137" s="101" t="str">
        <f>IFERROR(VLOOKUP($E$4,Y_4,26,0),"")</f>
        <v/>
      </c>
      <c r="H137" s="101" t="str">
        <f>IFERROR(VLOOKUP($E$4,Y_5,26,0),"")</f>
        <v/>
      </c>
      <c r="I137" s="101" t="str">
        <f>IFERROR(VLOOKUP($E$4,Y_6,26,0),"")</f>
        <v/>
      </c>
      <c r="J137" s="101" t="str">
        <f>IFERROR(VLOOKUP($E$4,Y_7,26,0),"")</f>
        <v/>
      </c>
      <c r="K137" s="102" t="str">
        <f>IFERROR(VLOOKUP($E$4,Y_8,26,0),"")</f>
        <v/>
      </c>
      <c r="AI137" s="405" t="s">
        <v>353</v>
      </c>
      <c r="AJ137" s="405" t="s">
        <v>87</v>
      </c>
      <c r="AM137" s="407" t="s">
        <v>334</v>
      </c>
      <c r="AN137" s="407" t="s">
        <v>335</v>
      </c>
      <c r="AO137" s="407">
        <v>24</v>
      </c>
      <c r="AP137" s="407">
        <v>6</v>
      </c>
      <c r="AQ137" s="407">
        <v>30</v>
      </c>
      <c r="AR137" s="407">
        <v>28</v>
      </c>
      <c r="AS137" s="407">
        <v>7</v>
      </c>
      <c r="AT137" s="407">
        <v>35</v>
      </c>
    </row>
    <row r="138" spans="2:46" ht="14.5" x14ac:dyDescent="0.35">
      <c r="B138" s="190" t="s">
        <v>31</v>
      </c>
      <c r="C138" s="191"/>
      <c r="D138" s="101" t="str">
        <f>IFERROR(VLOOKUP($E$4,Y_1,27,0),"")</f>
        <v/>
      </c>
      <c r="E138" s="101" t="str">
        <f>IFERROR(VLOOKUP($E$4,Y_2,27,0),"")</f>
        <v/>
      </c>
      <c r="F138" s="101" t="str">
        <f>IFERROR(VLOOKUP($E$4,Y_3,27,0),"")</f>
        <v/>
      </c>
      <c r="G138" s="101" t="str">
        <f>IFERROR(VLOOKUP($E$4,Y_4,27,0),"")</f>
        <v/>
      </c>
      <c r="H138" s="101" t="str">
        <f>IFERROR(VLOOKUP($E$4,Y_5,27,0),"")</f>
        <v/>
      </c>
      <c r="I138" s="101" t="str">
        <f>IFERROR(VLOOKUP($E$4,Y_6,27,0),"")</f>
        <v/>
      </c>
      <c r="J138" s="101" t="str">
        <f>IFERROR(VLOOKUP($E$4,Y_7,27,0),"")</f>
        <v/>
      </c>
      <c r="K138" s="102" t="str">
        <f>IFERROR(VLOOKUP($E$4,Y_8,27,0),"")</f>
        <v/>
      </c>
      <c r="AI138" s="405" t="s">
        <v>355</v>
      </c>
      <c r="AJ138" s="405" t="s">
        <v>88</v>
      </c>
      <c r="AM138" s="407" t="s">
        <v>336</v>
      </c>
      <c r="AN138" s="407" t="s">
        <v>337</v>
      </c>
      <c r="AO138" s="407">
        <v>14</v>
      </c>
      <c r="AP138" s="407">
        <v>3</v>
      </c>
      <c r="AQ138" s="407">
        <v>17</v>
      </c>
      <c r="AR138" s="407">
        <v>18</v>
      </c>
      <c r="AS138" s="407">
        <v>3</v>
      </c>
      <c r="AT138" s="407">
        <v>21</v>
      </c>
    </row>
    <row r="139" spans="2:46" ht="14.5" x14ac:dyDescent="0.35">
      <c r="B139" s="285" t="s">
        <v>32</v>
      </c>
      <c r="C139" s="286"/>
      <c r="D139" s="103" t="str">
        <f>IFERROR(VLOOKUP($E$4,Y_1,28,0),"")</f>
        <v/>
      </c>
      <c r="E139" s="103" t="str">
        <f>IFERROR(VLOOKUP($E$4,Y_2,28,0),"")</f>
        <v/>
      </c>
      <c r="F139" s="103" t="str">
        <f>IFERROR(VLOOKUP($E$4,Y_3,28,0),"")</f>
        <v/>
      </c>
      <c r="G139" s="103" t="str">
        <f>IFERROR(VLOOKUP($E$4,Y_4,28,0),"")</f>
        <v/>
      </c>
      <c r="H139" s="103" t="str">
        <f>IFERROR(VLOOKUP($E$4,Y_5,28,0),"")</f>
        <v/>
      </c>
      <c r="I139" s="103" t="str">
        <f>IFERROR(VLOOKUP($E$4,Y_6,28,0),"")</f>
        <v/>
      </c>
      <c r="J139" s="103" t="str">
        <f>IFERROR(VLOOKUP($E$4,Y_7,28,0),"")</f>
        <v/>
      </c>
      <c r="K139" s="104" t="str">
        <f>IFERROR(VLOOKUP($E$4,Y_8,28,0),"")</f>
        <v/>
      </c>
      <c r="AI139" s="405" t="s">
        <v>357</v>
      </c>
      <c r="AJ139" s="405" t="s">
        <v>84</v>
      </c>
      <c r="AM139" s="407" t="s">
        <v>338</v>
      </c>
      <c r="AN139" s="407" t="s">
        <v>339</v>
      </c>
      <c r="AO139" s="407">
        <v>30</v>
      </c>
      <c r="AP139" s="407">
        <v>13</v>
      </c>
      <c r="AQ139" s="407">
        <v>43</v>
      </c>
      <c r="AR139" s="407">
        <v>31</v>
      </c>
      <c r="AS139" s="407">
        <v>14</v>
      </c>
      <c r="AT139" s="407">
        <v>45</v>
      </c>
    </row>
    <row r="140" spans="2:46" ht="14.5" x14ac:dyDescent="0.35">
      <c r="B140" s="75" t="s">
        <v>15</v>
      </c>
      <c r="C140" s="76"/>
      <c r="D140" s="273"/>
      <c r="E140" s="273"/>
      <c r="F140" s="273"/>
      <c r="G140" s="273"/>
      <c r="H140" s="273"/>
      <c r="I140" s="273"/>
      <c r="J140" s="273"/>
      <c r="K140" s="274"/>
      <c r="AI140" s="405" t="s">
        <v>359</v>
      </c>
      <c r="AJ140" s="405" t="s">
        <v>84</v>
      </c>
      <c r="AM140" s="407" t="s">
        <v>340</v>
      </c>
      <c r="AN140" s="407" t="s">
        <v>341</v>
      </c>
      <c r="AO140" s="407">
        <v>16</v>
      </c>
      <c r="AP140" s="407">
        <v>1</v>
      </c>
      <c r="AQ140" s="407">
        <v>17</v>
      </c>
      <c r="AR140" s="407">
        <v>19</v>
      </c>
      <c r="AS140" s="407">
        <v>4</v>
      </c>
      <c r="AT140" s="407">
        <v>23</v>
      </c>
    </row>
    <row r="141" spans="2:46" ht="14.5" x14ac:dyDescent="0.35">
      <c r="B141" s="283" t="s">
        <v>28</v>
      </c>
      <c r="C141" s="284"/>
      <c r="D141" s="99">
        <f>IF($E$4&lt;&gt;"",VLOOKUP($B$19,Y_1,24,0),"")</f>
        <v>4098</v>
      </c>
      <c r="E141" s="99">
        <f>IF($E$4&lt;&gt;"",VLOOKUP($B$19,Y_2,24,0),"")</f>
        <v>3897</v>
      </c>
      <c r="F141" s="263">
        <f>IF($E$4&lt;&gt;"",VLOOKUP($B$19,Y_3,24,0),"")</f>
        <v>4184</v>
      </c>
      <c r="G141" s="259">
        <f>IF($E$4&lt;&gt;"",VLOOKUP($B$19,Y_4,24,0),"")</f>
        <v>4046</v>
      </c>
      <c r="H141" s="259">
        <f>IF($E$4&lt;&gt;"",VLOOKUP($B$19,Y_5,24,0),"")</f>
        <v>6074</v>
      </c>
      <c r="I141" s="259">
        <f>IF($E$4&lt;&gt;"",VLOOKUP($B$19,Y_6,24,0),"")</f>
        <v>5109</v>
      </c>
      <c r="J141" s="259">
        <f>IF($E$4&lt;&gt;"",VLOOKUP($B$19,Y_7,24,0),"")</f>
        <v>5225</v>
      </c>
      <c r="K141" s="260">
        <f>IF($E$4&lt;&gt;"",VLOOKUP($B$19,Y_8,24,0),"")</f>
        <v>8745</v>
      </c>
      <c r="AI141" s="405" t="s">
        <v>361</v>
      </c>
      <c r="AJ141" s="405" t="s">
        <v>83</v>
      </c>
      <c r="AM141" s="407" t="s">
        <v>342</v>
      </c>
      <c r="AN141" s="407" t="s">
        <v>343</v>
      </c>
      <c r="AO141" s="407">
        <v>18</v>
      </c>
      <c r="AP141" s="407">
        <v>7</v>
      </c>
      <c r="AQ141" s="407">
        <v>25</v>
      </c>
      <c r="AR141" s="407">
        <v>29</v>
      </c>
      <c r="AS141" s="407">
        <v>5</v>
      </c>
      <c r="AT141" s="407">
        <v>34</v>
      </c>
    </row>
    <row r="142" spans="2:46" ht="14.5" x14ac:dyDescent="0.35">
      <c r="B142" s="190" t="s">
        <v>29</v>
      </c>
      <c r="C142" s="191"/>
      <c r="D142" s="101">
        <f>IF($E$4&lt;&gt;"",VLOOKUP($B$19,Y_1,25,0),"")</f>
        <v>5162</v>
      </c>
      <c r="E142" s="101">
        <f>IF($E$4&lt;&gt;"",VLOOKUP($B$19,Y_2,25,0),"")</f>
        <v>5335</v>
      </c>
      <c r="F142" s="271">
        <f>IF($E$4&lt;&gt;"",VLOOKUP($B$19,Y_3,25,0),"")</f>
        <v>5643</v>
      </c>
      <c r="G142" s="261">
        <f>IF($E$4&lt;&gt;"",VLOOKUP($B$19,Y_4,25,0),"")</f>
        <v>5512</v>
      </c>
      <c r="H142" s="261">
        <f>IF($E$4&lt;&gt;"",VLOOKUP($B$19,Y_5,25,0),"")</f>
        <v>4977</v>
      </c>
      <c r="I142" s="261">
        <f>IF($E$4&lt;&gt;"",VLOOKUP($B$19,Y_6,25,0),"")</f>
        <v>5951</v>
      </c>
      <c r="J142" s="371">
        <f>IF($E$4&lt;&gt;"",VLOOKUP($B$19,Y_7,25,0),"")</f>
        <v>3193</v>
      </c>
      <c r="K142" s="262">
        <f>IF($E$4&lt;&gt;"",VLOOKUP($B$19,Y_8,25,0),"")</f>
        <v>4812</v>
      </c>
      <c r="AI142" s="405" t="s">
        <v>363</v>
      </c>
      <c r="AJ142" s="405" t="s">
        <v>792</v>
      </c>
      <c r="AM142" s="407" t="s">
        <v>344</v>
      </c>
      <c r="AN142" s="407" t="s">
        <v>345</v>
      </c>
      <c r="AO142" s="407">
        <v>26</v>
      </c>
      <c r="AP142" s="407">
        <v>20</v>
      </c>
      <c r="AQ142" s="407">
        <v>46</v>
      </c>
      <c r="AR142" s="407">
        <v>31</v>
      </c>
      <c r="AS142" s="407">
        <v>23</v>
      </c>
      <c r="AT142" s="407">
        <v>54</v>
      </c>
    </row>
    <row r="143" spans="2:46" ht="14.5" x14ac:dyDescent="0.35">
      <c r="B143" s="190" t="s">
        <v>30</v>
      </c>
      <c r="C143" s="191"/>
      <c r="D143" s="101">
        <f>IF($E$4&lt;&gt;"",VLOOKUP($B$19,Y_1,26,0),"")</f>
        <v>2803</v>
      </c>
      <c r="E143" s="101">
        <f>IF($E$4&lt;&gt;"",VLOOKUP($B$19,Y_2,26,0),"")</f>
        <v>4099</v>
      </c>
      <c r="F143" s="271">
        <f>IF($E$4&lt;&gt;"",VLOOKUP($B$19,Y_3,26,0),"")</f>
        <v>1982</v>
      </c>
      <c r="G143" s="261">
        <f>IF($E$4&lt;&gt;"",VLOOKUP($B$19,Y_4,26,0),"")</f>
        <v>3318</v>
      </c>
      <c r="H143" s="261">
        <f>IF($E$4&lt;&gt;"",VLOOKUP($B$19,Y_5,26,0),"")</f>
        <v>3110</v>
      </c>
      <c r="I143" s="261">
        <f>IF($E$4&lt;&gt;"",VLOOKUP($B$19,Y_6,26,0),"")</f>
        <v>2792</v>
      </c>
      <c r="J143" s="371">
        <f>IF($E$4&lt;&gt;"",VLOOKUP($B$19,Y_7,26,0),"")</f>
        <v>2531</v>
      </c>
      <c r="K143" s="262">
        <f>IF($E$4&lt;&gt;"",VLOOKUP($B$19,Y_8,26,0),"")</f>
        <v>2816</v>
      </c>
      <c r="AI143" s="405" t="s">
        <v>365</v>
      </c>
      <c r="AJ143" s="405" t="s">
        <v>84</v>
      </c>
      <c r="AM143" s="407" t="s">
        <v>346</v>
      </c>
      <c r="AN143" s="407" t="s">
        <v>347</v>
      </c>
      <c r="AO143" s="407">
        <v>27</v>
      </c>
      <c r="AP143" s="407">
        <v>6</v>
      </c>
      <c r="AQ143" s="407">
        <v>33</v>
      </c>
      <c r="AR143" s="407">
        <v>33</v>
      </c>
      <c r="AS143" s="407">
        <v>4</v>
      </c>
      <c r="AT143" s="407">
        <v>37</v>
      </c>
    </row>
    <row r="144" spans="2:46" ht="14.5" x14ac:dyDescent="0.35">
      <c r="B144" s="190" t="s">
        <v>31</v>
      </c>
      <c r="C144" s="191"/>
      <c r="D144" s="101">
        <f>IF($E$4&lt;&gt;"",VLOOKUP($B$19,Y_1,27,0),"")</f>
        <v>7734</v>
      </c>
      <c r="E144" s="101">
        <f>IF($E$4&lt;&gt;"",VLOOKUP($B$19,Y_2,27,0),"")</f>
        <v>9960</v>
      </c>
      <c r="F144" s="271">
        <f>IF($E$4&lt;&gt;"",VLOOKUP($B$19,Y_3,27,0),"")</f>
        <v>10143</v>
      </c>
      <c r="G144" s="261">
        <f>IF($E$4&lt;&gt;"",VLOOKUP($B$19,Y_4,27,0),"")</f>
        <v>9799</v>
      </c>
      <c r="H144" s="261">
        <f>IF($E$4&lt;&gt;"",VLOOKUP($B$19,Y_5,27,0),"")</f>
        <v>11306</v>
      </c>
      <c r="I144" s="261">
        <f>IF($E$4&lt;&gt;"",VLOOKUP($B$19,Y_6,27,0),"")</f>
        <v>12396</v>
      </c>
      <c r="J144" s="371">
        <f>IF($E$4&lt;&gt;"",VLOOKUP($B$19,Y_7,27,0),"")</f>
        <v>12576</v>
      </c>
      <c r="K144" s="262">
        <f>IF($E$4&lt;&gt;"",VLOOKUP($B$19,Y_8,27,0),"")</f>
        <v>16861</v>
      </c>
      <c r="AI144" s="405" t="s">
        <v>367</v>
      </c>
      <c r="AJ144" s="405" t="s">
        <v>792</v>
      </c>
      <c r="AM144" s="407" t="s">
        <v>348</v>
      </c>
      <c r="AN144" s="407" t="s">
        <v>349</v>
      </c>
      <c r="AO144" s="407">
        <v>18</v>
      </c>
      <c r="AP144" s="407">
        <v>5</v>
      </c>
      <c r="AQ144" s="407">
        <v>23</v>
      </c>
      <c r="AR144" s="407">
        <v>17</v>
      </c>
      <c r="AS144" s="407">
        <v>10</v>
      </c>
      <c r="AT144" s="407">
        <v>27</v>
      </c>
    </row>
    <row r="145" spans="1:46" ht="14.5" x14ac:dyDescent="0.35">
      <c r="B145" s="285" t="s">
        <v>32</v>
      </c>
      <c r="C145" s="286"/>
      <c r="D145" s="103">
        <f>IF($E$4&lt;&gt;"",VLOOKUP($B$19,Y_1,28,0),"")</f>
        <v>4862</v>
      </c>
      <c r="E145" s="103">
        <f>IF($E$4&lt;&gt;"",VLOOKUP($B$19,Y_2,28,0),"")</f>
        <v>5744</v>
      </c>
      <c r="F145" s="269">
        <f>IF($E$4&lt;&gt;"",VLOOKUP($B$19,Y_3,28,0),"")</f>
        <v>5119</v>
      </c>
      <c r="G145" s="279">
        <f>IF($E$4&lt;&gt;"",VLOOKUP($B$19,Y_4,28,0),"")</f>
        <v>4137</v>
      </c>
      <c r="H145" s="279">
        <f>IF($E$4&lt;&gt;"",VLOOKUP($B$19,Y_5,28,0),"")</f>
        <v>4063</v>
      </c>
      <c r="I145" s="279">
        <f>IF($E$4&lt;&gt;"",VLOOKUP($B$19,Y_6,28,0),"")</f>
        <v>4424</v>
      </c>
      <c r="J145" s="279">
        <f>IF($E$4&lt;&gt;"",VLOOKUP($B$19,Y_7,28,0),"")</f>
        <v>4297</v>
      </c>
      <c r="K145" s="280">
        <f>IF($E$4&lt;&gt;"",VLOOKUP($B$19,Y_8,28,0),"")</f>
        <v>5982</v>
      </c>
      <c r="AI145" s="405" t="s">
        <v>369</v>
      </c>
      <c r="AJ145" s="405" t="s">
        <v>86</v>
      </c>
      <c r="AM145" s="407" t="s">
        <v>350</v>
      </c>
      <c r="AN145" s="407" t="s">
        <v>351</v>
      </c>
      <c r="AO145" s="407">
        <v>22</v>
      </c>
      <c r="AP145" s="407">
        <v>5</v>
      </c>
      <c r="AQ145" s="407">
        <v>27</v>
      </c>
      <c r="AR145" s="407">
        <v>22</v>
      </c>
      <c r="AS145" s="407">
        <v>9</v>
      </c>
      <c r="AT145" s="407">
        <v>31</v>
      </c>
    </row>
    <row r="146" spans="1:46" ht="14.5" x14ac:dyDescent="0.35">
      <c r="AI146" s="405" t="s">
        <v>371</v>
      </c>
      <c r="AJ146" s="405" t="s">
        <v>84</v>
      </c>
      <c r="AM146" s="407" t="s">
        <v>352</v>
      </c>
      <c r="AN146" s="407" t="s">
        <v>353</v>
      </c>
      <c r="AO146" s="407">
        <v>13</v>
      </c>
      <c r="AP146" s="407">
        <v>4</v>
      </c>
      <c r="AQ146" s="407">
        <v>17</v>
      </c>
      <c r="AR146" s="407">
        <v>12</v>
      </c>
      <c r="AS146" s="407">
        <v>5</v>
      </c>
      <c r="AT146" s="407">
        <v>17</v>
      </c>
    </row>
    <row r="147" spans="1:46" ht="16.5" customHeight="1" x14ac:dyDescent="0.35">
      <c r="A147" s="423">
        <v>8</v>
      </c>
      <c r="B147" s="427" t="s">
        <v>33</v>
      </c>
      <c r="C147" s="428"/>
      <c r="D147" s="428"/>
      <c r="E147" s="428"/>
      <c r="F147" s="428"/>
      <c r="G147" s="428"/>
      <c r="H147" s="428"/>
      <c r="I147" s="428"/>
      <c r="J147" s="346"/>
      <c r="K147" s="105"/>
      <c r="AI147" s="405" t="s">
        <v>373</v>
      </c>
      <c r="AJ147" s="405" t="s">
        <v>86</v>
      </c>
      <c r="AM147" s="407" t="s">
        <v>354</v>
      </c>
      <c r="AN147" s="407" t="s">
        <v>355</v>
      </c>
      <c r="AO147" s="407">
        <v>2</v>
      </c>
      <c r="AP147" s="407">
        <v>1</v>
      </c>
      <c r="AQ147" s="407">
        <v>3</v>
      </c>
      <c r="AR147" s="407">
        <v>3</v>
      </c>
      <c r="AS147" s="407">
        <v>1</v>
      </c>
      <c r="AT147" s="407">
        <v>4</v>
      </c>
    </row>
    <row r="148" spans="1:46" ht="41.25" customHeight="1" x14ac:dyDescent="0.35">
      <c r="A148" s="424"/>
      <c r="B148" s="425" t="str">
        <f>IF(D26="","",$E$3&amp;", "&amp;$B$18&amp;" and England")</f>
        <v>,  and England</v>
      </c>
      <c r="C148" s="426"/>
      <c r="D148" s="426"/>
      <c r="E148" s="426"/>
      <c r="F148" s="426"/>
      <c r="G148" s="426"/>
      <c r="H148" s="426"/>
      <c r="I148" s="426"/>
      <c r="J148" s="348"/>
      <c r="K148" s="58"/>
      <c r="AI148" s="405" t="s">
        <v>375</v>
      </c>
      <c r="AJ148" s="405" t="s">
        <v>792</v>
      </c>
      <c r="AM148" s="407" t="s">
        <v>356</v>
      </c>
      <c r="AN148" s="407" t="s">
        <v>357</v>
      </c>
      <c r="AO148" s="407">
        <v>29</v>
      </c>
      <c r="AP148" s="407">
        <v>26</v>
      </c>
      <c r="AQ148" s="407">
        <v>55</v>
      </c>
      <c r="AR148" s="407">
        <v>24</v>
      </c>
      <c r="AS148" s="407">
        <v>23</v>
      </c>
      <c r="AT148" s="407">
        <v>47</v>
      </c>
    </row>
    <row r="149" spans="1:46" ht="15" customHeight="1" x14ac:dyDescent="0.35">
      <c r="B149" s="287"/>
      <c r="C149" s="288"/>
      <c r="D149" s="106">
        <v>2015</v>
      </c>
      <c r="E149" s="106">
        <v>2016</v>
      </c>
      <c r="F149" s="106">
        <v>2017</v>
      </c>
      <c r="G149" s="106">
        <v>2018</v>
      </c>
      <c r="H149" s="89">
        <v>2019</v>
      </c>
      <c r="I149" s="89">
        <v>2020</v>
      </c>
      <c r="J149" s="89">
        <v>2021</v>
      </c>
      <c r="K149" s="90">
        <v>2022</v>
      </c>
      <c r="AI149" s="405" t="s">
        <v>377</v>
      </c>
      <c r="AJ149" s="405" t="s">
        <v>82</v>
      </c>
      <c r="AM149" s="407" t="s">
        <v>358</v>
      </c>
      <c r="AN149" s="407" t="s">
        <v>359</v>
      </c>
      <c r="AO149" s="407">
        <v>28</v>
      </c>
      <c r="AP149" s="407">
        <v>13</v>
      </c>
      <c r="AQ149" s="407">
        <v>41</v>
      </c>
      <c r="AR149" s="407">
        <v>24</v>
      </c>
      <c r="AS149" s="407">
        <v>13</v>
      </c>
      <c r="AT149" s="407">
        <v>37</v>
      </c>
    </row>
    <row r="150" spans="1:46" ht="14.5" x14ac:dyDescent="0.35">
      <c r="B150" s="75">
        <f>$E$3</f>
        <v>0</v>
      </c>
      <c r="C150" s="76"/>
      <c r="D150" s="289"/>
      <c r="E150" s="364"/>
      <c r="F150" s="364"/>
      <c r="G150" s="364"/>
      <c r="H150" s="364"/>
      <c r="I150" s="364"/>
      <c r="J150" s="364"/>
      <c r="K150" s="290"/>
      <c r="AI150" s="405" t="s">
        <v>379</v>
      </c>
      <c r="AJ150" s="405" t="s">
        <v>87</v>
      </c>
      <c r="AM150" s="407" t="s">
        <v>360</v>
      </c>
      <c r="AN150" s="407" t="s">
        <v>361</v>
      </c>
      <c r="AO150" s="407">
        <v>22</v>
      </c>
      <c r="AP150" s="407">
        <v>4</v>
      </c>
      <c r="AQ150" s="407">
        <v>26</v>
      </c>
      <c r="AR150" s="407">
        <v>19</v>
      </c>
      <c r="AS150" s="407">
        <v>5</v>
      </c>
      <c r="AT150" s="407">
        <v>24</v>
      </c>
    </row>
    <row r="151" spans="1:46" ht="14.5" x14ac:dyDescent="0.35">
      <c r="B151" s="107" t="s">
        <v>34</v>
      </c>
      <c r="C151" s="108"/>
      <c r="D151" s="291" t="str">
        <f>IFERROR(VLOOKUP($B$150,Y_1,29,0),"")</f>
        <v/>
      </c>
      <c r="E151" s="292" t="str">
        <f>IFERROR(VLOOKUP($B$150,Y_2,29,0),"")</f>
        <v/>
      </c>
      <c r="F151" s="291" t="str">
        <f>IFERROR(VLOOKUP($B$150,Y_3,29,0),"")</f>
        <v/>
      </c>
      <c r="G151" s="291" t="str">
        <f>IFERROR(VLOOKUP($B$150,Y_4,29,0),"")</f>
        <v/>
      </c>
      <c r="H151" s="291" t="str">
        <f>IFERROR(VLOOKUP($B$150,Y_5,29,0),"")</f>
        <v/>
      </c>
      <c r="I151" s="291" t="str">
        <f>IFERROR(VLOOKUP($B$150,Y_6,29,0),"")</f>
        <v/>
      </c>
      <c r="J151" s="291" t="str">
        <f>IFERROR(VLOOKUP($B$150,Y_7,29,0),"")</f>
        <v/>
      </c>
      <c r="K151" s="293" t="str">
        <f>IFERROR(VLOOKUP($B$150,Y_8,29,0),"")</f>
        <v/>
      </c>
      <c r="AI151" s="405" t="s">
        <v>381</v>
      </c>
      <c r="AJ151" s="405" t="s">
        <v>84</v>
      </c>
      <c r="AM151" s="407" t="s">
        <v>362</v>
      </c>
      <c r="AN151" s="407" t="s">
        <v>363</v>
      </c>
      <c r="AO151" s="407">
        <v>20</v>
      </c>
      <c r="AP151" s="407">
        <v>7</v>
      </c>
      <c r="AQ151" s="407">
        <v>27</v>
      </c>
      <c r="AR151" s="407">
        <v>20</v>
      </c>
      <c r="AS151" s="407">
        <v>14</v>
      </c>
      <c r="AT151" s="407">
        <v>34</v>
      </c>
    </row>
    <row r="152" spans="1:46" ht="14.5" x14ac:dyDescent="0.35">
      <c r="B152" s="109" t="s">
        <v>35</v>
      </c>
      <c r="C152" s="110"/>
      <c r="D152" s="111" t="str">
        <f>IFERROR(VLOOKUP($B$150,Y_1,30,0),"")</f>
        <v/>
      </c>
      <c r="E152" s="111" t="str">
        <f>IFERROR(VLOOKUP($B$150,Y_2,30,0),"")</f>
        <v/>
      </c>
      <c r="F152" s="111" t="str">
        <f>IFERROR(VLOOKUP($B$150,Y_3,30,0),"")</f>
        <v/>
      </c>
      <c r="G152" s="111" t="str">
        <f>IFERROR(VLOOKUP($B$150,Y_4,30,0),"")</f>
        <v/>
      </c>
      <c r="H152" s="111" t="str">
        <f>IFERROR(VLOOKUP($B$150,Y_5,30,0),"")</f>
        <v/>
      </c>
      <c r="I152" s="111" t="str">
        <f>IFERROR(VLOOKUP($B$150,Y_6,30,0),"")</f>
        <v/>
      </c>
      <c r="J152" s="111" t="str">
        <f>IFERROR(VLOOKUP($B$150,Y_7,30,0),"")</f>
        <v/>
      </c>
      <c r="K152" s="112" t="str">
        <f>IFERROR(VLOOKUP($B$150,Y_8,30,0),"")</f>
        <v/>
      </c>
      <c r="AI152" s="405" t="s">
        <v>383</v>
      </c>
      <c r="AJ152" s="405" t="s">
        <v>89</v>
      </c>
      <c r="AM152" s="407" t="s">
        <v>364</v>
      </c>
      <c r="AN152" s="407" t="s">
        <v>365</v>
      </c>
      <c r="AO152" s="407">
        <v>29</v>
      </c>
      <c r="AP152" s="407">
        <v>7</v>
      </c>
      <c r="AQ152" s="407">
        <v>36</v>
      </c>
      <c r="AR152" s="407">
        <v>26</v>
      </c>
      <c r="AS152" s="407">
        <v>9</v>
      </c>
      <c r="AT152" s="407">
        <v>35</v>
      </c>
    </row>
    <row r="153" spans="1:46" ht="14.5" x14ac:dyDescent="0.35">
      <c r="B153" s="113" t="s">
        <v>36</v>
      </c>
      <c r="C153" s="114"/>
      <c r="D153" s="115" t="str">
        <f>IFERROR(VLOOKUP($B$150,Y_1,31,0),"")</f>
        <v/>
      </c>
      <c r="E153" s="115" t="str">
        <f>IFERROR(VLOOKUP($B$150,Y_2,31,0),"")</f>
        <v/>
      </c>
      <c r="F153" s="115" t="str">
        <f>IFERROR(VLOOKUP($B$150,Y_3,31,0),"")</f>
        <v/>
      </c>
      <c r="G153" s="115" t="str">
        <f>IFERROR(VLOOKUP($B$150,Y_4,31,0),"")</f>
        <v/>
      </c>
      <c r="H153" s="115" t="str">
        <f>IFERROR(VLOOKUP($B$150,Y_5,31,0),"")</f>
        <v/>
      </c>
      <c r="I153" s="115" t="str">
        <f>IFERROR(VLOOKUP($B$150,Y_6,31,0),"")</f>
        <v/>
      </c>
      <c r="J153" s="115" t="str">
        <f>IFERROR(VLOOKUP($B$150,Y_7,31,0),"")</f>
        <v/>
      </c>
      <c r="K153" s="116" t="str">
        <f>IFERROR(VLOOKUP($B$150,Y_8,31,0),"")</f>
        <v/>
      </c>
      <c r="AI153" s="405" t="s">
        <v>385</v>
      </c>
      <c r="AJ153" s="405" t="s">
        <v>82</v>
      </c>
      <c r="AM153" s="407" t="s">
        <v>366</v>
      </c>
      <c r="AN153" s="407" t="s">
        <v>367</v>
      </c>
      <c r="AO153" s="407">
        <v>19</v>
      </c>
      <c r="AP153" s="407">
        <v>6</v>
      </c>
      <c r="AQ153" s="407">
        <v>25</v>
      </c>
      <c r="AR153" s="407">
        <v>25</v>
      </c>
      <c r="AS153" s="407">
        <v>13</v>
      </c>
      <c r="AT153" s="407">
        <v>38</v>
      </c>
    </row>
    <row r="154" spans="1:46" ht="14.5" x14ac:dyDescent="0.35">
      <c r="B154" s="117" t="s">
        <v>37</v>
      </c>
      <c r="C154" s="118"/>
      <c r="D154" s="119" t="str">
        <f>IFERROR(VLOOKUP($B$150,Y_1,32,0),"")</f>
        <v/>
      </c>
      <c r="E154" s="120" t="str">
        <f>IFERROR(VLOOKUP($B$150,Y_2,32,0),"")</f>
        <v/>
      </c>
      <c r="F154" s="121" t="str">
        <f>IFERROR(VLOOKUP($B$150,Y_3,32,0),"")</f>
        <v/>
      </c>
      <c r="G154" s="121" t="str">
        <f>IFERROR(VLOOKUP($B$150,Y_4,32,0),"")</f>
        <v/>
      </c>
      <c r="H154" s="121" t="str">
        <f>IFERROR(VLOOKUP($B$150,Y_5,32,0),"")</f>
        <v/>
      </c>
      <c r="I154" s="121" t="str">
        <f>IFERROR(VLOOKUP($B$150,Y_6,32,0),"")</f>
        <v/>
      </c>
      <c r="J154" s="121" t="str">
        <f>IFERROR(VLOOKUP($B$150,Y_7,32,0),"")</f>
        <v/>
      </c>
      <c r="K154" s="122" t="str">
        <f>IFERROR(VLOOKUP($B$150,Y_8,32,0),"")</f>
        <v/>
      </c>
      <c r="AI154" s="405" t="s">
        <v>387</v>
      </c>
      <c r="AJ154" s="405" t="s">
        <v>86</v>
      </c>
      <c r="AM154" s="407" t="s">
        <v>368</v>
      </c>
      <c r="AN154" s="407" t="s">
        <v>369</v>
      </c>
      <c r="AO154" s="407">
        <v>19</v>
      </c>
      <c r="AP154" s="407">
        <v>12</v>
      </c>
      <c r="AQ154" s="407">
        <v>31</v>
      </c>
      <c r="AR154" s="407">
        <v>20</v>
      </c>
      <c r="AS154" s="407">
        <v>13</v>
      </c>
      <c r="AT154" s="407">
        <v>33</v>
      </c>
    </row>
    <row r="155" spans="1:46" ht="14.5" x14ac:dyDescent="0.35">
      <c r="B155" s="190" t="s">
        <v>38</v>
      </c>
      <c r="C155" s="191"/>
      <c r="D155" s="192" t="str">
        <f>IFERROR($D$154/$D$151,"")</f>
        <v/>
      </c>
      <c r="E155" s="192" t="str">
        <f>IFERROR($E$154/$E$151,"")</f>
        <v/>
      </c>
      <c r="F155" s="192" t="str">
        <f>IFERROR($F$154/$F$151,"")</f>
        <v/>
      </c>
      <c r="G155" s="192" t="str">
        <f>IFERROR($G$154/$G$151,"")</f>
        <v/>
      </c>
      <c r="H155" s="192" t="str">
        <f>IFERROR($H$154/$H$151,"")</f>
        <v/>
      </c>
      <c r="I155" s="192" t="str">
        <f>IFERROR($I$154/$I$151,"")</f>
        <v/>
      </c>
      <c r="J155" s="192" t="str">
        <f>IFERROR($J$154/$J$151,"")</f>
        <v/>
      </c>
      <c r="K155" s="380" t="str">
        <f>IFERROR($K$154/$K$151,"")</f>
        <v/>
      </c>
      <c r="AI155" s="405" t="s">
        <v>389</v>
      </c>
      <c r="AJ155" s="405" t="s">
        <v>83</v>
      </c>
      <c r="AM155" s="407" t="s">
        <v>370</v>
      </c>
      <c r="AN155" s="407" t="s">
        <v>371</v>
      </c>
      <c r="AO155" s="407">
        <v>36</v>
      </c>
      <c r="AP155" s="407">
        <v>35</v>
      </c>
      <c r="AQ155" s="407">
        <v>71</v>
      </c>
      <c r="AR155" s="407">
        <v>31</v>
      </c>
      <c r="AS155" s="407">
        <v>36</v>
      </c>
      <c r="AT155" s="407">
        <v>67</v>
      </c>
    </row>
    <row r="156" spans="1:46" ht="14.5" x14ac:dyDescent="0.35">
      <c r="B156" s="123" t="s">
        <v>39</v>
      </c>
      <c r="C156" s="124"/>
      <c r="D156" s="125" t="str">
        <f>IFERROR($D$152/$D$151,"")</f>
        <v/>
      </c>
      <c r="E156" s="192" t="str">
        <f>IFERROR($E$152/$E$151,"")</f>
        <v/>
      </c>
      <c r="F156" s="192" t="str">
        <f>IFERROR($F$152/$F$151,"")</f>
        <v/>
      </c>
      <c r="G156" s="192" t="str">
        <f>IFERROR($G$152/$G$151,"")</f>
        <v/>
      </c>
      <c r="H156" s="192" t="str">
        <f>IFERROR($H$152/$H$151,"")</f>
        <v/>
      </c>
      <c r="I156" s="192" t="str">
        <f>IFERROR($I$152/$I$151,"")</f>
        <v/>
      </c>
      <c r="J156" s="192" t="str">
        <f>IFERROR($J$152/$J$151,"")</f>
        <v/>
      </c>
      <c r="K156" s="193" t="str">
        <f>IFERROR($K$152/$K$151,"")</f>
        <v/>
      </c>
      <c r="AI156" s="405" t="s">
        <v>391</v>
      </c>
      <c r="AJ156" s="405" t="s">
        <v>87</v>
      </c>
      <c r="AM156" s="407" t="s">
        <v>372</v>
      </c>
      <c r="AN156" s="407" t="s">
        <v>373</v>
      </c>
      <c r="AO156" s="407">
        <v>22</v>
      </c>
      <c r="AP156" s="407">
        <v>9</v>
      </c>
      <c r="AQ156" s="407">
        <v>31</v>
      </c>
      <c r="AR156" s="407">
        <v>22</v>
      </c>
      <c r="AS156" s="407">
        <v>13</v>
      </c>
      <c r="AT156" s="407">
        <v>35</v>
      </c>
    </row>
    <row r="157" spans="1:46" ht="14.5" x14ac:dyDescent="0.35">
      <c r="B157" s="123" t="s">
        <v>821</v>
      </c>
      <c r="C157" s="124"/>
      <c r="D157" s="125" t="str">
        <f>IFERROR($D$153/$D$151,"")</f>
        <v/>
      </c>
      <c r="E157" s="192" t="str">
        <f>IFERROR($E$153/$E$151,"")</f>
        <v/>
      </c>
      <c r="F157" s="192" t="str">
        <f>IFERROR($F$153/$F$151,"")</f>
        <v/>
      </c>
      <c r="G157" s="192" t="str">
        <f>IFERROR($G$153/$G$151,"")</f>
        <v/>
      </c>
      <c r="H157" s="192" t="str">
        <f>IFERROR($H$153/$H$151,"")</f>
        <v/>
      </c>
      <c r="I157" s="192" t="str">
        <f>IFERROR($I$153/$I$151,"")</f>
        <v/>
      </c>
      <c r="J157" s="192" t="str">
        <f>IFERROR($J$153/$J$151,"")</f>
        <v/>
      </c>
      <c r="K157" s="193" t="str">
        <f>IFERROR($K$153/$K$151,"")</f>
        <v/>
      </c>
      <c r="AI157" s="405" t="s">
        <v>393</v>
      </c>
      <c r="AJ157" s="405" t="s">
        <v>83</v>
      </c>
      <c r="AM157" s="407" t="s">
        <v>374</v>
      </c>
      <c r="AN157" s="407" t="s">
        <v>375</v>
      </c>
      <c r="AO157" s="407">
        <v>32</v>
      </c>
      <c r="AP157" s="407">
        <v>21</v>
      </c>
      <c r="AQ157" s="407">
        <v>53</v>
      </c>
      <c r="AR157" s="407">
        <v>35</v>
      </c>
      <c r="AS157" s="407">
        <v>25</v>
      </c>
      <c r="AT157" s="407">
        <v>60</v>
      </c>
    </row>
    <row r="158" spans="1:46" ht="14.5" x14ac:dyDescent="0.35">
      <c r="B158" s="123"/>
      <c r="C158" s="124"/>
      <c r="D158" s="125"/>
      <c r="E158" s="192"/>
      <c r="F158" s="192"/>
      <c r="G158" s="192"/>
      <c r="H158" s="192"/>
      <c r="I158" s="192"/>
      <c r="J158" s="192"/>
      <c r="K158" s="193"/>
      <c r="AI158" s="405" t="s">
        <v>395</v>
      </c>
      <c r="AJ158" s="405" t="s">
        <v>89</v>
      </c>
      <c r="AM158" s="407" t="s">
        <v>376</v>
      </c>
      <c r="AN158" s="407" t="s">
        <v>377</v>
      </c>
      <c r="AO158" s="407">
        <v>23</v>
      </c>
      <c r="AP158" s="407">
        <v>14</v>
      </c>
      <c r="AQ158" s="407">
        <v>37</v>
      </c>
      <c r="AR158" s="407">
        <v>25</v>
      </c>
      <c r="AS158" s="407">
        <v>17</v>
      </c>
      <c r="AT158" s="407">
        <v>42</v>
      </c>
    </row>
    <row r="159" spans="1:46" ht="14.5" x14ac:dyDescent="0.35">
      <c r="B159" s="75" t="str">
        <f>$B$18</f>
        <v/>
      </c>
      <c r="C159" s="76"/>
      <c r="D159" s="292"/>
      <c r="E159" s="363"/>
      <c r="F159" s="363"/>
      <c r="G159" s="363"/>
      <c r="H159" s="363"/>
      <c r="I159" s="363"/>
      <c r="J159" s="363"/>
      <c r="K159" s="294"/>
      <c r="AI159" s="405" t="s">
        <v>397</v>
      </c>
      <c r="AJ159" s="405" t="s">
        <v>86</v>
      </c>
      <c r="AM159" s="407" t="s">
        <v>378</v>
      </c>
      <c r="AN159" s="407" t="s">
        <v>379</v>
      </c>
      <c r="AO159" s="407">
        <v>19</v>
      </c>
      <c r="AP159" s="407">
        <v>5</v>
      </c>
      <c r="AQ159" s="407">
        <v>24</v>
      </c>
      <c r="AR159" s="407">
        <v>27</v>
      </c>
      <c r="AS159" s="407">
        <v>6</v>
      </c>
      <c r="AT159" s="407">
        <v>33</v>
      </c>
    </row>
    <row r="160" spans="1:46" ht="14.5" x14ac:dyDescent="0.35">
      <c r="B160" s="107" t="s">
        <v>34</v>
      </c>
      <c r="C160" s="108"/>
      <c r="D160" s="291" t="str">
        <f>IFERROR(VLOOKUP($B$159,Y_1,29,0),"")</f>
        <v/>
      </c>
      <c r="E160" s="291" t="str">
        <f>IFERROR(VLOOKUP($B$159,Y_2,29,0),"")</f>
        <v/>
      </c>
      <c r="F160" s="291" t="str">
        <f>IFERROR(VLOOKUP($B$159,Y_3,29,0),"")</f>
        <v/>
      </c>
      <c r="G160" s="291" t="str">
        <f>IFERROR(VLOOKUP($B$159,Y_4,29,0),"")</f>
        <v/>
      </c>
      <c r="H160" s="291" t="str">
        <f>IFERROR(VLOOKUP($B$159,Y_5,29,0),"")</f>
        <v/>
      </c>
      <c r="I160" s="291" t="str">
        <f>IFERROR(VLOOKUP($B$159,Y_6,29,0),"")</f>
        <v/>
      </c>
      <c r="J160" s="291" t="str">
        <f>IFERROR(VLOOKUP($B$159,Y_7,29,0),"")</f>
        <v/>
      </c>
      <c r="K160" s="293" t="str">
        <f>IFERROR(VLOOKUP($B$159,Y_8,29,0),"")</f>
        <v/>
      </c>
      <c r="AI160" s="405" t="s">
        <v>399</v>
      </c>
      <c r="AJ160" s="405" t="s">
        <v>82</v>
      </c>
      <c r="AM160" s="407" t="s">
        <v>380</v>
      </c>
      <c r="AN160" s="407" t="s">
        <v>381</v>
      </c>
      <c r="AO160" s="407">
        <v>30</v>
      </c>
      <c r="AP160" s="407">
        <v>29</v>
      </c>
      <c r="AQ160" s="407">
        <v>59</v>
      </c>
      <c r="AR160" s="407">
        <v>28</v>
      </c>
      <c r="AS160" s="407">
        <v>30</v>
      </c>
      <c r="AT160" s="407">
        <v>58</v>
      </c>
    </row>
    <row r="161" spans="2:46" ht="14.5" x14ac:dyDescent="0.35">
      <c r="B161" s="123" t="s">
        <v>35</v>
      </c>
      <c r="C161" s="124"/>
      <c r="D161" s="126" t="str">
        <f>IFERROR(VLOOKUP($B$159,Y_1,30,0),"")</f>
        <v/>
      </c>
      <c r="E161" s="126" t="str">
        <f>IFERROR(VLOOKUP($B$159,Y_2,30,0),"")</f>
        <v/>
      </c>
      <c r="F161" s="126" t="str">
        <f>IFERROR(VLOOKUP($B$159,Y_3,30,0),"")</f>
        <v/>
      </c>
      <c r="G161" s="126" t="str">
        <f>IFERROR(VLOOKUP($B$159,Y_4,30,0),"")</f>
        <v/>
      </c>
      <c r="H161" s="126" t="str">
        <f>IFERROR(VLOOKUP($B$159,Y_5,30,0),"")</f>
        <v/>
      </c>
      <c r="I161" s="126" t="str">
        <f>IFERROR(VLOOKUP($B$159,Y_6,30,0),"")</f>
        <v/>
      </c>
      <c r="J161" s="379" t="str">
        <f>IFERROR(VLOOKUP($B$159,Y_7,30,0),"")</f>
        <v/>
      </c>
      <c r="K161" s="127" t="str">
        <f>IFERROR(VLOOKUP($B$159,Y_8,30,0),"")</f>
        <v/>
      </c>
      <c r="AI161" s="405" t="s">
        <v>401</v>
      </c>
      <c r="AJ161" s="405" t="s">
        <v>87</v>
      </c>
      <c r="AM161" s="407" t="s">
        <v>382</v>
      </c>
      <c r="AN161" s="407" t="s">
        <v>383</v>
      </c>
      <c r="AO161" s="407">
        <v>19</v>
      </c>
      <c r="AP161" s="407">
        <v>1</v>
      </c>
      <c r="AQ161" s="407">
        <v>20</v>
      </c>
      <c r="AR161" s="407">
        <v>21</v>
      </c>
      <c r="AS161" s="407">
        <v>3</v>
      </c>
      <c r="AT161" s="407">
        <v>24</v>
      </c>
    </row>
    <row r="162" spans="2:46" ht="14.5" x14ac:dyDescent="0.35">
      <c r="B162" s="113" t="s">
        <v>36</v>
      </c>
      <c r="C162" s="114"/>
      <c r="D162" s="128" t="str">
        <f>IFERROR(VLOOKUP($B$159,Y_1,31,0),"")</f>
        <v/>
      </c>
      <c r="E162" s="128" t="str">
        <f>IFERROR(VLOOKUP($B$159,Y_2,31,0),"")</f>
        <v/>
      </c>
      <c r="F162" s="128" t="str">
        <f>IFERROR(VLOOKUP($B$159,Y_3,31,0),"")</f>
        <v/>
      </c>
      <c r="G162" s="128" t="str">
        <f>IFERROR(VLOOKUP($B$159,Y_4,31,0),"")</f>
        <v/>
      </c>
      <c r="H162" s="128" t="str">
        <f>IFERROR(VLOOKUP($B$159,Y_5,31,0),"")</f>
        <v/>
      </c>
      <c r="I162" s="128" t="str">
        <f>IFERROR(VLOOKUP($B$159,Y_6,31,0),"")</f>
        <v/>
      </c>
      <c r="J162" s="128" t="str">
        <f>IFERROR(VLOOKUP($B$159,Y_7,31,0),"")</f>
        <v/>
      </c>
      <c r="K162" s="129" t="str">
        <f>IFERROR(VLOOKUP($B$159,Y_8,31,0),"")</f>
        <v/>
      </c>
      <c r="AI162" s="405" t="s">
        <v>403</v>
      </c>
      <c r="AJ162" s="405" t="s">
        <v>82</v>
      </c>
      <c r="AM162" s="407" t="s">
        <v>384</v>
      </c>
      <c r="AN162" s="407" t="s">
        <v>385</v>
      </c>
      <c r="AO162" s="407">
        <v>18</v>
      </c>
      <c r="AP162" s="407">
        <v>8</v>
      </c>
      <c r="AQ162" s="407">
        <v>26</v>
      </c>
      <c r="AR162" s="407">
        <v>19</v>
      </c>
      <c r="AS162" s="407">
        <v>6</v>
      </c>
      <c r="AT162" s="407">
        <v>25</v>
      </c>
    </row>
    <row r="163" spans="2:46" ht="14.5" x14ac:dyDescent="0.35">
      <c r="B163" s="130" t="s">
        <v>37</v>
      </c>
      <c r="C163" s="131"/>
      <c r="D163" s="132" t="str">
        <f>IFERROR(VLOOKUP($B$159,Y_1,32,0),"")</f>
        <v/>
      </c>
      <c r="E163" s="132" t="str">
        <f>IFERROR(VLOOKUP($B$159,Y_2,32,0),"")</f>
        <v/>
      </c>
      <c r="F163" s="132" t="str">
        <f>IFERROR(VLOOKUP($B$159,Y_3,32,0),"")</f>
        <v/>
      </c>
      <c r="G163" s="132" t="str">
        <f>IFERROR(VLOOKUP($B$159,Y_4,32,0),"")</f>
        <v/>
      </c>
      <c r="H163" s="132" t="str">
        <f>IFERROR(VLOOKUP($B$159,Y_5,32,0),"")</f>
        <v/>
      </c>
      <c r="I163" s="132" t="str">
        <f>IFERROR(VLOOKUP($B$159,Y_6,32,0),"")</f>
        <v/>
      </c>
      <c r="J163" s="132" t="str">
        <f>IFERROR(VLOOKUP($B$159,Y_7,32,0),"")</f>
        <v/>
      </c>
      <c r="K163" s="133" t="str">
        <f>IFERROR(VLOOKUP($B$159,Y_8,32,0),"")</f>
        <v/>
      </c>
      <c r="AI163" s="405" t="s">
        <v>405</v>
      </c>
      <c r="AJ163" s="405" t="s">
        <v>88</v>
      </c>
      <c r="AM163" s="407" t="s">
        <v>386</v>
      </c>
      <c r="AN163" s="407" t="s">
        <v>387</v>
      </c>
      <c r="AO163" s="407">
        <v>29</v>
      </c>
      <c r="AP163" s="407">
        <v>43</v>
      </c>
      <c r="AQ163" s="407">
        <v>72</v>
      </c>
      <c r="AR163" s="407">
        <v>25</v>
      </c>
      <c r="AS163" s="407">
        <v>52</v>
      </c>
      <c r="AT163" s="407">
        <v>77</v>
      </c>
    </row>
    <row r="164" spans="2:46" ht="14.5" x14ac:dyDescent="0.35">
      <c r="B164" s="190" t="s">
        <v>38</v>
      </c>
      <c r="C164" s="134"/>
      <c r="D164" s="125" t="str">
        <f>IFERROR($D$163/$D$160,"")</f>
        <v/>
      </c>
      <c r="E164" s="125" t="str">
        <f>IFERROR($E$163/$E$160,"")</f>
        <v/>
      </c>
      <c r="F164" s="125" t="str">
        <f>IFERROR($F$163/$F$160,"")</f>
        <v/>
      </c>
      <c r="G164" s="125" t="str">
        <f>IFERROR($G$163/$G$160,"")</f>
        <v/>
      </c>
      <c r="H164" s="125" t="str">
        <f>IFERROR($H$163/$H$160,"")</f>
        <v/>
      </c>
      <c r="I164" s="125" t="str">
        <f>IFERROR($I$163/$I$160,"")</f>
        <v/>
      </c>
      <c r="J164" s="125" t="str">
        <f>IFERROR($J$163/$J$160,"")</f>
        <v/>
      </c>
      <c r="K164" s="414" t="str">
        <f>IFERROR($K$163/$K$160,"")</f>
        <v/>
      </c>
      <c r="AI164" s="405" t="s">
        <v>407</v>
      </c>
      <c r="AJ164" s="405" t="s">
        <v>84</v>
      </c>
      <c r="AM164" s="407" t="s">
        <v>388</v>
      </c>
      <c r="AN164" s="407" t="s">
        <v>389</v>
      </c>
      <c r="AO164" s="407">
        <v>26</v>
      </c>
      <c r="AP164" s="407">
        <v>6</v>
      </c>
      <c r="AQ164" s="407">
        <v>32</v>
      </c>
      <c r="AR164" s="407">
        <v>23</v>
      </c>
      <c r="AS164" s="407">
        <v>9</v>
      </c>
      <c r="AT164" s="407">
        <v>32</v>
      </c>
    </row>
    <row r="165" spans="2:46" ht="14.5" x14ac:dyDescent="0.35">
      <c r="B165" s="123" t="s">
        <v>39</v>
      </c>
      <c r="C165" s="124"/>
      <c r="D165" s="125" t="str">
        <f>IFERROR($D$161/$D$160,"")</f>
        <v/>
      </c>
      <c r="E165" s="125" t="str">
        <f>IFERROR($E$161/$E$160,"")</f>
        <v/>
      </c>
      <c r="F165" s="192" t="str">
        <f>IFERROR($F$161/$F$160,"")</f>
        <v/>
      </c>
      <c r="G165" s="192" t="str">
        <f>IFERROR($G$161/$G$160,"")</f>
        <v/>
      </c>
      <c r="H165" s="192" t="str">
        <f>IFERROR($H$161/$H$160,"")</f>
        <v/>
      </c>
      <c r="I165" s="192" t="str">
        <f>IFERROR($I$161/$I$160,"")</f>
        <v/>
      </c>
      <c r="J165" s="192" t="str">
        <f>IFERROR($J$161/$J$160,"")</f>
        <v/>
      </c>
      <c r="K165" s="193" t="str">
        <f>IFERROR($K$161/$K$160,"")</f>
        <v/>
      </c>
      <c r="AI165" s="405" t="s">
        <v>409</v>
      </c>
      <c r="AJ165" s="405" t="s">
        <v>88</v>
      </c>
      <c r="AM165" s="407" t="s">
        <v>390</v>
      </c>
      <c r="AN165" s="407" t="s">
        <v>391</v>
      </c>
      <c r="AO165" s="407">
        <v>23</v>
      </c>
      <c r="AP165" s="407">
        <v>9</v>
      </c>
      <c r="AQ165" s="407">
        <v>32</v>
      </c>
      <c r="AR165" s="407">
        <v>25</v>
      </c>
      <c r="AS165" s="407">
        <v>16</v>
      </c>
      <c r="AT165" s="407">
        <v>41</v>
      </c>
    </row>
    <row r="166" spans="2:46" ht="14.5" x14ac:dyDescent="0.35">
      <c r="B166" s="123" t="s">
        <v>821</v>
      </c>
      <c r="C166" s="124"/>
      <c r="D166" s="125" t="str">
        <f>IFERROR($D$162/$D$160,"")</f>
        <v/>
      </c>
      <c r="E166" s="125" t="str">
        <f>IFERROR($E$162/$E$160,"")</f>
        <v/>
      </c>
      <c r="F166" s="192" t="str">
        <f>IFERROR($F$162/$F$160,"")</f>
        <v/>
      </c>
      <c r="G166" s="192" t="str">
        <f>IFERROR($G$162/$G$160,"")</f>
        <v/>
      </c>
      <c r="H166" s="192" t="str">
        <f>IFERROR($H$162/$H$160,"")</f>
        <v/>
      </c>
      <c r="I166" s="192" t="str">
        <f>IFERROR($I$162/$I$160,"")</f>
        <v/>
      </c>
      <c r="J166" s="192" t="str">
        <f>IFERROR($J$162/$J$160,"")</f>
        <v/>
      </c>
      <c r="K166" s="193" t="str">
        <f>IFERROR($K$162/$K$160,"")</f>
        <v/>
      </c>
      <c r="AI166" s="405" t="s">
        <v>411</v>
      </c>
      <c r="AJ166" s="405" t="s">
        <v>83</v>
      </c>
      <c r="AM166" s="407" t="s">
        <v>392</v>
      </c>
      <c r="AN166" s="407" t="s">
        <v>393</v>
      </c>
      <c r="AO166" s="407">
        <v>16</v>
      </c>
      <c r="AP166" s="407">
        <v>3</v>
      </c>
      <c r="AQ166" s="407">
        <v>19</v>
      </c>
      <c r="AR166" s="407">
        <v>20</v>
      </c>
      <c r="AS166" s="407">
        <v>4</v>
      </c>
      <c r="AT166" s="407">
        <v>24</v>
      </c>
    </row>
    <row r="167" spans="2:46" ht="14.5" x14ac:dyDescent="0.35">
      <c r="B167" s="123"/>
      <c r="C167" s="124"/>
      <c r="D167" s="125"/>
      <c r="E167" s="192"/>
      <c r="F167" s="192"/>
      <c r="G167" s="192"/>
      <c r="H167" s="192"/>
      <c r="I167" s="192"/>
      <c r="J167" s="192"/>
      <c r="K167" s="193"/>
      <c r="AI167" s="405" t="s">
        <v>413</v>
      </c>
      <c r="AJ167" s="405" t="s">
        <v>87</v>
      </c>
      <c r="AM167" s="407" t="s">
        <v>394</v>
      </c>
      <c r="AN167" s="407" t="s">
        <v>395</v>
      </c>
      <c r="AO167" s="407">
        <v>13</v>
      </c>
      <c r="AP167" s="407">
        <v>1</v>
      </c>
      <c r="AQ167" s="407">
        <v>14</v>
      </c>
      <c r="AR167" s="407">
        <v>15</v>
      </c>
      <c r="AS167" s="407">
        <v>2</v>
      </c>
      <c r="AT167" s="407">
        <v>17</v>
      </c>
    </row>
    <row r="168" spans="2:46" ht="14.5" x14ac:dyDescent="0.35">
      <c r="B168" s="75" t="s">
        <v>15</v>
      </c>
      <c r="C168" s="76"/>
      <c r="D168" s="292"/>
      <c r="E168" s="363"/>
      <c r="F168" s="363"/>
      <c r="G168" s="363"/>
      <c r="H168" s="363"/>
      <c r="I168" s="363"/>
      <c r="J168" s="363"/>
      <c r="K168" s="294"/>
      <c r="AI168" s="405" t="s">
        <v>415</v>
      </c>
      <c r="AJ168" s="405" t="s">
        <v>85</v>
      </c>
      <c r="AM168" s="407" t="s">
        <v>396</v>
      </c>
      <c r="AN168" s="407" t="s">
        <v>397</v>
      </c>
      <c r="AO168" s="407">
        <v>34</v>
      </c>
      <c r="AP168" s="407">
        <v>19</v>
      </c>
      <c r="AQ168" s="407">
        <v>53</v>
      </c>
      <c r="AR168" s="407">
        <v>28</v>
      </c>
      <c r="AS168" s="407">
        <v>21</v>
      </c>
      <c r="AT168" s="407">
        <v>49</v>
      </c>
    </row>
    <row r="169" spans="2:46" ht="14.5" x14ac:dyDescent="0.35">
      <c r="B169" s="107" t="s">
        <v>34</v>
      </c>
      <c r="C169" s="108"/>
      <c r="D169" s="291">
        <f>VLOOKUP($B$168,Y_1,29,0)</f>
        <v>1967526</v>
      </c>
      <c r="E169" s="291">
        <f>VLOOKUP($B$168,Y_2,29,0)</f>
        <v>2008229</v>
      </c>
      <c r="F169" s="291">
        <f>VLOOKUP($B$168,Y_3,29,0)</f>
        <v>2049681</v>
      </c>
      <c r="G169" s="291">
        <f>VLOOKUP($B$168,Y_4,29,0)</f>
        <v>2073839</v>
      </c>
      <c r="H169" s="291">
        <f>VLOOKUP($B$168,Y_5,29,0)</f>
        <v>2093758</v>
      </c>
      <c r="I169" s="291">
        <f>VLOOKUP($B$168,Y_6,29,0)</f>
        <v>2115391</v>
      </c>
      <c r="J169" s="291">
        <f>VLOOKUP($B$168,Y_7,29,0)</f>
        <v>2127268</v>
      </c>
      <c r="K169" s="293">
        <f>VLOOKUP($B$168,Y_8,29,0)</f>
        <v>2150753</v>
      </c>
      <c r="AI169" s="405" t="s">
        <v>417</v>
      </c>
      <c r="AJ169" s="405" t="s">
        <v>87</v>
      </c>
      <c r="AM169" s="407" t="s">
        <v>398</v>
      </c>
      <c r="AN169" s="407" t="s">
        <v>399</v>
      </c>
      <c r="AO169" s="407">
        <v>19</v>
      </c>
      <c r="AP169" s="407">
        <v>4</v>
      </c>
      <c r="AQ169" s="407">
        <v>23</v>
      </c>
      <c r="AR169" s="407">
        <v>21</v>
      </c>
      <c r="AS169" s="407">
        <v>5</v>
      </c>
      <c r="AT169" s="407">
        <v>26</v>
      </c>
    </row>
    <row r="170" spans="2:46" ht="14.5" x14ac:dyDescent="0.35">
      <c r="B170" s="123" t="s">
        <v>35</v>
      </c>
      <c r="C170" s="124"/>
      <c r="D170" s="126">
        <f>VLOOKUP($B$168,Y_1,30,0)</f>
        <v>15068</v>
      </c>
      <c r="E170" s="126">
        <f>VLOOKUP($B$168,Y_2,30,0)</f>
        <v>12436</v>
      </c>
      <c r="F170" s="126">
        <f>VLOOKUP($B$168,Y_3,30,0)</f>
        <v>11473</v>
      </c>
      <c r="G170" s="126">
        <f>VLOOKUP($B$168,Y_4,30,0)</f>
        <v>11579</v>
      </c>
      <c r="H170" s="126">
        <f>VLOOKUP($B$168,Y_5,30,0)</f>
        <v>12562</v>
      </c>
      <c r="I170" s="126">
        <f>VLOOKUP($B$168,Y_6,30,0)</f>
        <v>16888</v>
      </c>
      <c r="J170" s="379">
        <f>VLOOKUP($B$168,Y_7,30,0)</f>
        <v>15784</v>
      </c>
      <c r="K170" s="127">
        <f>VLOOKUP($B$168,Y_8,30,0)</f>
        <v>17696</v>
      </c>
      <c r="AI170" s="405" t="s">
        <v>419</v>
      </c>
      <c r="AJ170" s="405" t="s">
        <v>87</v>
      </c>
      <c r="AM170" s="407" t="s">
        <v>400</v>
      </c>
      <c r="AN170" s="407" t="s">
        <v>401</v>
      </c>
      <c r="AO170" s="407">
        <v>23</v>
      </c>
      <c r="AP170" s="407">
        <v>7</v>
      </c>
      <c r="AQ170" s="407">
        <v>30</v>
      </c>
      <c r="AR170" s="407">
        <v>23</v>
      </c>
      <c r="AS170" s="407">
        <v>6</v>
      </c>
      <c r="AT170" s="407">
        <v>29</v>
      </c>
    </row>
    <row r="171" spans="2:46" ht="14.5" x14ac:dyDescent="0.35">
      <c r="B171" s="113" t="s">
        <v>36</v>
      </c>
      <c r="C171" s="114"/>
      <c r="D171" s="128">
        <f>VLOOKUP($B$168,Y_1,31,0)</f>
        <v>12347</v>
      </c>
      <c r="E171" s="128">
        <f>VLOOKUP($B$168,Y_2,31,0)</f>
        <v>11462</v>
      </c>
      <c r="F171" s="128">
        <f>VLOOKUP($B$168,Y_3,31,0)</f>
        <v>11057</v>
      </c>
      <c r="G171" s="128">
        <f>VLOOKUP($B$168,Y_4,31,0)</f>
        <v>10889</v>
      </c>
      <c r="H171" s="128">
        <f>VLOOKUP($B$168,Y_5,31,0)</f>
        <v>12987</v>
      </c>
      <c r="I171" s="128">
        <f>VLOOKUP($B$168,Y_6,31,0)</f>
        <v>13840</v>
      </c>
      <c r="J171" s="128">
        <f>VLOOKUP($B$168,Y_7,31,0)</f>
        <v>13111</v>
      </c>
      <c r="K171" s="129">
        <f>VLOOKUP($B$168,Y_8,31,0)</f>
        <v>14009</v>
      </c>
      <c r="AI171" s="405" t="s">
        <v>421</v>
      </c>
      <c r="AJ171" s="405" t="s">
        <v>87</v>
      </c>
      <c r="AM171" s="407" t="s">
        <v>402</v>
      </c>
      <c r="AN171" s="407" t="s">
        <v>403</v>
      </c>
      <c r="AO171" s="407">
        <v>13</v>
      </c>
      <c r="AP171" s="407">
        <v>2</v>
      </c>
      <c r="AQ171" s="407">
        <v>15</v>
      </c>
      <c r="AR171" s="407">
        <v>16</v>
      </c>
      <c r="AS171" s="407">
        <v>1</v>
      </c>
      <c r="AT171" s="407">
        <v>17</v>
      </c>
    </row>
    <row r="172" spans="2:46" ht="14.5" x14ac:dyDescent="0.35">
      <c r="B172" s="130" t="s">
        <v>37</v>
      </c>
      <c r="C172" s="131"/>
      <c r="D172" s="132">
        <f>VLOOKUP($B$168,Y_1,32,0)</f>
        <v>27415</v>
      </c>
      <c r="E172" s="132">
        <f>VLOOKUP($B$168,Y_2,32,0)</f>
        <v>23898</v>
      </c>
      <c r="F172" s="132">
        <f>VLOOKUP($B$168,Y_3,32,0)</f>
        <v>22530</v>
      </c>
      <c r="G172" s="132">
        <f>VLOOKUP($B$168,Y_4,32,0)</f>
        <v>22468</v>
      </c>
      <c r="H172" s="132">
        <f>VLOOKUP($B$168,Y_5,32,0)</f>
        <v>25549</v>
      </c>
      <c r="I172" s="132">
        <f>VLOOKUP($B$168,Y_6,32,0)</f>
        <v>30728</v>
      </c>
      <c r="J172" s="132">
        <f>VLOOKUP($B$168,Y_7,32,0)</f>
        <v>28895</v>
      </c>
      <c r="K172" s="133">
        <f>VLOOKUP($B$168,Y_8,32,0)</f>
        <v>31705</v>
      </c>
      <c r="AI172" s="405" t="s">
        <v>423</v>
      </c>
      <c r="AJ172" s="405" t="s">
        <v>82</v>
      </c>
      <c r="AM172" s="407" t="s">
        <v>404</v>
      </c>
      <c r="AN172" s="407" t="s">
        <v>405</v>
      </c>
      <c r="AO172" s="407">
        <v>22</v>
      </c>
      <c r="AP172" s="407">
        <v>9</v>
      </c>
      <c r="AQ172" s="407">
        <v>31</v>
      </c>
      <c r="AR172" s="407">
        <v>20</v>
      </c>
      <c r="AS172" s="407">
        <v>8</v>
      </c>
      <c r="AT172" s="407">
        <v>28</v>
      </c>
    </row>
    <row r="173" spans="2:46" ht="14.5" x14ac:dyDescent="0.35">
      <c r="B173" s="190" t="s">
        <v>38</v>
      </c>
      <c r="C173" s="134"/>
      <c r="D173" s="125">
        <f t="shared" ref="D173:I173" si="11">D172/D169</f>
        <v>1.3933742171640933E-2</v>
      </c>
      <c r="E173" s="125">
        <f t="shared" si="11"/>
        <v>1.1900037296543372E-2</v>
      </c>
      <c r="F173" s="125">
        <f t="shared" si="11"/>
        <v>1.0991954357775674E-2</v>
      </c>
      <c r="G173" s="125">
        <f t="shared" si="11"/>
        <v>1.0834013633652372E-2</v>
      </c>
      <c r="H173" s="125">
        <f t="shared" si="11"/>
        <v>1.2202460838358587E-2</v>
      </c>
      <c r="I173" s="125">
        <f t="shared" si="11"/>
        <v>1.452591979449662E-2</v>
      </c>
      <c r="J173" s="125">
        <f t="shared" ref="J173" si="12">J172/J169</f>
        <v>1.3583149842897086E-2</v>
      </c>
      <c r="K173" s="414">
        <f t="shared" ref="K173" si="13">K172/K169</f>
        <v>1.4741348727631672E-2</v>
      </c>
      <c r="AI173" s="405" t="s">
        <v>425</v>
      </c>
      <c r="AJ173" s="405" t="s">
        <v>85</v>
      </c>
      <c r="AM173" s="407" t="s">
        <v>406</v>
      </c>
      <c r="AN173" s="407" t="s">
        <v>407</v>
      </c>
      <c r="AO173" s="407">
        <v>29</v>
      </c>
      <c r="AP173" s="407">
        <v>10</v>
      </c>
      <c r="AQ173" s="407">
        <v>39</v>
      </c>
      <c r="AR173" s="407">
        <v>28</v>
      </c>
      <c r="AS173" s="407">
        <v>11</v>
      </c>
      <c r="AT173" s="407">
        <v>39</v>
      </c>
    </row>
    <row r="174" spans="2:46" ht="14.5" x14ac:dyDescent="0.35">
      <c r="B174" s="123" t="s">
        <v>39</v>
      </c>
      <c r="C174" s="124"/>
      <c r="D174" s="125">
        <f t="shared" ref="D174:I174" si="14">D170/D169</f>
        <v>7.6583486063208309E-3</v>
      </c>
      <c r="E174" s="192">
        <f t="shared" si="14"/>
        <v>6.1925208728685821E-3</v>
      </c>
      <c r="F174" s="192">
        <f t="shared" si="14"/>
        <v>5.597456384676445E-3</v>
      </c>
      <c r="G174" s="192">
        <f t="shared" si="14"/>
        <v>5.5833649574533028E-3</v>
      </c>
      <c r="H174" s="192">
        <f t="shared" si="14"/>
        <v>5.9997382696567606E-3</v>
      </c>
      <c r="I174" s="192">
        <f t="shared" si="14"/>
        <v>7.9833940864833027E-3</v>
      </c>
      <c r="J174" s="192">
        <f t="shared" ref="J174" si="15">J170/J169</f>
        <v>7.4198455483747228E-3</v>
      </c>
      <c r="K174" s="193">
        <f t="shared" ref="K174" si="16">K170/K169</f>
        <v>8.2278160253641403E-3</v>
      </c>
      <c r="AI174" s="405" t="s">
        <v>427</v>
      </c>
      <c r="AJ174" s="405" t="s">
        <v>89</v>
      </c>
      <c r="AM174" s="407" t="s">
        <v>408</v>
      </c>
      <c r="AN174" s="407" t="s">
        <v>409</v>
      </c>
      <c r="AO174" s="407">
        <v>17</v>
      </c>
      <c r="AP174" s="407">
        <v>6</v>
      </c>
      <c r="AQ174" s="407">
        <v>23</v>
      </c>
      <c r="AR174" s="407">
        <v>16</v>
      </c>
      <c r="AS174" s="407">
        <v>7</v>
      </c>
      <c r="AT174" s="407">
        <v>23</v>
      </c>
    </row>
    <row r="175" spans="2:46" ht="14.5" x14ac:dyDescent="0.35">
      <c r="B175" s="123" t="s">
        <v>821</v>
      </c>
      <c r="C175" s="124"/>
      <c r="D175" s="46">
        <f t="shared" ref="D175:I175" si="17">D171/D169</f>
        <v>6.2753935653201021E-3</v>
      </c>
      <c r="E175" s="257">
        <f t="shared" si="17"/>
        <v>5.7075164236747898E-3</v>
      </c>
      <c r="F175" s="257">
        <f t="shared" si="17"/>
        <v>5.3944979730992286E-3</v>
      </c>
      <c r="G175" s="257">
        <f t="shared" si="17"/>
        <v>5.2506486761990682E-3</v>
      </c>
      <c r="H175" s="257">
        <f t="shared" si="17"/>
        <v>6.2027225687018269E-3</v>
      </c>
      <c r="I175" s="257">
        <f t="shared" si="17"/>
        <v>6.5425257080133177E-3</v>
      </c>
      <c r="J175" s="257">
        <f t="shared" ref="J175" si="18">J171/J169</f>
        <v>6.1633042945223636E-3</v>
      </c>
      <c r="K175" s="258">
        <f t="shared" ref="K175" si="19">K171/K169</f>
        <v>6.5135327022675313E-3</v>
      </c>
      <c r="AI175" s="405" t="s">
        <v>429</v>
      </c>
      <c r="AJ175" s="405" t="s">
        <v>84</v>
      </c>
      <c r="AM175" s="407" t="s">
        <v>410</v>
      </c>
      <c r="AN175" s="407" t="s">
        <v>411</v>
      </c>
      <c r="AO175" s="407">
        <v>17</v>
      </c>
      <c r="AP175" s="407">
        <v>3</v>
      </c>
      <c r="AQ175" s="407">
        <v>20</v>
      </c>
      <c r="AR175" s="407">
        <v>22</v>
      </c>
      <c r="AS175" s="407">
        <v>4</v>
      </c>
      <c r="AT175" s="407">
        <v>26</v>
      </c>
    </row>
    <row r="176" spans="2:46" ht="14.5" x14ac:dyDescent="0.35">
      <c r="B176" s="135" t="s">
        <v>40</v>
      </c>
      <c r="C176" s="136"/>
      <c r="D176" s="136"/>
      <c r="E176" s="137"/>
      <c r="F176" s="138"/>
      <c r="G176" s="139"/>
      <c r="H176" s="51"/>
      <c r="I176" s="139"/>
      <c r="J176" s="139"/>
      <c r="K176" s="140"/>
      <c r="M176" s="141" t="str">
        <f>IF(E3="","Vacant general needs self-contained units and percentage of all general needs self-contained units vacant","Vacant general needs self-contained units and percentage of all general needs self-contained units vacant in "&amp;$E$3&amp;" - large PRPs only")</f>
        <v>Vacant general needs self-contained units and percentage of all general needs self-contained units vacant</v>
      </c>
      <c r="AI176" s="405" t="s">
        <v>431</v>
      </c>
      <c r="AJ176" s="405" t="s">
        <v>88</v>
      </c>
      <c r="AM176" s="407" t="s">
        <v>412</v>
      </c>
      <c r="AN176" s="407" t="s">
        <v>413</v>
      </c>
      <c r="AO176" s="407">
        <v>21</v>
      </c>
      <c r="AP176" s="407">
        <v>10</v>
      </c>
      <c r="AQ176" s="407">
        <v>31</v>
      </c>
      <c r="AR176" s="407">
        <v>28</v>
      </c>
      <c r="AS176" s="407">
        <v>11</v>
      </c>
      <c r="AT176" s="407">
        <v>39</v>
      </c>
    </row>
    <row r="177" spans="2:46" ht="14.5" x14ac:dyDescent="0.35">
      <c r="B177" s="142" t="s">
        <v>41</v>
      </c>
      <c r="C177" s="143"/>
      <c r="D177" s="143"/>
      <c r="E177" s="144"/>
      <c r="F177" s="145"/>
      <c r="G177" s="146"/>
      <c r="I177" s="146"/>
      <c r="J177" s="146"/>
      <c r="K177" s="147"/>
      <c r="AI177" s="405" t="s">
        <v>433</v>
      </c>
      <c r="AJ177" s="405" t="s">
        <v>82</v>
      </c>
      <c r="AM177" s="407" t="s">
        <v>414</v>
      </c>
      <c r="AN177" s="407" t="s">
        <v>415</v>
      </c>
      <c r="AO177" s="407">
        <v>23</v>
      </c>
      <c r="AP177" s="407">
        <v>4</v>
      </c>
      <c r="AQ177" s="407">
        <v>27</v>
      </c>
      <c r="AR177" s="407">
        <v>20</v>
      </c>
      <c r="AS177" s="407">
        <v>7</v>
      </c>
      <c r="AT177" s="407">
        <v>27</v>
      </c>
    </row>
    <row r="178" spans="2:46" ht="14.5" x14ac:dyDescent="0.35">
      <c r="B178" s="148" t="s">
        <v>810</v>
      </c>
      <c r="C178" s="149"/>
      <c r="D178" s="149"/>
      <c r="E178" s="150"/>
      <c r="F178" s="151"/>
      <c r="G178" s="151"/>
      <c r="H178" s="53"/>
      <c r="I178" s="151"/>
      <c r="J178" s="151"/>
      <c r="K178" s="152"/>
      <c r="AI178" s="405" t="s">
        <v>435</v>
      </c>
      <c r="AJ178" s="405" t="s">
        <v>792</v>
      </c>
      <c r="AM178" s="407" t="s">
        <v>416</v>
      </c>
      <c r="AN178" s="407" t="s">
        <v>417</v>
      </c>
      <c r="AO178" s="407">
        <v>39</v>
      </c>
      <c r="AP178" s="407">
        <v>11</v>
      </c>
      <c r="AQ178" s="407">
        <v>50</v>
      </c>
      <c r="AR178" s="407">
        <v>43</v>
      </c>
      <c r="AS178" s="407">
        <v>11</v>
      </c>
      <c r="AT178" s="407">
        <v>54</v>
      </c>
    </row>
    <row r="179" spans="2:46" ht="14.5" x14ac:dyDescent="0.35">
      <c r="M179" s="11"/>
      <c r="AI179" s="405" t="s">
        <v>437</v>
      </c>
      <c r="AJ179" s="405" t="s">
        <v>83</v>
      </c>
      <c r="AM179" s="407" t="s">
        <v>418</v>
      </c>
      <c r="AN179" s="407" t="s">
        <v>419</v>
      </c>
      <c r="AO179" s="407">
        <v>22</v>
      </c>
      <c r="AP179" s="407">
        <v>9</v>
      </c>
      <c r="AQ179" s="407">
        <v>31</v>
      </c>
      <c r="AR179" s="407">
        <v>21</v>
      </c>
      <c r="AS179" s="407">
        <v>8</v>
      </c>
      <c r="AT179" s="407">
        <v>29</v>
      </c>
    </row>
    <row r="180" spans="2:46" ht="14.5" hidden="1" x14ac:dyDescent="0.35">
      <c r="AI180" s="405" t="s">
        <v>439</v>
      </c>
      <c r="AJ180" s="405" t="s">
        <v>82</v>
      </c>
      <c r="AM180" s="407" t="s">
        <v>420</v>
      </c>
      <c r="AN180" s="407" t="s">
        <v>421</v>
      </c>
      <c r="AO180" s="407">
        <v>25</v>
      </c>
      <c r="AP180" s="407">
        <v>6</v>
      </c>
      <c r="AQ180" s="407">
        <v>31</v>
      </c>
      <c r="AR180" s="407">
        <v>21</v>
      </c>
      <c r="AS180" s="407">
        <v>7</v>
      </c>
      <c r="AT180" s="407">
        <v>28</v>
      </c>
    </row>
    <row r="181" spans="2:46" ht="14.5" hidden="1" x14ac:dyDescent="0.35">
      <c r="AI181" s="405" t="s">
        <v>441</v>
      </c>
      <c r="AJ181" s="405" t="s">
        <v>792</v>
      </c>
      <c r="AM181" s="407" t="s">
        <v>422</v>
      </c>
      <c r="AN181" s="407" t="s">
        <v>423</v>
      </c>
      <c r="AO181" s="407">
        <v>20</v>
      </c>
      <c r="AP181" s="407">
        <v>4</v>
      </c>
      <c r="AQ181" s="407">
        <v>24</v>
      </c>
      <c r="AR181" s="407">
        <v>24</v>
      </c>
      <c r="AS181" s="407">
        <v>5</v>
      </c>
      <c r="AT181" s="407">
        <v>29</v>
      </c>
    </row>
    <row r="182" spans="2:46" ht="14.5" hidden="1" x14ac:dyDescent="0.35">
      <c r="AI182" s="405" t="s">
        <v>443</v>
      </c>
      <c r="AJ182" s="405" t="s">
        <v>83</v>
      </c>
      <c r="AM182" s="407" t="s">
        <v>424</v>
      </c>
      <c r="AN182" s="407" t="s">
        <v>425</v>
      </c>
      <c r="AO182" s="407">
        <v>20</v>
      </c>
      <c r="AP182" s="407">
        <v>14</v>
      </c>
      <c r="AQ182" s="407">
        <v>34</v>
      </c>
      <c r="AR182" s="407">
        <v>18</v>
      </c>
      <c r="AS182" s="407">
        <v>14</v>
      </c>
      <c r="AT182" s="407">
        <v>32</v>
      </c>
    </row>
    <row r="183" spans="2:46" ht="14.5" hidden="1" x14ac:dyDescent="0.35">
      <c r="AI183" s="405" t="s">
        <v>812</v>
      </c>
      <c r="AJ183" s="405" t="s">
        <v>82</v>
      </c>
      <c r="AM183" s="407" t="s">
        <v>426</v>
      </c>
      <c r="AN183" s="407" t="s">
        <v>427</v>
      </c>
      <c r="AO183" s="407">
        <v>14</v>
      </c>
      <c r="AP183" s="407">
        <v>6</v>
      </c>
      <c r="AQ183" s="407">
        <v>20</v>
      </c>
      <c r="AR183" s="407">
        <v>16</v>
      </c>
      <c r="AS183" s="407">
        <v>3</v>
      </c>
      <c r="AT183" s="407">
        <v>19</v>
      </c>
    </row>
    <row r="184" spans="2:46" ht="14.5" hidden="1" x14ac:dyDescent="0.35">
      <c r="AI184" s="405" t="s">
        <v>445</v>
      </c>
      <c r="AJ184" s="405" t="s">
        <v>88</v>
      </c>
      <c r="AM184" s="407" t="s">
        <v>428</v>
      </c>
      <c r="AN184" s="407" t="s">
        <v>429</v>
      </c>
      <c r="AO184" s="407">
        <v>33</v>
      </c>
      <c r="AP184" s="407">
        <v>17</v>
      </c>
      <c r="AQ184" s="407">
        <v>50</v>
      </c>
      <c r="AR184" s="407">
        <v>31</v>
      </c>
      <c r="AS184" s="407">
        <v>19</v>
      </c>
      <c r="AT184" s="407">
        <v>50</v>
      </c>
    </row>
    <row r="185" spans="2:46" ht="14.5" hidden="1" x14ac:dyDescent="0.35">
      <c r="AI185" s="405" t="s">
        <v>447</v>
      </c>
      <c r="AJ185" s="405" t="s">
        <v>85</v>
      </c>
      <c r="AM185" s="407" t="s">
        <v>430</v>
      </c>
      <c r="AN185" s="407" t="s">
        <v>431</v>
      </c>
      <c r="AO185" s="407">
        <v>16</v>
      </c>
      <c r="AP185" s="407">
        <v>2</v>
      </c>
      <c r="AQ185" s="407">
        <v>18</v>
      </c>
      <c r="AR185" s="407">
        <v>18</v>
      </c>
      <c r="AS185" s="407">
        <v>8</v>
      </c>
      <c r="AT185" s="407">
        <v>26</v>
      </c>
    </row>
    <row r="186" spans="2:46" ht="14.5" hidden="1" x14ac:dyDescent="0.35">
      <c r="AI186" s="405" t="s">
        <v>449</v>
      </c>
      <c r="AJ186" s="405" t="s">
        <v>89</v>
      </c>
      <c r="AM186" s="407" t="s">
        <v>432</v>
      </c>
      <c r="AN186" s="407" t="s">
        <v>433</v>
      </c>
      <c r="AO186" s="407">
        <v>17</v>
      </c>
      <c r="AP186" s="407">
        <v>2</v>
      </c>
      <c r="AQ186" s="407">
        <v>19</v>
      </c>
      <c r="AR186" s="407">
        <v>23</v>
      </c>
      <c r="AS186" s="407">
        <v>5</v>
      </c>
      <c r="AT186" s="407">
        <v>28</v>
      </c>
    </row>
    <row r="187" spans="2:46" ht="14.5" hidden="1" x14ac:dyDescent="0.35">
      <c r="AI187" s="405" t="s">
        <v>451</v>
      </c>
      <c r="AJ187" s="405" t="s">
        <v>82</v>
      </c>
      <c r="AM187" s="407" t="s">
        <v>434</v>
      </c>
      <c r="AN187" s="407" t="s">
        <v>435</v>
      </c>
      <c r="AO187" s="407">
        <v>15</v>
      </c>
      <c r="AP187" s="407">
        <v>8</v>
      </c>
      <c r="AQ187" s="407">
        <v>23</v>
      </c>
      <c r="AR187" s="407">
        <v>16</v>
      </c>
      <c r="AS187" s="407">
        <v>4</v>
      </c>
      <c r="AT187" s="407">
        <v>20</v>
      </c>
    </row>
    <row r="188" spans="2:46" ht="14.5" hidden="1" x14ac:dyDescent="0.35">
      <c r="AI188" s="405" t="s">
        <v>453</v>
      </c>
      <c r="AJ188" s="405" t="s">
        <v>85</v>
      </c>
      <c r="AM188" s="407" t="s">
        <v>436</v>
      </c>
      <c r="AN188" s="407" t="s">
        <v>437</v>
      </c>
      <c r="AO188" s="407">
        <v>26</v>
      </c>
      <c r="AP188" s="407">
        <v>4</v>
      </c>
      <c r="AQ188" s="407">
        <v>30</v>
      </c>
      <c r="AR188" s="407">
        <v>30</v>
      </c>
      <c r="AS188" s="407">
        <v>3</v>
      </c>
      <c r="AT188" s="407">
        <v>33</v>
      </c>
    </row>
    <row r="189" spans="2:46" ht="14.5" hidden="1" x14ac:dyDescent="0.35">
      <c r="AI189" s="405" t="s">
        <v>455</v>
      </c>
      <c r="AJ189" s="405" t="s">
        <v>83</v>
      </c>
      <c r="AM189" s="407" t="s">
        <v>438</v>
      </c>
      <c r="AN189" s="407" t="s">
        <v>439</v>
      </c>
      <c r="AO189" s="407">
        <v>17</v>
      </c>
      <c r="AP189" s="407">
        <v>7</v>
      </c>
      <c r="AQ189" s="407">
        <v>24</v>
      </c>
      <c r="AR189" s="407">
        <v>20</v>
      </c>
      <c r="AS189" s="407">
        <v>6</v>
      </c>
      <c r="AT189" s="407">
        <v>26</v>
      </c>
    </row>
    <row r="190" spans="2:46" ht="14.5" hidden="1" x14ac:dyDescent="0.35">
      <c r="AI190" s="405" t="s">
        <v>457</v>
      </c>
      <c r="AJ190" s="405" t="s">
        <v>82</v>
      </c>
      <c r="AM190" s="407" t="s">
        <v>440</v>
      </c>
      <c r="AN190" s="407" t="s">
        <v>441</v>
      </c>
      <c r="AO190" s="407">
        <v>15</v>
      </c>
      <c r="AP190" s="407">
        <v>3</v>
      </c>
      <c r="AQ190" s="407">
        <v>18</v>
      </c>
      <c r="AR190" s="407">
        <v>16</v>
      </c>
      <c r="AS190" s="407">
        <v>2</v>
      </c>
      <c r="AT190" s="407">
        <v>18</v>
      </c>
    </row>
    <row r="191" spans="2:46" ht="14.5" hidden="1" x14ac:dyDescent="0.35">
      <c r="AI191" s="405" t="s">
        <v>459</v>
      </c>
      <c r="AJ191" s="405" t="s">
        <v>89</v>
      </c>
      <c r="AM191" s="407" t="s">
        <v>442</v>
      </c>
      <c r="AN191" s="407" t="s">
        <v>443</v>
      </c>
      <c r="AO191" s="407">
        <v>18</v>
      </c>
      <c r="AP191" s="407">
        <v>1</v>
      </c>
      <c r="AQ191" s="407">
        <v>19</v>
      </c>
      <c r="AR191" s="407">
        <v>15</v>
      </c>
      <c r="AS191" s="407">
        <v>3</v>
      </c>
      <c r="AT191" s="407">
        <v>18</v>
      </c>
    </row>
    <row r="192" spans="2:46" ht="14.5" hidden="1" x14ac:dyDescent="0.35">
      <c r="AI192" s="405" t="s">
        <v>461</v>
      </c>
      <c r="AJ192" s="405" t="s">
        <v>82</v>
      </c>
      <c r="AM192" s="407" t="s">
        <v>814</v>
      </c>
      <c r="AN192" s="407" t="s">
        <v>812</v>
      </c>
      <c r="AO192" s="407">
        <v>35</v>
      </c>
      <c r="AP192" s="407">
        <v>9</v>
      </c>
      <c r="AQ192" s="407">
        <v>44</v>
      </c>
      <c r="AR192" s="407">
        <v>41</v>
      </c>
      <c r="AS192" s="407">
        <v>13</v>
      </c>
      <c r="AT192" s="407">
        <v>54</v>
      </c>
    </row>
    <row r="193" spans="35:46" ht="14.5" hidden="1" x14ac:dyDescent="0.35">
      <c r="AI193" s="405" t="s">
        <v>463</v>
      </c>
      <c r="AJ193" s="405" t="s">
        <v>86</v>
      </c>
      <c r="AM193" s="407" t="s">
        <v>444</v>
      </c>
      <c r="AN193" s="407" t="s">
        <v>445</v>
      </c>
      <c r="AO193" s="407">
        <v>23</v>
      </c>
      <c r="AP193" s="407">
        <v>11</v>
      </c>
      <c r="AQ193" s="407">
        <v>34</v>
      </c>
      <c r="AR193" s="407">
        <v>28</v>
      </c>
      <c r="AS193" s="407">
        <v>11</v>
      </c>
      <c r="AT193" s="407">
        <v>39</v>
      </c>
    </row>
    <row r="194" spans="35:46" ht="14.5" hidden="1" x14ac:dyDescent="0.35">
      <c r="AI194" s="405" t="s">
        <v>465</v>
      </c>
      <c r="AJ194" s="405" t="s">
        <v>87</v>
      </c>
      <c r="AM194" s="407" t="s">
        <v>446</v>
      </c>
      <c r="AN194" s="407" t="s">
        <v>447</v>
      </c>
      <c r="AO194" s="407">
        <v>18</v>
      </c>
      <c r="AP194" s="407">
        <v>11</v>
      </c>
      <c r="AQ194" s="407">
        <v>29</v>
      </c>
      <c r="AR194" s="407">
        <v>22</v>
      </c>
      <c r="AS194" s="407">
        <v>15</v>
      </c>
      <c r="AT194" s="407">
        <v>37</v>
      </c>
    </row>
    <row r="195" spans="35:46" ht="14.5" hidden="1" x14ac:dyDescent="0.35">
      <c r="AI195" s="405" t="s">
        <v>467</v>
      </c>
      <c r="AJ195" s="405" t="s">
        <v>86</v>
      </c>
      <c r="AM195" s="407" t="s">
        <v>448</v>
      </c>
      <c r="AN195" s="407" t="s">
        <v>449</v>
      </c>
      <c r="AO195" s="407">
        <v>13</v>
      </c>
      <c r="AP195" s="407">
        <v>0</v>
      </c>
      <c r="AQ195" s="407">
        <v>13</v>
      </c>
      <c r="AR195" s="407">
        <v>15</v>
      </c>
      <c r="AS195" s="407">
        <v>3</v>
      </c>
      <c r="AT195" s="407">
        <v>18</v>
      </c>
    </row>
    <row r="196" spans="35:46" ht="14.5" hidden="1" x14ac:dyDescent="0.35">
      <c r="AI196" s="405" t="s">
        <v>469</v>
      </c>
      <c r="AJ196" s="405" t="s">
        <v>83</v>
      </c>
      <c r="AM196" s="407" t="s">
        <v>450</v>
      </c>
      <c r="AN196" s="407" t="s">
        <v>451</v>
      </c>
      <c r="AO196" s="407">
        <v>13</v>
      </c>
      <c r="AP196" s="407">
        <v>2</v>
      </c>
      <c r="AQ196" s="407">
        <v>15</v>
      </c>
      <c r="AR196" s="407">
        <v>21</v>
      </c>
      <c r="AS196" s="407">
        <v>4</v>
      </c>
      <c r="AT196" s="407">
        <v>25</v>
      </c>
    </row>
    <row r="197" spans="35:46" ht="14.5" hidden="1" x14ac:dyDescent="0.35">
      <c r="AI197" s="405" t="s">
        <v>471</v>
      </c>
      <c r="AJ197" s="405" t="s">
        <v>88</v>
      </c>
      <c r="AM197" s="407" t="s">
        <v>452</v>
      </c>
      <c r="AN197" s="407" t="s">
        <v>453</v>
      </c>
      <c r="AO197" s="407">
        <v>20</v>
      </c>
      <c r="AP197" s="407">
        <v>15</v>
      </c>
      <c r="AQ197" s="407">
        <v>35</v>
      </c>
      <c r="AR197" s="407">
        <v>22</v>
      </c>
      <c r="AS197" s="407">
        <v>15</v>
      </c>
      <c r="AT197" s="407">
        <v>37</v>
      </c>
    </row>
    <row r="198" spans="35:46" ht="14.5" hidden="1" x14ac:dyDescent="0.35">
      <c r="AI198" s="405" t="s">
        <v>473</v>
      </c>
      <c r="AJ198" s="405" t="s">
        <v>87</v>
      </c>
      <c r="AM198" s="407" t="s">
        <v>454</v>
      </c>
      <c r="AN198" s="407" t="s">
        <v>455</v>
      </c>
      <c r="AO198" s="407">
        <v>21</v>
      </c>
      <c r="AP198" s="407">
        <v>11</v>
      </c>
      <c r="AQ198" s="407">
        <v>32</v>
      </c>
      <c r="AR198" s="407">
        <v>23</v>
      </c>
      <c r="AS198" s="407">
        <v>8</v>
      </c>
      <c r="AT198" s="407">
        <v>31</v>
      </c>
    </row>
    <row r="199" spans="35:46" ht="14.5" hidden="1" x14ac:dyDescent="0.35">
      <c r="AI199" s="405" t="s">
        <v>475</v>
      </c>
      <c r="AJ199" s="405" t="s">
        <v>86</v>
      </c>
      <c r="AM199" s="407" t="s">
        <v>456</v>
      </c>
      <c r="AN199" s="407" t="s">
        <v>457</v>
      </c>
      <c r="AO199" s="407">
        <v>28</v>
      </c>
      <c r="AP199" s="407">
        <v>13</v>
      </c>
      <c r="AQ199" s="407">
        <v>41</v>
      </c>
      <c r="AR199" s="407">
        <v>30</v>
      </c>
      <c r="AS199" s="407">
        <v>13</v>
      </c>
      <c r="AT199" s="407">
        <v>43</v>
      </c>
    </row>
    <row r="200" spans="35:46" ht="14.5" hidden="1" x14ac:dyDescent="0.35">
      <c r="AI200" s="405" t="s">
        <v>477</v>
      </c>
      <c r="AJ200" s="405" t="s">
        <v>87</v>
      </c>
      <c r="AM200" s="407" t="s">
        <v>458</v>
      </c>
      <c r="AN200" s="407" t="s">
        <v>459</v>
      </c>
      <c r="AO200" s="407">
        <v>20</v>
      </c>
      <c r="AP200" s="407">
        <v>7</v>
      </c>
      <c r="AQ200" s="407">
        <v>27</v>
      </c>
      <c r="AR200" s="407">
        <v>28</v>
      </c>
      <c r="AS200" s="407">
        <v>8</v>
      </c>
      <c r="AT200" s="407">
        <v>36</v>
      </c>
    </row>
    <row r="201" spans="35:46" ht="14.5" hidden="1" x14ac:dyDescent="0.35">
      <c r="AI201" s="405" t="s">
        <v>479</v>
      </c>
      <c r="AJ201" s="405" t="s">
        <v>84</v>
      </c>
      <c r="AM201" s="407" t="s">
        <v>460</v>
      </c>
      <c r="AN201" s="407" t="s">
        <v>461</v>
      </c>
      <c r="AO201" s="407">
        <v>12</v>
      </c>
      <c r="AP201" s="407">
        <v>1</v>
      </c>
      <c r="AQ201" s="407">
        <v>13</v>
      </c>
      <c r="AR201" s="407">
        <v>15</v>
      </c>
      <c r="AS201" s="407">
        <v>5</v>
      </c>
      <c r="AT201" s="407">
        <v>20</v>
      </c>
    </row>
    <row r="202" spans="35:46" ht="14.5" hidden="1" x14ac:dyDescent="0.35">
      <c r="AI202" s="405" t="s">
        <v>481</v>
      </c>
      <c r="AJ202" s="405" t="s">
        <v>85</v>
      </c>
      <c r="AM202" s="407" t="s">
        <v>462</v>
      </c>
      <c r="AN202" s="407" t="s">
        <v>463</v>
      </c>
      <c r="AO202" s="407">
        <v>15</v>
      </c>
      <c r="AP202" s="407">
        <v>4</v>
      </c>
      <c r="AQ202" s="407">
        <v>19</v>
      </c>
      <c r="AR202" s="407">
        <v>15</v>
      </c>
      <c r="AS202" s="407">
        <v>7</v>
      </c>
      <c r="AT202" s="407">
        <v>22</v>
      </c>
    </row>
    <row r="203" spans="35:46" ht="14.5" hidden="1" x14ac:dyDescent="0.35">
      <c r="AI203" s="405" t="s">
        <v>483</v>
      </c>
      <c r="AJ203" s="405" t="s">
        <v>89</v>
      </c>
      <c r="AM203" s="407" t="s">
        <v>464</v>
      </c>
      <c r="AN203" s="407" t="s">
        <v>465</v>
      </c>
      <c r="AO203" s="407">
        <v>24</v>
      </c>
      <c r="AP203" s="407">
        <v>4</v>
      </c>
      <c r="AQ203" s="407">
        <v>28</v>
      </c>
      <c r="AR203" s="407">
        <v>24</v>
      </c>
      <c r="AS203" s="407">
        <v>2</v>
      </c>
      <c r="AT203" s="407">
        <v>26</v>
      </c>
    </row>
    <row r="204" spans="35:46" ht="14.5" hidden="1" x14ac:dyDescent="0.35">
      <c r="AI204" s="405" t="s">
        <v>485</v>
      </c>
      <c r="AJ204" s="405" t="s">
        <v>87</v>
      </c>
      <c r="AM204" s="407" t="s">
        <v>466</v>
      </c>
      <c r="AN204" s="407" t="s">
        <v>467</v>
      </c>
      <c r="AO204" s="407">
        <v>17</v>
      </c>
      <c r="AP204" s="407">
        <v>5</v>
      </c>
      <c r="AQ204" s="407">
        <v>22</v>
      </c>
      <c r="AR204" s="407">
        <v>20</v>
      </c>
      <c r="AS204" s="407">
        <v>4</v>
      </c>
      <c r="AT204" s="407">
        <v>24</v>
      </c>
    </row>
    <row r="205" spans="35:46" ht="14.5" hidden="1" x14ac:dyDescent="0.35">
      <c r="AI205" s="405" t="s">
        <v>487</v>
      </c>
      <c r="AJ205" s="405" t="s">
        <v>86</v>
      </c>
      <c r="AM205" s="407" t="s">
        <v>468</v>
      </c>
      <c r="AN205" s="407" t="s">
        <v>469</v>
      </c>
      <c r="AO205" s="407">
        <v>23</v>
      </c>
      <c r="AP205" s="407">
        <v>3</v>
      </c>
      <c r="AQ205" s="407">
        <v>26</v>
      </c>
      <c r="AR205" s="407">
        <v>26</v>
      </c>
      <c r="AS205" s="407">
        <v>9</v>
      </c>
      <c r="AT205" s="407">
        <v>35</v>
      </c>
    </row>
    <row r="206" spans="35:46" ht="14.5" hidden="1" x14ac:dyDescent="0.35">
      <c r="AI206" s="405" t="s">
        <v>489</v>
      </c>
      <c r="AJ206" s="405" t="s">
        <v>84</v>
      </c>
      <c r="AM206" s="407" t="s">
        <v>470</v>
      </c>
      <c r="AN206" s="407" t="s">
        <v>471</v>
      </c>
      <c r="AO206" s="407">
        <v>22</v>
      </c>
      <c r="AP206" s="407">
        <v>4</v>
      </c>
      <c r="AQ206" s="407">
        <v>26</v>
      </c>
      <c r="AR206" s="407">
        <v>22</v>
      </c>
      <c r="AS206" s="407">
        <v>5</v>
      </c>
      <c r="AT206" s="407">
        <v>27</v>
      </c>
    </row>
    <row r="207" spans="35:46" ht="14.5" hidden="1" x14ac:dyDescent="0.35">
      <c r="AI207" s="405" t="s">
        <v>491</v>
      </c>
      <c r="AJ207" s="405" t="s">
        <v>792</v>
      </c>
      <c r="AM207" s="407" t="s">
        <v>472</v>
      </c>
      <c r="AN207" s="407" t="s">
        <v>473</v>
      </c>
      <c r="AO207" s="407">
        <v>24</v>
      </c>
      <c r="AP207" s="407">
        <v>10</v>
      </c>
      <c r="AQ207" s="407">
        <v>34</v>
      </c>
      <c r="AR207" s="407">
        <v>23</v>
      </c>
      <c r="AS207" s="407">
        <v>12</v>
      </c>
      <c r="AT207" s="407">
        <v>35</v>
      </c>
    </row>
    <row r="208" spans="35:46" ht="14.5" hidden="1" x14ac:dyDescent="0.35">
      <c r="AI208" s="405" t="s">
        <v>493</v>
      </c>
      <c r="AJ208" s="405" t="s">
        <v>86</v>
      </c>
      <c r="AM208" s="407" t="s">
        <v>474</v>
      </c>
      <c r="AN208" s="407" t="s">
        <v>475</v>
      </c>
      <c r="AO208" s="407">
        <v>19</v>
      </c>
      <c r="AP208" s="407">
        <v>6</v>
      </c>
      <c r="AQ208" s="407">
        <v>25</v>
      </c>
      <c r="AR208" s="407">
        <v>23</v>
      </c>
      <c r="AS208" s="407">
        <v>11</v>
      </c>
      <c r="AT208" s="407">
        <v>34</v>
      </c>
    </row>
    <row r="209" spans="35:46" ht="14.5" hidden="1" x14ac:dyDescent="0.35">
      <c r="AI209" s="405" t="s">
        <v>495</v>
      </c>
      <c r="AJ209" s="405" t="s">
        <v>83</v>
      </c>
      <c r="AM209" s="407" t="s">
        <v>476</v>
      </c>
      <c r="AN209" s="407" t="s">
        <v>477</v>
      </c>
      <c r="AO209" s="407">
        <v>27</v>
      </c>
      <c r="AP209" s="407">
        <v>7</v>
      </c>
      <c r="AQ209" s="407">
        <v>34</v>
      </c>
      <c r="AR209" s="407">
        <v>30</v>
      </c>
      <c r="AS209" s="407">
        <v>10</v>
      </c>
      <c r="AT209" s="407">
        <v>40</v>
      </c>
    </row>
    <row r="210" spans="35:46" ht="14.5" hidden="1" x14ac:dyDescent="0.35">
      <c r="AI210" s="405" t="s">
        <v>497</v>
      </c>
      <c r="AJ210" s="405" t="s">
        <v>86</v>
      </c>
      <c r="AM210" s="407" t="s">
        <v>478</v>
      </c>
      <c r="AN210" s="407" t="s">
        <v>479</v>
      </c>
      <c r="AO210" s="407">
        <v>32</v>
      </c>
      <c r="AP210" s="407">
        <v>4</v>
      </c>
      <c r="AQ210" s="407">
        <v>36</v>
      </c>
      <c r="AR210" s="407">
        <v>31</v>
      </c>
      <c r="AS210" s="407">
        <v>5</v>
      </c>
      <c r="AT210" s="407">
        <v>36</v>
      </c>
    </row>
    <row r="211" spans="35:46" ht="14.5" hidden="1" x14ac:dyDescent="0.35">
      <c r="AI211" s="405" t="s">
        <v>499</v>
      </c>
      <c r="AJ211" s="405" t="s">
        <v>87</v>
      </c>
      <c r="AM211" s="407" t="s">
        <v>480</v>
      </c>
      <c r="AN211" s="407" t="s">
        <v>481</v>
      </c>
      <c r="AO211" s="407">
        <v>17</v>
      </c>
      <c r="AP211" s="407">
        <v>5</v>
      </c>
      <c r="AQ211" s="407">
        <v>22</v>
      </c>
      <c r="AR211" s="407">
        <v>18</v>
      </c>
      <c r="AS211" s="407">
        <v>6</v>
      </c>
      <c r="AT211" s="407">
        <v>24</v>
      </c>
    </row>
    <row r="212" spans="35:46" ht="14.5" hidden="1" x14ac:dyDescent="0.35">
      <c r="AI212" s="405" t="s">
        <v>501</v>
      </c>
      <c r="AJ212" s="405" t="s">
        <v>792</v>
      </c>
      <c r="AM212" s="407" t="s">
        <v>482</v>
      </c>
      <c r="AN212" s="407" t="s">
        <v>483</v>
      </c>
      <c r="AO212" s="407">
        <v>19</v>
      </c>
      <c r="AP212" s="407">
        <v>6</v>
      </c>
      <c r="AQ212" s="407">
        <v>25</v>
      </c>
      <c r="AR212" s="407">
        <v>18</v>
      </c>
      <c r="AS212" s="407">
        <v>4</v>
      </c>
      <c r="AT212" s="407">
        <v>22</v>
      </c>
    </row>
    <row r="213" spans="35:46" ht="14.5" hidden="1" x14ac:dyDescent="0.35">
      <c r="AI213" s="405" t="s">
        <v>503</v>
      </c>
      <c r="AJ213" s="405" t="s">
        <v>89</v>
      </c>
      <c r="AM213" s="407" t="s">
        <v>484</v>
      </c>
      <c r="AN213" s="407" t="s">
        <v>485</v>
      </c>
      <c r="AO213" s="407">
        <v>29</v>
      </c>
      <c r="AP213" s="407">
        <v>7</v>
      </c>
      <c r="AQ213" s="407">
        <v>36</v>
      </c>
      <c r="AR213" s="407">
        <v>27</v>
      </c>
      <c r="AS213" s="407">
        <v>7</v>
      </c>
      <c r="AT213" s="407">
        <v>34</v>
      </c>
    </row>
    <row r="214" spans="35:46" ht="14.5" hidden="1" x14ac:dyDescent="0.35">
      <c r="AI214" s="405" t="s">
        <v>505</v>
      </c>
      <c r="AJ214" s="405" t="s">
        <v>87</v>
      </c>
      <c r="AM214" s="407" t="s">
        <v>486</v>
      </c>
      <c r="AN214" s="407" t="s">
        <v>487</v>
      </c>
      <c r="AO214" s="407">
        <v>18</v>
      </c>
      <c r="AP214" s="407">
        <v>4</v>
      </c>
      <c r="AQ214" s="407">
        <v>22</v>
      </c>
      <c r="AR214" s="407">
        <v>19</v>
      </c>
      <c r="AS214" s="407">
        <v>4</v>
      </c>
      <c r="AT214" s="407">
        <v>23</v>
      </c>
    </row>
    <row r="215" spans="35:46" ht="14.5" hidden="1" x14ac:dyDescent="0.35">
      <c r="AI215" s="405" t="s">
        <v>507</v>
      </c>
      <c r="AJ215" s="405" t="s">
        <v>82</v>
      </c>
      <c r="AM215" s="407" t="s">
        <v>488</v>
      </c>
      <c r="AN215" s="407" t="s">
        <v>489</v>
      </c>
      <c r="AO215" s="407">
        <v>26</v>
      </c>
      <c r="AP215" s="407">
        <v>9</v>
      </c>
      <c r="AQ215" s="407">
        <v>35</v>
      </c>
      <c r="AR215" s="407">
        <v>24</v>
      </c>
      <c r="AS215" s="407">
        <v>6</v>
      </c>
      <c r="AT215" s="407">
        <v>30</v>
      </c>
    </row>
    <row r="216" spans="35:46" ht="14.5" hidden="1" x14ac:dyDescent="0.35">
      <c r="AI216" s="405" t="s">
        <v>509</v>
      </c>
      <c r="AJ216" s="405" t="s">
        <v>87</v>
      </c>
      <c r="AM216" s="407" t="s">
        <v>490</v>
      </c>
      <c r="AN216" s="407" t="s">
        <v>491</v>
      </c>
      <c r="AO216" s="407">
        <v>12</v>
      </c>
      <c r="AP216" s="407">
        <v>2</v>
      </c>
      <c r="AQ216" s="407">
        <v>14</v>
      </c>
      <c r="AR216" s="407">
        <v>12</v>
      </c>
      <c r="AS216" s="407">
        <v>1</v>
      </c>
      <c r="AT216" s="407">
        <v>13</v>
      </c>
    </row>
    <row r="217" spans="35:46" ht="14.5" hidden="1" x14ac:dyDescent="0.35">
      <c r="AI217" s="405" t="s">
        <v>511</v>
      </c>
      <c r="AJ217" s="405" t="s">
        <v>82</v>
      </c>
      <c r="AM217" s="407" t="s">
        <v>492</v>
      </c>
      <c r="AN217" s="407" t="s">
        <v>493</v>
      </c>
      <c r="AO217" s="407">
        <v>18</v>
      </c>
      <c r="AP217" s="407">
        <v>6</v>
      </c>
      <c r="AQ217" s="407">
        <v>24</v>
      </c>
      <c r="AR217" s="407">
        <v>22</v>
      </c>
      <c r="AS217" s="407">
        <v>11</v>
      </c>
      <c r="AT217" s="407">
        <v>33</v>
      </c>
    </row>
    <row r="218" spans="35:46" ht="14.5" hidden="1" x14ac:dyDescent="0.35">
      <c r="AI218" s="405" t="s">
        <v>513</v>
      </c>
      <c r="AJ218" s="405" t="s">
        <v>792</v>
      </c>
      <c r="AM218" s="407" t="s">
        <v>494</v>
      </c>
      <c r="AN218" s="407" t="s">
        <v>495</v>
      </c>
      <c r="AO218" s="407">
        <v>17</v>
      </c>
      <c r="AP218" s="407">
        <v>1</v>
      </c>
      <c r="AQ218" s="407">
        <v>18</v>
      </c>
      <c r="AR218" s="407">
        <v>16</v>
      </c>
      <c r="AS218" s="407">
        <v>2</v>
      </c>
      <c r="AT218" s="407">
        <v>18</v>
      </c>
    </row>
    <row r="219" spans="35:46" ht="14.5" hidden="1" x14ac:dyDescent="0.35">
      <c r="AI219" s="405" t="s">
        <v>515</v>
      </c>
      <c r="AJ219" s="405" t="s">
        <v>86</v>
      </c>
      <c r="AM219" s="407" t="s">
        <v>496</v>
      </c>
      <c r="AN219" s="407" t="s">
        <v>497</v>
      </c>
      <c r="AO219" s="407">
        <v>15</v>
      </c>
      <c r="AP219" s="407">
        <v>4</v>
      </c>
      <c r="AQ219" s="407">
        <v>19</v>
      </c>
      <c r="AR219" s="407">
        <v>15</v>
      </c>
      <c r="AS219" s="407">
        <v>7</v>
      </c>
      <c r="AT219" s="407">
        <v>22</v>
      </c>
    </row>
    <row r="220" spans="35:46" ht="14.5" hidden="1" x14ac:dyDescent="0.35">
      <c r="AI220" s="405" t="s">
        <v>517</v>
      </c>
      <c r="AJ220" s="405" t="s">
        <v>89</v>
      </c>
      <c r="AM220" s="407" t="s">
        <v>498</v>
      </c>
      <c r="AN220" s="407" t="s">
        <v>499</v>
      </c>
      <c r="AO220" s="407">
        <v>15</v>
      </c>
      <c r="AP220" s="407">
        <v>5</v>
      </c>
      <c r="AQ220" s="407">
        <v>20</v>
      </c>
      <c r="AR220" s="407">
        <v>20</v>
      </c>
      <c r="AS220" s="407">
        <v>3</v>
      </c>
      <c r="AT220" s="407">
        <v>23</v>
      </c>
    </row>
    <row r="221" spans="35:46" ht="14.5" hidden="1" x14ac:dyDescent="0.35">
      <c r="AI221" s="405" t="s">
        <v>519</v>
      </c>
      <c r="AJ221" s="405" t="s">
        <v>792</v>
      </c>
      <c r="AM221" s="407" t="s">
        <v>500</v>
      </c>
      <c r="AN221" s="407" t="s">
        <v>501</v>
      </c>
      <c r="AO221" s="407">
        <v>23</v>
      </c>
      <c r="AP221" s="407">
        <v>5</v>
      </c>
      <c r="AQ221" s="407">
        <v>28</v>
      </c>
      <c r="AR221" s="407">
        <v>24</v>
      </c>
      <c r="AS221" s="407">
        <v>5</v>
      </c>
      <c r="AT221" s="407">
        <v>29</v>
      </c>
    </row>
    <row r="222" spans="35:46" ht="14.5" hidden="1" x14ac:dyDescent="0.35">
      <c r="AI222" s="405" t="s">
        <v>521</v>
      </c>
      <c r="AJ222" s="405" t="s">
        <v>88</v>
      </c>
      <c r="AM222" s="407" t="s">
        <v>502</v>
      </c>
      <c r="AN222" s="407" t="s">
        <v>503</v>
      </c>
      <c r="AO222" s="407">
        <v>20</v>
      </c>
      <c r="AP222" s="407">
        <v>4</v>
      </c>
      <c r="AQ222" s="407">
        <v>24</v>
      </c>
      <c r="AR222" s="407">
        <v>23</v>
      </c>
      <c r="AS222" s="407">
        <v>5</v>
      </c>
      <c r="AT222" s="407">
        <v>28</v>
      </c>
    </row>
    <row r="223" spans="35:46" ht="14.5" hidden="1" x14ac:dyDescent="0.35">
      <c r="AI223" s="405" t="s">
        <v>523</v>
      </c>
      <c r="AJ223" s="405" t="s">
        <v>86</v>
      </c>
      <c r="AM223" s="407" t="s">
        <v>504</v>
      </c>
      <c r="AN223" s="407" t="s">
        <v>505</v>
      </c>
      <c r="AO223" s="407">
        <v>17</v>
      </c>
      <c r="AP223" s="407">
        <v>4</v>
      </c>
      <c r="AQ223" s="407">
        <v>21</v>
      </c>
      <c r="AR223" s="407">
        <v>19</v>
      </c>
      <c r="AS223" s="407">
        <v>5</v>
      </c>
      <c r="AT223" s="407">
        <v>24</v>
      </c>
    </row>
    <row r="224" spans="35:46" ht="14.5" hidden="1" x14ac:dyDescent="0.35">
      <c r="AI224" s="405" t="s">
        <v>525</v>
      </c>
      <c r="AJ224" s="405" t="s">
        <v>792</v>
      </c>
      <c r="AM224" s="407" t="s">
        <v>506</v>
      </c>
      <c r="AN224" s="407" t="s">
        <v>507</v>
      </c>
      <c r="AO224" s="407">
        <v>17</v>
      </c>
      <c r="AP224" s="407">
        <v>2</v>
      </c>
      <c r="AQ224" s="407">
        <v>19</v>
      </c>
      <c r="AR224" s="407">
        <v>26</v>
      </c>
      <c r="AS224" s="407">
        <v>3</v>
      </c>
      <c r="AT224" s="407">
        <v>29</v>
      </c>
    </row>
    <row r="225" spans="35:46" ht="14.5" hidden="1" x14ac:dyDescent="0.35">
      <c r="AI225" s="405" t="s">
        <v>527</v>
      </c>
      <c r="AJ225" s="405" t="s">
        <v>87</v>
      </c>
      <c r="AM225" s="407" t="s">
        <v>508</v>
      </c>
      <c r="AN225" s="407" t="s">
        <v>509</v>
      </c>
      <c r="AO225" s="407">
        <v>24</v>
      </c>
      <c r="AP225" s="407">
        <v>1</v>
      </c>
      <c r="AQ225" s="407">
        <v>25</v>
      </c>
      <c r="AR225" s="407">
        <v>23</v>
      </c>
      <c r="AS225" s="407">
        <v>6</v>
      </c>
      <c r="AT225" s="407">
        <v>29</v>
      </c>
    </row>
    <row r="226" spans="35:46" ht="14.5" hidden="1" x14ac:dyDescent="0.35">
      <c r="AI226" s="405" t="s">
        <v>529</v>
      </c>
      <c r="AJ226" s="405" t="s">
        <v>792</v>
      </c>
      <c r="AM226" s="407" t="s">
        <v>510</v>
      </c>
      <c r="AN226" s="407" t="s">
        <v>511</v>
      </c>
      <c r="AO226" s="407">
        <v>12</v>
      </c>
      <c r="AP226" s="407">
        <v>2</v>
      </c>
      <c r="AQ226" s="407">
        <v>14</v>
      </c>
      <c r="AR226" s="407">
        <v>12</v>
      </c>
      <c r="AS226" s="407">
        <v>2</v>
      </c>
      <c r="AT226" s="407">
        <v>14</v>
      </c>
    </row>
    <row r="227" spans="35:46" ht="14.5" hidden="1" x14ac:dyDescent="0.35">
      <c r="AI227" s="405" t="s">
        <v>531</v>
      </c>
      <c r="AJ227" s="405" t="s">
        <v>89</v>
      </c>
      <c r="AM227" s="407" t="s">
        <v>512</v>
      </c>
      <c r="AN227" s="407" t="s">
        <v>513</v>
      </c>
      <c r="AO227" s="407">
        <v>11</v>
      </c>
      <c r="AP227" s="407">
        <v>4</v>
      </c>
      <c r="AQ227" s="407">
        <v>15</v>
      </c>
      <c r="AR227" s="407">
        <v>14</v>
      </c>
      <c r="AS227" s="407">
        <v>3</v>
      </c>
      <c r="AT227" s="407">
        <v>17</v>
      </c>
    </row>
    <row r="228" spans="35:46" ht="14.5" hidden="1" x14ac:dyDescent="0.35">
      <c r="AI228" s="405" t="s">
        <v>533</v>
      </c>
      <c r="AJ228" s="405" t="s">
        <v>87</v>
      </c>
      <c r="AM228" s="407" t="s">
        <v>514</v>
      </c>
      <c r="AN228" s="407" t="s">
        <v>515</v>
      </c>
      <c r="AO228" s="407">
        <v>26</v>
      </c>
      <c r="AP228" s="407">
        <v>8</v>
      </c>
      <c r="AQ228" s="407">
        <v>34</v>
      </c>
      <c r="AR228" s="407">
        <v>25</v>
      </c>
      <c r="AS228" s="407">
        <v>11</v>
      </c>
      <c r="AT228" s="407">
        <v>36</v>
      </c>
    </row>
    <row r="229" spans="35:46" ht="14.5" hidden="1" x14ac:dyDescent="0.35">
      <c r="AI229" s="405" t="s">
        <v>535</v>
      </c>
      <c r="AJ229" s="405" t="s">
        <v>89</v>
      </c>
      <c r="AM229" s="407" t="s">
        <v>516</v>
      </c>
      <c r="AN229" s="407" t="s">
        <v>517</v>
      </c>
      <c r="AO229" s="407">
        <v>24</v>
      </c>
      <c r="AP229" s="407">
        <v>6</v>
      </c>
      <c r="AQ229" s="407">
        <v>30</v>
      </c>
      <c r="AR229" s="407">
        <v>25</v>
      </c>
      <c r="AS229" s="407">
        <v>8</v>
      </c>
      <c r="AT229" s="407">
        <v>33</v>
      </c>
    </row>
    <row r="230" spans="35:46" ht="14.5" hidden="1" x14ac:dyDescent="0.35">
      <c r="AI230" s="405" t="s">
        <v>537</v>
      </c>
      <c r="AJ230" s="405" t="s">
        <v>88</v>
      </c>
      <c r="AM230" s="407" t="s">
        <v>518</v>
      </c>
      <c r="AN230" s="407" t="s">
        <v>519</v>
      </c>
      <c r="AO230" s="407">
        <v>21</v>
      </c>
      <c r="AP230" s="407">
        <v>4</v>
      </c>
      <c r="AQ230" s="407">
        <v>25</v>
      </c>
      <c r="AR230" s="407">
        <v>23</v>
      </c>
      <c r="AS230" s="407">
        <v>7</v>
      </c>
      <c r="AT230" s="407">
        <v>30</v>
      </c>
    </row>
    <row r="231" spans="35:46" ht="14.5" hidden="1" x14ac:dyDescent="0.35">
      <c r="AI231" s="405" t="s">
        <v>539</v>
      </c>
      <c r="AJ231" s="405" t="s">
        <v>83</v>
      </c>
      <c r="AM231" s="407" t="s">
        <v>520</v>
      </c>
      <c r="AN231" s="407" t="s">
        <v>521</v>
      </c>
      <c r="AO231" s="407">
        <v>16</v>
      </c>
      <c r="AP231" s="407">
        <v>9</v>
      </c>
      <c r="AQ231" s="407">
        <v>25</v>
      </c>
      <c r="AR231" s="407">
        <v>21</v>
      </c>
      <c r="AS231" s="407">
        <v>10</v>
      </c>
      <c r="AT231" s="407">
        <v>31</v>
      </c>
    </row>
    <row r="232" spans="35:46" ht="12.65" hidden="1" customHeight="1" x14ac:dyDescent="0.35">
      <c r="AI232" s="405" t="s">
        <v>541</v>
      </c>
      <c r="AJ232" s="405" t="s">
        <v>82</v>
      </c>
      <c r="AM232" s="407" t="s">
        <v>522</v>
      </c>
      <c r="AN232" s="407" t="s">
        <v>523</v>
      </c>
      <c r="AO232" s="407">
        <v>23</v>
      </c>
      <c r="AP232" s="407">
        <v>9</v>
      </c>
      <c r="AQ232" s="407">
        <v>32</v>
      </c>
      <c r="AR232" s="407">
        <v>19</v>
      </c>
      <c r="AS232" s="407">
        <v>12</v>
      </c>
      <c r="AT232" s="407">
        <v>31</v>
      </c>
    </row>
    <row r="233" spans="35:46" ht="12.65" hidden="1" customHeight="1" x14ac:dyDescent="0.35">
      <c r="AI233" s="405" t="s">
        <v>543</v>
      </c>
      <c r="AJ233" s="405" t="s">
        <v>88</v>
      </c>
      <c r="AM233" s="407" t="s">
        <v>524</v>
      </c>
      <c r="AN233" s="407" t="s">
        <v>525</v>
      </c>
      <c r="AO233" s="407">
        <v>18</v>
      </c>
      <c r="AP233" s="407">
        <v>1</v>
      </c>
      <c r="AQ233" s="407">
        <v>19</v>
      </c>
      <c r="AR233" s="407">
        <v>23</v>
      </c>
      <c r="AS233" s="407">
        <v>2</v>
      </c>
      <c r="AT233" s="407">
        <v>25</v>
      </c>
    </row>
    <row r="234" spans="35:46" ht="12.65" hidden="1" customHeight="1" x14ac:dyDescent="0.35">
      <c r="AI234" s="405" t="s">
        <v>545</v>
      </c>
      <c r="AJ234" s="405" t="s">
        <v>88</v>
      </c>
      <c r="AM234" s="407" t="s">
        <v>526</v>
      </c>
      <c r="AN234" s="407" t="s">
        <v>527</v>
      </c>
      <c r="AO234" s="407">
        <v>14</v>
      </c>
      <c r="AP234" s="407">
        <v>7</v>
      </c>
      <c r="AQ234" s="407">
        <v>21</v>
      </c>
      <c r="AR234" s="407">
        <v>19</v>
      </c>
      <c r="AS234" s="407">
        <v>6</v>
      </c>
      <c r="AT234" s="407">
        <v>25</v>
      </c>
    </row>
    <row r="235" spans="35:46" ht="12.65" hidden="1" customHeight="1" x14ac:dyDescent="0.35">
      <c r="AI235" s="405" t="s">
        <v>547</v>
      </c>
      <c r="AJ235" s="405" t="s">
        <v>82</v>
      </c>
      <c r="AM235" s="407" t="s">
        <v>528</v>
      </c>
      <c r="AN235" s="407" t="s">
        <v>529</v>
      </c>
      <c r="AO235" s="407">
        <v>30</v>
      </c>
      <c r="AP235" s="407">
        <v>14</v>
      </c>
      <c r="AQ235" s="407">
        <v>44</v>
      </c>
      <c r="AR235" s="407">
        <v>29</v>
      </c>
      <c r="AS235" s="407">
        <v>14</v>
      </c>
      <c r="AT235" s="407">
        <v>43</v>
      </c>
    </row>
    <row r="236" spans="35:46" ht="12.65" hidden="1" customHeight="1" x14ac:dyDescent="0.35">
      <c r="AI236" s="405" t="s">
        <v>549</v>
      </c>
      <c r="AJ236" s="405" t="s">
        <v>82</v>
      </c>
      <c r="AM236" s="407" t="s">
        <v>530</v>
      </c>
      <c r="AN236" s="407" t="s">
        <v>531</v>
      </c>
      <c r="AO236" s="407">
        <v>25</v>
      </c>
      <c r="AP236" s="407">
        <v>10</v>
      </c>
      <c r="AQ236" s="407">
        <v>35</v>
      </c>
      <c r="AR236" s="407">
        <v>25</v>
      </c>
      <c r="AS236" s="407">
        <v>9</v>
      </c>
      <c r="AT236" s="407">
        <v>34</v>
      </c>
    </row>
    <row r="237" spans="35:46" ht="12.65" hidden="1" customHeight="1" x14ac:dyDescent="0.35">
      <c r="AI237" s="405" t="s">
        <v>551</v>
      </c>
      <c r="AJ237" s="405" t="s">
        <v>86</v>
      </c>
      <c r="AM237" s="407" t="s">
        <v>532</v>
      </c>
      <c r="AN237" s="407" t="s">
        <v>533</v>
      </c>
      <c r="AO237" s="407">
        <v>28</v>
      </c>
      <c r="AP237" s="407">
        <v>8</v>
      </c>
      <c r="AQ237" s="407">
        <v>36</v>
      </c>
      <c r="AR237" s="407">
        <v>25</v>
      </c>
      <c r="AS237" s="407">
        <v>6</v>
      </c>
      <c r="AT237" s="407">
        <v>31</v>
      </c>
    </row>
    <row r="238" spans="35:46" ht="12.65" hidden="1" customHeight="1" x14ac:dyDescent="0.35">
      <c r="AI238" s="405" t="s">
        <v>553</v>
      </c>
      <c r="AJ238" s="405" t="s">
        <v>83</v>
      </c>
      <c r="AM238" s="407" t="s">
        <v>534</v>
      </c>
      <c r="AN238" s="407" t="s">
        <v>535</v>
      </c>
      <c r="AO238" s="407">
        <v>23</v>
      </c>
      <c r="AP238" s="407">
        <v>7</v>
      </c>
      <c r="AQ238" s="407">
        <v>30</v>
      </c>
      <c r="AR238" s="407">
        <v>21</v>
      </c>
      <c r="AS238" s="407">
        <v>12</v>
      </c>
      <c r="AT238" s="407">
        <v>33</v>
      </c>
    </row>
    <row r="239" spans="35:46" ht="12.65" hidden="1" customHeight="1" x14ac:dyDescent="0.35">
      <c r="AI239" s="405" t="s">
        <v>555</v>
      </c>
      <c r="AJ239" s="405" t="s">
        <v>87</v>
      </c>
      <c r="AM239" s="407" t="s">
        <v>536</v>
      </c>
      <c r="AN239" s="407" t="s">
        <v>537</v>
      </c>
      <c r="AO239" s="407">
        <v>0</v>
      </c>
      <c r="AP239" s="407">
        <v>0</v>
      </c>
      <c r="AQ239" s="407">
        <v>0</v>
      </c>
      <c r="AR239" s="407">
        <v>29</v>
      </c>
      <c r="AS239" s="407">
        <v>11</v>
      </c>
      <c r="AT239" s="407">
        <v>40</v>
      </c>
    </row>
    <row r="240" spans="35:46" ht="12.65" hidden="1" customHeight="1" x14ac:dyDescent="0.35">
      <c r="AI240" s="405" t="s">
        <v>557</v>
      </c>
      <c r="AJ240" s="405" t="s">
        <v>86</v>
      </c>
      <c r="AM240" s="407" t="s">
        <v>538</v>
      </c>
      <c r="AN240" s="407" t="s">
        <v>539</v>
      </c>
      <c r="AO240" s="407">
        <v>27</v>
      </c>
      <c r="AP240" s="407">
        <v>3</v>
      </c>
      <c r="AQ240" s="407">
        <v>30</v>
      </c>
      <c r="AR240" s="407">
        <v>32</v>
      </c>
      <c r="AS240" s="407">
        <v>2</v>
      </c>
      <c r="AT240" s="407">
        <v>34</v>
      </c>
    </row>
    <row r="241" spans="35:46" ht="12.65" hidden="1" customHeight="1" x14ac:dyDescent="0.35">
      <c r="AI241" s="405" t="s">
        <v>559</v>
      </c>
      <c r="AJ241" s="405" t="s">
        <v>88</v>
      </c>
      <c r="AM241" s="407" t="s">
        <v>540</v>
      </c>
      <c r="AN241" s="407" t="s">
        <v>541</v>
      </c>
      <c r="AO241" s="407">
        <v>12</v>
      </c>
      <c r="AP241" s="407">
        <v>4</v>
      </c>
      <c r="AQ241" s="407">
        <v>16</v>
      </c>
      <c r="AR241" s="407">
        <v>21</v>
      </c>
      <c r="AS241" s="407">
        <v>5</v>
      </c>
      <c r="AT241" s="407">
        <v>26</v>
      </c>
    </row>
    <row r="242" spans="35:46" ht="12.65" hidden="1" customHeight="1" x14ac:dyDescent="0.35">
      <c r="AI242" s="405" t="s">
        <v>561</v>
      </c>
      <c r="AJ242" s="405" t="s">
        <v>89</v>
      </c>
      <c r="AM242" s="407" t="s">
        <v>542</v>
      </c>
      <c r="AN242" s="407" t="s">
        <v>543</v>
      </c>
      <c r="AO242" s="407">
        <v>23</v>
      </c>
      <c r="AP242" s="407">
        <v>15</v>
      </c>
      <c r="AQ242" s="407">
        <v>38</v>
      </c>
      <c r="AR242" s="407">
        <v>24</v>
      </c>
      <c r="AS242" s="407">
        <v>13</v>
      </c>
      <c r="AT242" s="407">
        <v>37</v>
      </c>
    </row>
    <row r="243" spans="35:46" ht="12.65" hidden="1" customHeight="1" x14ac:dyDescent="0.35">
      <c r="AI243" s="405" t="s">
        <v>563</v>
      </c>
      <c r="AJ243" s="405" t="s">
        <v>85</v>
      </c>
      <c r="AM243" s="407" t="s">
        <v>544</v>
      </c>
      <c r="AN243" s="407" t="s">
        <v>545</v>
      </c>
      <c r="AO243" s="407">
        <v>13</v>
      </c>
      <c r="AP243" s="407">
        <v>6</v>
      </c>
      <c r="AQ243" s="407">
        <v>19</v>
      </c>
      <c r="AR243" s="407">
        <v>20</v>
      </c>
      <c r="AS243" s="407">
        <v>6</v>
      </c>
      <c r="AT243" s="407">
        <v>26</v>
      </c>
    </row>
    <row r="244" spans="35:46" ht="12.65" hidden="1" customHeight="1" x14ac:dyDescent="0.35">
      <c r="AI244" s="405" t="s">
        <v>565</v>
      </c>
      <c r="AJ244" s="405" t="s">
        <v>87</v>
      </c>
      <c r="AM244" s="407" t="s">
        <v>546</v>
      </c>
      <c r="AN244" s="407" t="s">
        <v>547</v>
      </c>
      <c r="AO244" s="407">
        <v>15</v>
      </c>
      <c r="AP244" s="407">
        <v>3</v>
      </c>
      <c r="AQ244" s="407">
        <v>18</v>
      </c>
      <c r="AR244" s="407">
        <v>18</v>
      </c>
      <c r="AS244" s="407">
        <v>3</v>
      </c>
      <c r="AT244" s="407">
        <v>21</v>
      </c>
    </row>
    <row r="245" spans="35:46" ht="12.65" hidden="1" customHeight="1" x14ac:dyDescent="0.35">
      <c r="AI245" s="405" t="s">
        <v>567</v>
      </c>
      <c r="AJ245" s="405" t="s">
        <v>83</v>
      </c>
      <c r="AM245" s="407" t="s">
        <v>548</v>
      </c>
      <c r="AN245" s="407" t="s">
        <v>549</v>
      </c>
      <c r="AO245" s="407">
        <v>29</v>
      </c>
      <c r="AP245" s="407">
        <v>5</v>
      </c>
      <c r="AQ245" s="407">
        <v>34</v>
      </c>
      <c r="AR245" s="407">
        <v>27</v>
      </c>
      <c r="AS245" s="407">
        <v>6</v>
      </c>
      <c r="AT245" s="407">
        <v>33</v>
      </c>
    </row>
    <row r="246" spans="35:46" ht="12.65" hidden="1" customHeight="1" x14ac:dyDescent="0.35">
      <c r="AI246" s="405" t="s">
        <v>569</v>
      </c>
      <c r="AJ246" s="405" t="s">
        <v>84</v>
      </c>
      <c r="AM246" s="407" t="s">
        <v>550</v>
      </c>
      <c r="AN246" s="407" t="s">
        <v>551</v>
      </c>
      <c r="AO246" s="407">
        <v>9</v>
      </c>
      <c r="AP246" s="407">
        <v>5</v>
      </c>
      <c r="AQ246" s="407">
        <v>14</v>
      </c>
      <c r="AR246" s="407">
        <v>11</v>
      </c>
      <c r="AS246" s="407">
        <v>7</v>
      </c>
      <c r="AT246" s="407">
        <v>18</v>
      </c>
    </row>
    <row r="247" spans="35:46" ht="12.65" hidden="1" customHeight="1" x14ac:dyDescent="0.35">
      <c r="AI247" s="405" t="s">
        <v>571</v>
      </c>
      <c r="AJ247" s="405" t="s">
        <v>87</v>
      </c>
      <c r="AM247" s="407" t="s">
        <v>552</v>
      </c>
      <c r="AN247" s="407" t="s">
        <v>553</v>
      </c>
      <c r="AO247" s="407">
        <v>19</v>
      </c>
      <c r="AP247" s="407">
        <v>1</v>
      </c>
      <c r="AQ247" s="407">
        <v>20</v>
      </c>
      <c r="AR247" s="407">
        <v>22</v>
      </c>
      <c r="AS247" s="407">
        <v>2</v>
      </c>
      <c r="AT247" s="407">
        <v>24</v>
      </c>
    </row>
    <row r="248" spans="35:46" ht="12.65" hidden="1" customHeight="1" x14ac:dyDescent="0.35">
      <c r="AI248" s="405" t="s">
        <v>573</v>
      </c>
      <c r="AJ248" s="405" t="s">
        <v>83</v>
      </c>
      <c r="AM248" s="407" t="s">
        <v>554</v>
      </c>
      <c r="AN248" s="407" t="s">
        <v>555</v>
      </c>
      <c r="AO248" s="407">
        <v>20</v>
      </c>
      <c r="AP248" s="407">
        <v>8</v>
      </c>
      <c r="AQ248" s="407">
        <v>28</v>
      </c>
      <c r="AR248" s="407">
        <v>30</v>
      </c>
      <c r="AS248" s="407">
        <v>9</v>
      </c>
      <c r="AT248" s="407">
        <v>39</v>
      </c>
    </row>
    <row r="249" spans="35:46" ht="12.65" hidden="1" customHeight="1" x14ac:dyDescent="0.35">
      <c r="AI249" s="405" t="s">
        <v>575</v>
      </c>
      <c r="AJ249" s="405" t="s">
        <v>86</v>
      </c>
      <c r="AM249" s="407" t="s">
        <v>556</v>
      </c>
      <c r="AN249" s="407" t="s">
        <v>557</v>
      </c>
      <c r="AO249" s="407">
        <v>14</v>
      </c>
      <c r="AP249" s="407">
        <v>3</v>
      </c>
      <c r="AQ249" s="407">
        <v>17</v>
      </c>
      <c r="AR249" s="407">
        <v>18</v>
      </c>
      <c r="AS249" s="407">
        <v>8</v>
      </c>
      <c r="AT249" s="407">
        <v>26</v>
      </c>
    </row>
    <row r="250" spans="35:46" ht="12.65" hidden="1" customHeight="1" x14ac:dyDescent="0.35">
      <c r="AI250" s="405" t="s">
        <v>577</v>
      </c>
      <c r="AJ250" s="405" t="s">
        <v>89</v>
      </c>
      <c r="AM250" s="407" t="s">
        <v>558</v>
      </c>
      <c r="AN250" s="407" t="s">
        <v>559</v>
      </c>
      <c r="AO250" s="407">
        <v>21</v>
      </c>
      <c r="AP250" s="407">
        <v>4</v>
      </c>
      <c r="AQ250" s="407">
        <v>25</v>
      </c>
      <c r="AR250" s="407">
        <v>27</v>
      </c>
      <c r="AS250" s="407">
        <v>8</v>
      </c>
      <c r="AT250" s="407">
        <v>35</v>
      </c>
    </row>
    <row r="251" spans="35:46" ht="12.65" hidden="1" customHeight="1" x14ac:dyDescent="0.35">
      <c r="AI251" s="405" t="s">
        <v>579</v>
      </c>
      <c r="AJ251" s="405" t="s">
        <v>89</v>
      </c>
      <c r="AM251" s="407" t="s">
        <v>560</v>
      </c>
      <c r="AN251" s="407" t="s">
        <v>561</v>
      </c>
      <c r="AO251" s="407">
        <v>12</v>
      </c>
      <c r="AP251" s="407">
        <v>1</v>
      </c>
      <c r="AQ251" s="407">
        <v>13</v>
      </c>
      <c r="AR251" s="407">
        <v>14</v>
      </c>
      <c r="AS251" s="407">
        <v>2</v>
      </c>
      <c r="AT251" s="407">
        <v>16</v>
      </c>
    </row>
    <row r="252" spans="35:46" ht="12.65" hidden="1" customHeight="1" x14ac:dyDescent="0.35">
      <c r="AI252" s="405" t="s">
        <v>581</v>
      </c>
      <c r="AJ252" s="405" t="s">
        <v>83</v>
      </c>
      <c r="AM252" s="407" t="s">
        <v>562</v>
      </c>
      <c r="AN252" s="407" t="s">
        <v>563</v>
      </c>
      <c r="AO252" s="407">
        <v>17</v>
      </c>
      <c r="AP252" s="407">
        <v>7</v>
      </c>
      <c r="AQ252" s="407">
        <v>24</v>
      </c>
      <c r="AR252" s="407">
        <v>17</v>
      </c>
      <c r="AS252" s="407">
        <v>9</v>
      </c>
      <c r="AT252" s="407">
        <v>26</v>
      </c>
    </row>
    <row r="253" spans="35:46" ht="12.65" hidden="1" customHeight="1" x14ac:dyDescent="0.35">
      <c r="AI253" s="405" t="s">
        <v>583</v>
      </c>
      <c r="AJ253" s="405" t="s">
        <v>86</v>
      </c>
      <c r="AM253" s="407" t="s">
        <v>564</v>
      </c>
      <c r="AN253" s="407" t="s">
        <v>565</v>
      </c>
      <c r="AO253" s="407">
        <v>29</v>
      </c>
      <c r="AP253" s="407">
        <v>9</v>
      </c>
      <c r="AQ253" s="407">
        <v>38</v>
      </c>
      <c r="AR253" s="407">
        <v>30</v>
      </c>
      <c r="AS253" s="407">
        <v>8</v>
      </c>
      <c r="AT253" s="407">
        <v>38</v>
      </c>
    </row>
    <row r="254" spans="35:46" ht="12.65" hidden="1" customHeight="1" x14ac:dyDescent="0.35">
      <c r="AI254" s="405" t="s">
        <v>585</v>
      </c>
      <c r="AJ254" s="405" t="s">
        <v>85</v>
      </c>
      <c r="AM254" s="407" t="s">
        <v>566</v>
      </c>
      <c r="AN254" s="407" t="s">
        <v>567</v>
      </c>
      <c r="AO254" s="407">
        <v>26</v>
      </c>
      <c r="AP254" s="407">
        <v>6</v>
      </c>
      <c r="AQ254" s="407">
        <v>32</v>
      </c>
      <c r="AR254" s="407">
        <v>27</v>
      </c>
      <c r="AS254" s="407">
        <v>9</v>
      </c>
      <c r="AT254" s="407">
        <v>36</v>
      </c>
    </row>
    <row r="255" spans="35:46" ht="12.65" hidden="1" customHeight="1" x14ac:dyDescent="0.35">
      <c r="AI255" s="405" t="s">
        <v>587</v>
      </c>
      <c r="AJ255" s="405" t="s">
        <v>89</v>
      </c>
      <c r="AM255" s="407" t="s">
        <v>568</v>
      </c>
      <c r="AN255" s="407" t="s">
        <v>569</v>
      </c>
      <c r="AO255" s="407">
        <v>33</v>
      </c>
      <c r="AP255" s="407">
        <v>30</v>
      </c>
      <c r="AQ255" s="407">
        <v>63</v>
      </c>
      <c r="AR255" s="407">
        <v>31</v>
      </c>
      <c r="AS255" s="407">
        <v>31</v>
      </c>
      <c r="AT255" s="407">
        <v>62</v>
      </c>
    </row>
    <row r="256" spans="35:46" ht="12.65" hidden="1" customHeight="1" x14ac:dyDescent="0.35">
      <c r="AI256" s="405" t="s">
        <v>589</v>
      </c>
      <c r="AJ256" s="405" t="s">
        <v>89</v>
      </c>
      <c r="AM256" s="407" t="s">
        <v>570</v>
      </c>
      <c r="AN256" s="407" t="s">
        <v>571</v>
      </c>
      <c r="AO256" s="407">
        <v>14</v>
      </c>
      <c r="AP256" s="407">
        <v>7</v>
      </c>
      <c r="AQ256" s="407">
        <v>21</v>
      </c>
      <c r="AR256" s="407">
        <v>12</v>
      </c>
      <c r="AS256" s="407">
        <v>4</v>
      </c>
      <c r="AT256" s="407">
        <v>16</v>
      </c>
    </row>
    <row r="257" spans="35:46" ht="12.65" hidden="1" customHeight="1" x14ac:dyDescent="0.35">
      <c r="AI257" s="405" t="s">
        <v>591</v>
      </c>
      <c r="AJ257" s="405" t="s">
        <v>88</v>
      </c>
      <c r="AM257" s="407" t="s">
        <v>572</v>
      </c>
      <c r="AN257" s="407" t="s">
        <v>573</v>
      </c>
      <c r="AO257" s="407">
        <v>18</v>
      </c>
      <c r="AP257" s="407">
        <v>5</v>
      </c>
      <c r="AQ257" s="407">
        <v>23</v>
      </c>
      <c r="AR257" s="407">
        <v>23</v>
      </c>
      <c r="AS257" s="407">
        <v>4</v>
      </c>
      <c r="AT257" s="407">
        <v>27</v>
      </c>
    </row>
    <row r="258" spans="35:46" ht="12.65" hidden="1" customHeight="1" x14ac:dyDescent="0.35">
      <c r="AI258" s="405" t="s">
        <v>593</v>
      </c>
      <c r="AJ258" s="405" t="s">
        <v>85</v>
      </c>
      <c r="AM258" s="407" t="s">
        <v>574</v>
      </c>
      <c r="AN258" s="407" t="s">
        <v>575</v>
      </c>
      <c r="AO258" s="407">
        <v>21</v>
      </c>
      <c r="AP258" s="407">
        <v>6</v>
      </c>
      <c r="AQ258" s="407">
        <v>27</v>
      </c>
      <c r="AR258" s="407">
        <v>28</v>
      </c>
      <c r="AS258" s="407">
        <v>4</v>
      </c>
      <c r="AT258" s="407">
        <v>32</v>
      </c>
    </row>
    <row r="259" spans="35:46" ht="12.65" hidden="1" customHeight="1" x14ac:dyDescent="0.35">
      <c r="AI259" s="405" t="s">
        <v>595</v>
      </c>
      <c r="AJ259" s="405" t="s">
        <v>87</v>
      </c>
      <c r="AM259" s="407" t="s">
        <v>576</v>
      </c>
      <c r="AN259" s="407" t="s">
        <v>577</v>
      </c>
      <c r="AO259" s="407">
        <v>19</v>
      </c>
      <c r="AP259" s="407">
        <v>3</v>
      </c>
      <c r="AQ259" s="407">
        <v>22</v>
      </c>
      <c r="AR259" s="407">
        <v>19</v>
      </c>
      <c r="AS259" s="407">
        <v>2</v>
      </c>
      <c r="AT259" s="407">
        <v>21</v>
      </c>
    </row>
    <row r="260" spans="35:46" ht="12.65" hidden="1" customHeight="1" x14ac:dyDescent="0.35">
      <c r="AI260" s="405" t="s">
        <v>597</v>
      </c>
      <c r="AJ260" s="405" t="s">
        <v>84</v>
      </c>
      <c r="AM260" s="407" t="s">
        <v>578</v>
      </c>
      <c r="AN260" s="407" t="s">
        <v>579</v>
      </c>
      <c r="AO260" s="407">
        <v>10</v>
      </c>
      <c r="AP260" s="407">
        <v>7</v>
      </c>
      <c r="AQ260" s="407">
        <v>17</v>
      </c>
      <c r="AR260" s="407">
        <v>18</v>
      </c>
      <c r="AS260" s="407">
        <v>5</v>
      </c>
      <c r="AT260" s="407">
        <v>23</v>
      </c>
    </row>
    <row r="261" spans="35:46" ht="12.65" hidden="1" customHeight="1" x14ac:dyDescent="0.35">
      <c r="AI261" s="405" t="s">
        <v>599</v>
      </c>
      <c r="AJ261" s="405" t="s">
        <v>87</v>
      </c>
      <c r="AM261" s="407" t="s">
        <v>580</v>
      </c>
      <c r="AN261" s="407" t="s">
        <v>581</v>
      </c>
      <c r="AO261" s="407">
        <v>24</v>
      </c>
      <c r="AP261" s="407">
        <v>4</v>
      </c>
      <c r="AQ261" s="407">
        <v>28</v>
      </c>
      <c r="AR261" s="407">
        <v>26</v>
      </c>
      <c r="AS261" s="407">
        <v>7</v>
      </c>
      <c r="AT261" s="407">
        <v>33</v>
      </c>
    </row>
    <row r="262" spans="35:46" ht="12.65" hidden="1" customHeight="1" x14ac:dyDescent="0.35">
      <c r="AI262" s="405" t="s">
        <v>601</v>
      </c>
      <c r="AJ262" s="405" t="s">
        <v>88</v>
      </c>
      <c r="AM262" s="407" t="s">
        <v>582</v>
      </c>
      <c r="AN262" s="407" t="s">
        <v>583</v>
      </c>
      <c r="AO262" s="407">
        <v>21</v>
      </c>
      <c r="AP262" s="407">
        <v>6</v>
      </c>
      <c r="AQ262" s="407">
        <v>27</v>
      </c>
      <c r="AR262" s="407">
        <v>25</v>
      </c>
      <c r="AS262" s="407">
        <v>8</v>
      </c>
      <c r="AT262" s="407">
        <v>33</v>
      </c>
    </row>
    <row r="263" spans="35:46" ht="12.65" hidden="1" customHeight="1" x14ac:dyDescent="0.35">
      <c r="AI263" s="405" t="s">
        <v>603</v>
      </c>
      <c r="AJ263" s="405" t="s">
        <v>86</v>
      </c>
      <c r="AM263" s="407" t="s">
        <v>584</v>
      </c>
      <c r="AN263" s="407" t="s">
        <v>585</v>
      </c>
      <c r="AO263" s="407">
        <v>17</v>
      </c>
      <c r="AP263" s="407">
        <v>2</v>
      </c>
      <c r="AQ263" s="407">
        <v>19</v>
      </c>
      <c r="AR263" s="407">
        <v>18</v>
      </c>
      <c r="AS263" s="407">
        <v>6</v>
      </c>
      <c r="AT263" s="407">
        <v>24</v>
      </c>
    </row>
    <row r="264" spans="35:46" ht="12.65" hidden="1" customHeight="1" x14ac:dyDescent="0.35">
      <c r="AI264" s="405" t="s">
        <v>605</v>
      </c>
      <c r="AJ264" s="405" t="s">
        <v>89</v>
      </c>
      <c r="AM264" s="407" t="s">
        <v>586</v>
      </c>
      <c r="AN264" s="407" t="s">
        <v>587</v>
      </c>
      <c r="AO264" s="407">
        <v>17</v>
      </c>
      <c r="AP264" s="407">
        <v>8</v>
      </c>
      <c r="AQ264" s="407">
        <v>25</v>
      </c>
      <c r="AR264" s="407">
        <v>18</v>
      </c>
      <c r="AS264" s="407">
        <v>11</v>
      </c>
      <c r="AT264" s="407">
        <v>29</v>
      </c>
    </row>
    <row r="265" spans="35:46" ht="12.65" hidden="1" customHeight="1" x14ac:dyDescent="0.35">
      <c r="AI265" s="405" t="s">
        <v>607</v>
      </c>
      <c r="AJ265" s="405" t="s">
        <v>87</v>
      </c>
      <c r="AM265" s="407" t="s">
        <v>588</v>
      </c>
      <c r="AN265" s="407" t="s">
        <v>589</v>
      </c>
      <c r="AO265" s="407">
        <v>12</v>
      </c>
      <c r="AP265" s="407">
        <v>6</v>
      </c>
      <c r="AQ265" s="407">
        <v>18</v>
      </c>
      <c r="AR265" s="407">
        <v>20</v>
      </c>
      <c r="AS265" s="407">
        <v>8</v>
      </c>
      <c r="AT265" s="407">
        <v>28</v>
      </c>
    </row>
    <row r="266" spans="35:46" ht="12.65" hidden="1" customHeight="1" x14ac:dyDescent="0.35">
      <c r="AI266" s="405" t="s">
        <v>609</v>
      </c>
      <c r="AJ266" s="405" t="s">
        <v>88</v>
      </c>
      <c r="AM266" s="407" t="s">
        <v>590</v>
      </c>
      <c r="AN266" s="407" t="s">
        <v>591</v>
      </c>
      <c r="AO266" s="407">
        <v>26</v>
      </c>
      <c r="AP266" s="407">
        <v>7</v>
      </c>
      <c r="AQ266" s="407">
        <v>33</v>
      </c>
      <c r="AR266" s="407">
        <v>29</v>
      </c>
      <c r="AS266" s="407">
        <v>15</v>
      </c>
      <c r="AT266" s="407">
        <v>44</v>
      </c>
    </row>
    <row r="267" spans="35:46" ht="12.65" hidden="1" customHeight="1" x14ac:dyDescent="0.35">
      <c r="AI267" s="405" t="s">
        <v>611</v>
      </c>
      <c r="AJ267" s="405" t="s">
        <v>89</v>
      </c>
      <c r="AM267" s="407" t="s">
        <v>592</v>
      </c>
      <c r="AN267" s="407" t="s">
        <v>593</v>
      </c>
      <c r="AO267" s="407">
        <v>19</v>
      </c>
      <c r="AP267" s="407">
        <v>12</v>
      </c>
      <c r="AQ267" s="407">
        <v>31</v>
      </c>
      <c r="AR267" s="407">
        <v>25</v>
      </c>
      <c r="AS267" s="407">
        <v>11</v>
      </c>
      <c r="AT267" s="407">
        <v>36</v>
      </c>
    </row>
    <row r="268" spans="35:46" ht="12.65" hidden="1" customHeight="1" x14ac:dyDescent="0.35">
      <c r="AI268" s="405" t="s">
        <v>613</v>
      </c>
      <c r="AJ268" s="405" t="s">
        <v>83</v>
      </c>
      <c r="AM268" s="407" t="s">
        <v>594</v>
      </c>
      <c r="AN268" s="407" t="s">
        <v>595</v>
      </c>
      <c r="AO268" s="407">
        <v>12</v>
      </c>
      <c r="AP268" s="407">
        <v>3</v>
      </c>
      <c r="AQ268" s="407">
        <v>15</v>
      </c>
      <c r="AR268" s="407">
        <v>17</v>
      </c>
      <c r="AS268" s="407">
        <v>7</v>
      </c>
      <c r="AT268" s="407">
        <v>24</v>
      </c>
    </row>
    <row r="269" spans="35:46" ht="12.65" hidden="1" customHeight="1" x14ac:dyDescent="0.35">
      <c r="AI269" s="405" t="s">
        <v>615</v>
      </c>
      <c r="AJ269" s="405" t="s">
        <v>87</v>
      </c>
      <c r="AM269" s="407" t="s">
        <v>596</v>
      </c>
      <c r="AN269" s="407" t="s">
        <v>597</v>
      </c>
      <c r="AO269" s="407">
        <v>30</v>
      </c>
      <c r="AP269" s="407">
        <v>8</v>
      </c>
      <c r="AQ269" s="407">
        <v>38</v>
      </c>
      <c r="AR269" s="407">
        <v>30</v>
      </c>
      <c r="AS269" s="407">
        <v>10</v>
      </c>
      <c r="AT269" s="407">
        <v>40</v>
      </c>
    </row>
    <row r="270" spans="35:46" ht="12.65" hidden="1" customHeight="1" x14ac:dyDescent="0.35">
      <c r="AI270" s="405" t="s">
        <v>617</v>
      </c>
      <c r="AJ270" s="405" t="s">
        <v>88</v>
      </c>
      <c r="AM270" s="407" t="s">
        <v>598</v>
      </c>
      <c r="AN270" s="407" t="s">
        <v>599</v>
      </c>
      <c r="AO270" s="407">
        <v>18</v>
      </c>
      <c r="AP270" s="407">
        <v>5</v>
      </c>
      <c r="AQ270" s="407">
        <v>23</v>
      </c>
      <c r="AR270" s="407">
        <v>23</v>
      </c>
      <c r="AS270" s="407">
        <v>7</v>
      </c>
      <c r="AT270" s="407">
        <v>30</v>
      </c>
    </row>
    <row r="271" spans="35:46" ht="12.65" hidden="1" customHeight="1" x14ac:dyDescent="0.35">
      <c r="AI271" s="405" t="s">
        <v>619</v>
      </c>
      <c r="AJ271" s="405" t="s">
        <v>87</v>
      </c>
      <c r="AM271" s="407" t="s">
        <v>600</v>
      </c>
      <c r="AN271" s="407" t="s">
        <v>601</v>
      </c>
      <c r="AO271" s="407">
        <v>30</v>
      </c>
      <c r="AP271" s="407">
        <v>6</v>
      </c>
      <c r="AQ271" s="407">
        <v>36</v>
      </c>
      <c r="AR271" s="407">
        <v>29</v>
      </c>
      <c r="AS271" s="407">
        <v>3</v>
      </c>
      <c r="AT271" s="407">
        <v>32</v>
      </c>
    </row>
    <row r="272" spans="35:46" ht="12.65" hidden="1" customHeight="1" x14ac:dyDescent="0.35">
      <c r="AI272" s="405" t="s">
        <v>621</v>
      </c>
      <c r="AJ272" s="405" t="s">
        <v>83</v>
      </c>
      <c r="AM272" s="407" t="s">
        <v>602</v>
      </c>
      <c r="AN272" s="407" t="s">
        <v>603</v>
      </c>
      <c r="AO272" s="407">
        <v>23</v>
      </c>
      <c r="AP272" s="407">
        <v>5</v>
      </c>
      <c r="AQ272" s="407">
        <v>28</v>
      </c>
      <c r="AR272" s="407">
        <v>21</v>
      </c>
      <c r="AS272" s="407">
        <v>9</v>
      </c>
      <c r="AT272" s="407">
        <v>30</v>
      </c>
    </row>
    <row r="273" spans="35:46" ht="12.65" hidden="1" customHeight="1" x14ac:dyDescent="0.35">
      <c r="AI273" s="405" t="s">
        <v>623</v>
      </c>
      <c r="AJ273" s="405" t="s">
        <v>83</v>
      </c>
      <c r="AM273" s="407" t="s">
        <v>604</v>
      </c>
      <c r="AN273" s="407" t="s">
        <v>605</v>
      </c>
      <c r="AO273" s="407">
        <v>17</v>
      </c>
      <c r="AP273" s="407">
        <v>1</v>
      </c>
      <c r="AQ273" s="407">
        <v>18</v>
      </c>
      <c r="AR273" s="407">
        <v>18</v>
      </c>
      <c r="AS273" s="407">
        <v>2</v>
      </c>
      <c r="AT273" s="407">
        <v>20</v>
      </c>
    </row>
    <row r="274" spans="35:46" ht="12.65" hidden="1" customHeight="1" x14ac:dyDescent="0.35">
      <c r="AI274" s="405" t="s">
        <v>625</v>
      </c>
      <c r="AJ274" s="405" t="s">
        <v>87</v>
      </c>
      <c r="AM274" s="407" t="s">
        <v>606</v>
      </c>
      <c r="AN274" s="407" t="s">
        <v>607</v>
      </c>
      <c r="AO274" s="407">
        <v>16</v>
      </c>
      <c r="AP274" s="407">
        <v>9</v>
      </c>
      <c r="AQ274" s="407">
        <v>25</v>
      </c>
      <c r="AR274" s="407">
        <v>21</v>
      </c>
      <c r="AS274" s="407">
        <v>8</v>
      </c>
      <c r="AT274" s="407">
        <v>29</v>
      </c>
    </row>
    <row r="275" spans="35:46" ht="12.65" hidden="1" customHeight="1" x14ac:dyDescent="0.35">
      <c r="AI275" s="405" t="s">
        <v>627</v>
      </c>
      <c r="AJ275" s="405" t="s">
        <v>88</v>
      </c>
      <c r="AM275" s="407" t="s">
        <v>608</v>
      </c>
      <c r="AN275" s="407" t="s">
        <v>609</v>
      </c>
      <c r="AO275" s="407">
        <v>20</v>
      </c>
      <c r="AP275" s="407">
        <v>3</v>
      </c>
      <c r="AQ275" s="407">
        <v>23</v>
      </c>
      <c r="AR275" s="407">
        <v>20</v>
      </c>
      <c r="AS275" s="407">
        <v>8</v>
      </c>
      <c r="AT275" s="407">
        <v>28</v>
      </c>
    </row>
    <row r="276" spans="35:46" ht="12.65" hidden="1" customHeight="1" x14ac:dyDescent="0.35">
      <c r="AI276" s="405" t="s">
        <v>629</v>
      </c>
      <c r="AJ276" s="405" t="s">
        <v>88</v>
      </c>
      <c r="AM276" s="407" t="s">
        <v>610</v>
      </c>
      <c r="AN276" s="407" t="s">
        <v>611</v>
      </c>
      <c r="AO276" s="407">
        <v>14</v>
      </c>
      <c r="AP276" s="407">
        <v>6</v>
      </c>
      <c r="AQ276" s="407">
        <v>20</v>
      </c>
      <c r="AR276" s="407">
        <v>20</v>
      </c>
      <c r="AS276" s="407">
        <v>9</v>
      </c>
      <c r="AT276" s="407">
        <v>29</v>
      </c>
    </row>
    <row r="277" spans="35:46" ht="12.65" hidden="1" customHeight="1" x14ac:dyDescent="0.35">
      <c r="AI277" s="405" t="s">
        <v>631</v>
      </c>
      <c r="AJ277" s="405" t="s">
        <v>84</v>
      </c>
      <c r="AM277" s="407" t="s">
        <v>612</v>
      </c>
      <c r="AN277" s="407" t="s">
        <v>613</v>
      </c>
      <c r="AO277" s="407">
        <v>29</v>
      </c>
      <c r="AP277" s="407">
        <v>2</v>
      </c>
      <c r="AQ277" s="407">
        <v>31</v>
      </c>
      <c r="AR277" s="407">
        <v>32</v>
      </c>
      <c r="AS277" s="407">
        <v>5</v>
      </c>
      <c r="AT277" s="407">
        <v>37</v>
      </c>
    </row>
    <row r="278" spans="35:46" ht="12.65" hidden="1" customHeight="1" x14ac:dyDescent="0.35">
      <c r="AI278" s="405" t="s">
        <v>633</v>
      </c>
      <c r="AJ278" s="405" t="s">
        <v>86</v>
      </c>
      <c r="AM278" s="407" t="s">
        <v>614</v>
      </c>
      <c r="AN278" s="407" t="s">
        <v>615</v>
      </c>
      <c r="AO278" s="407">
        <v>20</v>
      </c>
      <c r="AP278" s="407">
        <v>5</v>
      </c>
      <c r="AQ278" s="407">
        <v>25</v>
      </c>
      <c r="AR278" s="407">
        <v>23</v>
      </c>
      <c r="AS278" s="407">
        <v>6</v>
      </c>
      <c r="AT278" s="407">
        <v>29</v>
      </c>
    </row>
    <row r="279" spans="35:46" ht="12.65" hidden="1" customHeight="1" x14ac:dyDescent="0.35">
      <c r="AI279" s="405" t="s">
        <v>635</v>
      </c>
      <c r="AJ279" s="405" t="s">
        <v>87</v>
      </c>
      <c r="AM279" s="407" t="s">
        <v>616</v>
      </c>
      <c r="AN279" s="407" t="s">
        <v>617</v>
      </c>
      <c r="AO279" s="407">
        <v>20</v>
      </c>
      <c r="AP279" s="407">
        <v>1</v>
      </c>
      <c r="AQ279" s="407">
        <v>21</v>
      </c>
      <c r="AR279" s="407">
        <v>24</v>
      </c>
      <c r="AS279" s="407">
        <v>3</v>
      </c>
      <c r="AT279" s="407">
        <v>27</v>
      </c>
    </row>
    <row r="280" spans="35:46" ht="12.65" hidden="1" customHeight="1" x14ac:dyDescent="0.35">
      <c r="AI280" s="405" t="s">
        <v>637</v>
      </c>
      <c r="AJ280" s="405" t="s">
        <v>83</v>
      </c>
      <c r="AM280" s="407" t="s">
        <v>618</v>
      </c>
      <c r="AN280" s="407" t="s">
        <v>619</v>
      </c>
      <c r="AO280" s="407">
        <v>20</v>
      </c>
      <c r="AP280" s="407">
        <v>2</v>
      </c>
      <c r="AQ280" s="407">
        <v>22</v>
      </c>
      <c r="AR280" s="407">
        <v>21</v>
      </c>
      <c r="AS280" s="407">
        <v>5</v>
      </c>
      <c r="AT280" s="407">
        <v>26</v>
      </c>
    </row>
    <row r="281" spans="35:46" ht="12.65" hidden="1" customHeight="1" x14ac:dyDescent="0.35">
      <c r="AI281" s="405" t="s">
        <v>639</v>
      </c>
      <c r="AJ281" s="405" t="s">
        <v>87</v>
      </c>
      <c r="AM281" s="407" t="s">
        <v>620</v>
      </c>
      <c r="AN281" s="407" t="s">
        <v>621</v>
      </c>
      <c r="AO281" s="407">
        <v>26</v>
      </c>
      <c r="AP281" s="407">
        <v>3</v>
      </c>
      <c r="AQ281" s="407">
        <v>29</v>
      </c>
      <c r="AR281" s="407">
        <v>23</v>
      </c>
      <c r="AS281" s="407">
        <v>3</v>
      </c>
      <c r="AT281" s="407">
        <v>26</v>
      </c>
    </row>
    <row r="282" spans="35:46" ht="12.65" hidden="1" customHeight="1" x14ac:dyDescent="0.35">
      <c r="AI282" s="405" t="s">
        <v>641</v>
      </c>
      <c r="AJ282" s="405" t="s">
        <v>792</v>
      </c>
      <c r="AM282" s="407" t="s">
        <v>622</v>
      </c>
      <c r="AN282" s="407" t="s">
        <v>623</v>
      </c>
      <c r="AO282" s="407">
        <v>19</v>
      </c>
      <c r="AP282" s="407">
        <v>2</v>
      </c>
      <c r="AQ282" s="407">
        <v>21</v>
      </c>
      <c r="AR282" s="407">
        <v>19</v>
      </c>
      <c r="AS282" s="407">
        <v>3</v>
      </c>
      <c r="AT282" s="407">
        <v>22</v>
      </c>
    </row>
    <row r="283" spans="35:46" ht="12.65" hidden="1" customHeight="1" x14ac:dyDescent="0.35">
      <c r="AI283" s="405" t="s">
        <v>643</v>
      </c>
      <c r="AJ283" s="405" t="s">
        <v>89</v>
      </c>
      <c r="AM283" s="407" t="s">
        <v>624</v>
      </c>
      <c r="AN283" s="407" t="s">
        <v>625</v>
      </c>
      <c r="AO283" s="407">
        <v>20</v>
      </c>
      <c r="AP283" s="407">
        <v>5</v>
      </c>
      <c r="AQ283" s="407">
        <v>25</v>
      </c>
      <c r="AR283" s="407">
        <v>23</v>
      </c>
      <c r="AS283" s="407">
        <v>9</v>
      </c>
      <c r="AT283" s="407">
        <v>32</v>
      </c>
    </row>
    <row r="284" spans="35:46" ht="12.65" hidden="1" customHeight="1" x14ac:dyDescent="0.35">
      <c r="AI284" s="405" t="s">
        <v>645</v>
      </c>
      <c r="AJ284" s="405" t="s">
        <v>84</v>
      </c>
      <c r="AM284" s="407" t="s">
        <v>626</v>
      </c>
      <c r="AN284" s="407" t="s">
        <v>627</v>
      </c>
      <c r="AO284" s="407">
        <v>15</v>
      </c>
      <c r="AP284" s="407">
        <v>7</v>
      </c>
      <c r="AQ284" s="407">
        <v>22</v>
      </c>
      <c r="AR284" s="407">
        <v>22</v>
      </c>
      <c r="AS284" s="407">
        <v>8</v>
      </c>
      <c r="AT284" s="407">
        <v>30</v>
      </c>
    </row>
    <row r="285" spans="35:46" ht="12.65" hidden="1" customHeight="1" x14ac:dyDescent="0.35">
      <c r="AI285" s="405" t="s">
        <v>647</v>
      </c>
      <c r="AJ285" s="405" t="s">
        <v>84</v>
      </c>
      <c r="AM285" s="407" t="s">
        <v>628</v>
      </c>
      <c r="AN285" s="407" t="s">
        <v>629</v>
      </c>
      <c r="AO285" s="407">
        <v>9</v>
      </c>
      <c r="AP285" s="407">
        <v>3</v>
      </c>
      <c r="AQ285" s="407">
        <v>12</v>
      </c>
      <c r="AR285" s="407">
        <v>13</v>
      </c>
      <c r="AS285" s="407">
        <v>7</v>
      </c>
      <c r="AT285" s="407">
        <v>20</v>
      </c>
    </row>
    <row r="286" spans="35:46" ht="12.65" hidden="1" customHeight="1" x14ac:dyDescent="0.35">
      <c r="AI286" s="405" t="s">
        <v>649</v>
      </c>
      <c r="AJ286" s="405" t="s">
        <v>86</v>
      </c>
      <c r="AM286" s="407" t="s">
        <v>630</v>
      </c>
      <c r="AN286" s="407" t="s">
        <v>631</v>
      </c>
      <c r="AO286" s="407">
        <v>36</v>
      </c>
      <c r="AP286" s="407">
        <v>15</v>
      </c>
      <c r="AQ286" s="407">
        <v>51</v>
      </c>
      <c r="AR286" s="407">
        <v>33</v>
      </c>
      <c r="AS286" s="407">
        <v>16</v>
      </c>
      <c r="AT286" s="407">
        <v>49</v>
      </c>
    </row>
    <row r="287" spans="35:46" ht="12.65" hidden="1" customHeight="1" x14ac:dyDescent="0.35">
      <c r="AI287" s="405" t="s">
        <v>651</v>
      </c>
      <c r="AJ287" s="405" t="s">
        <v>89</v>
      </c>
      <c r="AM287" s="407" t="s">
        <v>632</v>
      </c>
      <c r="AN287" s="407" t="s">
        <v>633</v>
      </c>
      <c r="AO287" s="407">
        <v>25</v>
      </c>
      <c r="AP287" s="407">
        <v>7</v>
      </c>
      <c r="AQ287" s="407">
        <v>32</v>
      </c>
      <c r="AR287" s="407">
        <v>27</v>
      </c>
      <c r="AS287" s="407">
        <v>7</v>
      </c>
      <c r="AT287" s="407">
        <v>34</v>
      </c>
    </row>
    <row r="288" spans="35:46" ht="12.65" hidden="1" customHeight="1" x14ac:dyDescent="0.35">
      <c r="AI288" s="405" t="s">
        <v>653</v>
      </c>
      <c r="AJ288" s="405" t="s">
        <v>83</v>
      </c>
      <c r="AM288" s="407" t="s">
        <v>634</v>
      </c>
      <c r="AN288" s="407" t="s">
        <v>635</v>
      </c>
      <c r="AO288" s="407">
        <v>24</v>
      </c>
      <c r="AP288" s="407">
        <v>12</v>
      </c>
      <c r="AQ288" s="407">
        <v>36</v>
      </c>
      <c r="AR288" s="407">
        <v>23</v>
      </c>
      <c r="AS288" s="407">
        <v>11</v>
      </c>
      <c r="AT288" s="407">
        <v>34</v>
      </c>
    </row>
    <row r="289" spans="35:46" ht="12.65" hidden="1" customHeight="1" x14ac:dyDescent="0.35">
      <c r="AI289" s="405" t="s">
        <v>655</v>
      </c>
      <c r="AJ289" s="405" t="s">
        <v>87</v>
      </c>
      <c r="AM289" s="407" t="s">
        <v>636</v>
      </c>
      <c r="AN289" s="407" t="s">
        <v>637</v>
      </c>
      <c r="AO289" s="407">
        <v>19</v>
      </c>
      <c r="AP289" s="407">
        <v>3</v>
      </c>
      <c r="AQ289" s="407">
        <v>22</v>
      </c>
      <c r="AR289" s="407">
        <v>27</v>
      </c>
      <c r="AS289" s="407">
        <v>2</v>
      </c>
      <c r="AT289" s="407">
        <v>29</v>
      </c>
    </row>
    <row r="290" spans="35:46" ht="12.65" hidden="1" customHeight="1" x14ac:dyDescent="0.35">
      <c r="AI290" s="405" t="s">
        <v>657</v>
      </c>
      <c r="AJ290" s="405" t="s">
        <v>87</v>
      </c>
      <c r="AM290" s="407" t="s">
        <v>638</v>
      </c>
      <c r="AN290" s="407" t="s">
        <v>639</v>
      </c>
      <c r="AO290" s="407">
        <v>15</v>
      </c>
      <c r="AP290" s="407">
        <v>5</v>
      </c>
      <c r="AQ290" s="407">
        <v>20</v>
      </c>
      <c r="AR290" s="407">
        <v>24</v>
      </c>
      <c r="AS290" s="407">
        <v>7</v>
      </c>
      <c r="AT290" s="407">
        <v>31</v>
      </c>
    </row>
    <row r="291" spans="35:46" ht="12.65" hidden="1" customHeight="1" x14ac:dyDescent="0.35">
      <c r="AI291" s="405" t="s">
        <v>659</v>
      </c>
      <c r="AJ291" s="405" t="s">
        <v>83</v>
      </c>
      <c r="AM291" s="407" t="s">
        <v>640</v>
      </c>
      <c r="AN291" s="407" t="s">
        <v>641</v>
      </c>
      <c r="AO291" s="407">
        <v>20</v>
      </c>
      <c r="AP291" s="407">
        <v>8</v>
      </c>
      <c r="AQ291" s="407">
        <v>28</v>
      </c>
      <c r="AR291" s="407">
        <v>28</v>
      </c>
      <c r="AS291" s="407">
        <v>11</v>
      </c>
      <c r="AT291" s="407">
        <v>39</v>
      </c>
    </row>
    <row r="292" spans="35:46" ht="12.65" hidden="1" customHeight="1" x14ac:dyDescent="0.35">
      <c r="AI292" s="405" t="s">
        <v>661</v>
      </c>
      <c r="AJ292" s="405" t="s">
        <v>87</v>
      </c>
      <c r="AM292" s="407" t="s">
        <v>642</v>
      </c>
      <c r="AN292" s="407" t="s">
        <v>643</v>
      </c>
      <c r="AO292" s="407">
        <v>23</v>
      </c>
      <c r="AP292" s="407">
        <v>10</v>
      </c>
      <c r="AQ292" s="407">
        <v>33</v>
      </c>
      <c r="AR292" s="407">
        <v>22</v>
      </c>
      <c r="AS292" s="407">
        <v>11</v>
      </c>
      <c r="AT292" s="407">
        <v>33</v>
      </c>
    </row>
    <row r="293" spans="35:46" ht="12.65" hidden="1" customHeight="1" x14ac:dyDescent="0.35">
      <c r="AI293" s="405" t="s">
        <v>663</v>
      </c>
      <c r="AJ293" s="405" t="s">
        <v>88</v>
      </c>
      <c r="AM293" s="407" t="s">
        <v>644</v>
      </c>
      <c r="AN293" s="407" t="s">
        <v>645</v>
      </c>
      <c r="AO293" s="407">
        <v>33</v>
      </c>
      <c r="AP293" s="407">
        <v>12</v>
      </c>
      <c r="AQ293" s="407">
        <v>45</v>
      </c>
      <c r="AR293" s="407">
        <v>31</v>
      </c>
      <c r="AS293" s="407">
        <v>14</v>
      </c>
      <c r="AT293" s="407">
        <v>45</v>
      </c>
    </row>
    <row r="294" spans="35:46" ht="12.65" hidden="1" customHeight="1" x14ac:dyDescent="0.35">
      <c r="AI294" s="405" t="s">
        <v>665</v>
      </c>
      <c r="AJ294" s="405" t="s">
        <v>86</v>
      </c>
      <c r="AM294" s="407" t="s">
        <v>646</v>
      </c>
      <c r="AN294" s="407" t="s">
        <v>647</v>
      </c>
      <c r="AO294" s="407">
        <v>33</v>
      </c>
      <c r="AP294" s="407">
        <v>14</v>
      </c>
      <c r="AQ294" s="407">
        <v>47</v>
      </c>
      <c r="AR294" s="407">
        <v>26</v>
      </c>
      <c r="AS294" s="407">
        <v>15</v>
      </c>
      <c r="AT294" s="407">
        <v>41</v>
      </c>
    </row>
    <row r="295" spans="35:46" ht="12.65" hidden="1" customHeight="1" x14ac:dyDescent="0.35">
      <c r="AI295" s="405" t="s">
        <v>667</v>
      </c>
      <c r="AJ295" s="405" t="s">
        <v>82</v>
      </c>
      <c r="AM295" s="407" t="s">
        <v>648</v>
      </c>
      <c r="AN295" s="407" t="s">
        <v>649</v>
      </c>
      <c r="AO295" s="407">
        <v>24</v>
      </c>
      <c r="AP295" s="407">
        <v>2</v>
      </c>
      <c r="AQ295" s="407">
        <v>26</v>
      </c>
      <c r="AR295" s="407">
        <v>28</v>
      </c>
      <c r="AS295" s="407">
        <v>6</v>
      </c>
      <c r="AT295" s="407">
        <v>34</v>
      </c>
    </row>
    <row r="296" spans="35:46" ht="12.65" hidden="1" customHeight="1" x14ac:dyDescent="0.35">
      <c r="AI296" s="405" t="s">
        <v>813</v>
      </c>
      <c r="AJ296" s="405" t="s">
        <v>82</v>
      </c>
      <c r="AM296" s="407" t="s">
        <v>650</v>
      </c>
      <c r="AN296" s="407" t="s">
        <v>651</v>
      </c>
      <c r="AO296" s="407">
        <v>17</v>
      </c>
      <c r="AP296" s="407">
        <v>8</v>
      </c>
      <c r="AQ296" s="407">
        <v>25</v>
      </c>
      <c r="AR296" s="407">
        <v>25</v>
      </c>
      <c r="AS296" s="407">
        <v>8</v>
      </c>
      <c r="AT296" s="407">
        <v>33</v>
      </c>
    </row>
    <row r="297" spans="35:46" ht="12.65" hidden="1" customHeight="1" x14ac:dyDescent="0.35">
      <c r="AI297" s="405" t="s">
        <v>669</v>
      </c>
      <c r="AJ297" s="405" t="s">
        <v>87</v>
      </c>
      <c r="AM297" s="407" t="s">
        <v>652</v>
      </c>
      <c r="AN297" s="407" t="s">
        <v>653</v>
      </c>
      <c r="AO297" s="407">
        <v>26</v>
      </c>
      <c r="AP297" s="407">
        <v>2</v>
      </c>
      <c r="AQ297" s="407">
        <v>28</v>
      </c>
      <c r="AR297" s="407">
        <v>23</v>
      </c>
      <c r="AS297" s="407">
        <v>7</v>
      </c>
      <c r="AT297" s="407">
        <v>30</v>
      </c>
    </row>
    <row r="298" spans="35:46" ht="12.65" hidden="1" customHeight="1" x14ac:dyDescent="0.35">
      <c r="AI298" s="405" t="s">
        <v>671</v>
      </c>
      <c r="AJ298" s="405" t="s">
        <v>83</v>
      </c>
      <c r="AM298" s="407" t="s">
        <v>654</v>
      </c>
      <c r="AN298" s="407" t="s">
        <v>655</v>
      </c>
      <c r="AO298" s="407">
        <v>17</v>
      </c>
      <c r="AP298" s="407">
        <v>6</v>
      </c>
      <c r="AQ298" s="407">
        <v>23</v>
      </c>
      <c r="AR298" s="407">
        <v>22</v>
      </c>
      <c r="AS298" s="407">
        <v>9</v>
      </c>
      <c r="AT298" s="407">
        <v>31</v>
      </c>
    </row>
    <row r="299" spans="35:46" ht="12.65" hidden="1" customHeight="1" x14ac:dyDescent="0.35">
      <c r="AI299" s="405" t="s">
        <v>673</v>
      </c>
      <c r="AJ299" s="405" t="s">
        <v>84</v>
      </c>
      <c r="AM299" s="407" t="s">
        <v>656</v>
      </c>
      <c r="AN299" s="407" t="s">
        <v>657</v>
      </c>
      <c r="AO299" s="407">
        <v>19</v>
      </c>
      <c r="AP299" s="407">
        <v>4</v>
      </c>
      <c r="AQ299" s="407">
        <v>23</v>
      </c>
      <c r="AR299" s="407">
        <v>22</v>
      </c>
      <c r="AS299" s="407">
        <v>5</v>
      </c>
      <c r="AT299" s="407">
        <v>27</v>
      </c>
    </row>
    <row r="300" spans="35:46" ht="12.65" hidden="1" customHeight="1" x14ac:dyDescent="0.35">
      <c r="AI300" s="405" t="s">
        <v>675</v>
      </c>
      <c r="AJ300" s="405" t="s">
        <v>86</v>
      </c>
      <c r="AM300" s="407" t="s">
        <v>658</v>
      </c>
      <c r="AN300" s="407" t="s">
        <v>659</v>
      </c>
      <c r="AO300" s="407">
        <v>24</v>
      </c>
      <c r="AP300" s="407">
        <v>7</v>
      </c>
      <c r="AQ300" s="407">
        <v>31</v>
      </c>
      <c r="AR300" s="407">
        <v>25</v>
      </c>
      <c r="AS300" s="407">
        <v>3</v>
      </c>
      <c r="AT300" s="407">
        <v>28</v>
      </c>
    </row>
    <row r="301" spans="35:46" ht="12.65" hidden="1" customHeight="1" x14ac:dyDescent="0.35">
      <c r="AI301" s="405" t="s">
        <v>677</v>
      </c>
      <c r="AJ301" s="405" t="s">
        <v>88</v>
      </c>
      <c r="AM301" s="407" t="s">
        <v>660</v>
      </c>
      <c r="AN301" s="407" t="s">
        <v>661</v>
      </c>
      <c r="AO301" s="407">
        <v>29</v>
      </c>
      <c r="AP301" s="407">
        <v>3</v>
      </c>
      <c r="AQ301" s="407">
        <v>32</v>
      </c>
      <c r="AR301" s="407">
        <v>32</v>
      </c>
      <c r="AS301" s="407">
        <v>4</v>
      </c>
      <c r="AT301" s="407">
        <v>36</v>
      </c>
    </row>
    <row r="302" spans="35:46" ht="12.65" hidden="1" customHeight="1" x14ac:dyDescent="0.35">
      <c r="AI302" s="405" t="s">
        <v>679</v>
      </c>
      <c r="AJ302" s="405" t="s">
        <v>87</v>
      </c>
      <c r="AM302" s="407" t="s">
        <v>662</v>
      </c>
      <c r="AN302" s="407" t="s">
        <v>663</v>
      </c>
      <c r="AO302" s="407">
        <v>14</v>
      </c>
      <c r="AP302" s="407">
        <v>6</v>
      </c>
      <c r="AQ302" s="407">
        <v>20</v>
      </c>
      <c r="AR302" s="407">
        <v>12</v>
      </c>
      <c r="AS302" s="407">
        <v>7</v>
      </c>
      <c r="AT302" s="407">
        <v>19</v>
      </c>
    </row>
    <row r="303" spans="35:46" ht="12.65" hidden="1" customHeight="1" x14ac:dyDescent="0.35">
      <c r="AI303" s="405" t="s">
        <v>681</v>
      </c>
      <c r="AJ303" s="405" t="s">
        <v>87</v>
      </c>
      <c r="AM303" s="407" t="s">
        <v>664</v>
      </c>
      <c r="AN303" s="407" t="s">
        <v>665</v>
      </c>
      <c r="AO303" s="407">
        <v>24</v>
      </c>
      <c r="AP303" s="407">
        <v>6</v>
      </c>
      <c r="AQ303" s="407">
        <v>30</v>
      </c>
      <c r="AR303" s="407">
        <v>23</v>
      </c>
      <c r="AS303" s="407">
        <v>10</v>
      </c>
      <c r="AT303" s="407">
        <v>33</v>
      </c>
    </row>
    <row r="304" spans="35:46" ht="12.65" hidden="1" customHeight="1" x14ac:dyDescent="0.35">
      <c r="AI304" s="405" t="s">
        <v>683</v>
      </c>
      <c r="AJ304" s="405" t="s">
        <v>86</v>
      </c>
      <c r="AM304" s="407" t="s">
        <v>666</v>
      </c>
      <c r="AN304" s="407" t="s">
        <v>667</v>
      </c>
      <c r="AO304" s="407">
        <v>15</v>
      </c>
      <c r="AP304" s="407">
        <v>4</v>
      </c>
      <c r="AQ304" s="407">
        <v>19</v>
      </c>
      <c r="AR304" s="407">
        <v>16</v>
      </c>
      <c r="AS304" s="407">
        <v>4</v>
      </c>
      <c r="AT304" s="407">
        <v>20</v>
      </c>
    </row>
    <row r="305" spans="35:46" ht="12.65" hidden="1" customHeight="1" x14ac:dyDescent="0.35">
      <c r="AI305" s="405" t="s">
        <v>685</v>
      </c>
      <c r="AJ305" s="405" t="s">
        <v>87</v>
      </c>
      <c r="AM305" s="407" t="s">
        <v>815</v>
      </c>
      <c r="AN305" s="407" t="s">
        <v>813</v>
      </c>
      <c r="AO305" s="407">
        <v>41</v>
      </c>
      <c r="AP305" s="407">
        <v>4</v>
      </c>
      <c r="AQ305" s="407">
        <v>45</v>
      </c>
      <c r="AR305" s="407">
        <v>42</v>
      </c>
      <c r="AS305" s="407">
        <v>5</v>
      </c>
      <c r="AT305" s="407">
        <v>47</v>
      </c>
    </row>
    <row r="306" spans="35:46" ht="12.65" hidden="1" customHeight="1" x14ac:dyDescent="0.35">
      <c r="AI306" s="405" t="s">
        <v>687</v>
      </c>
      <c r="AJ306" s="405" t="s">
        <v>87</v>
      </c>
      <c r="AM306" s="407" t="s">
        <v>668</v>
      </c>
      <c r="AN306" s="407" t="s">
        <v>669</v>
      </c>
      <c r="AO306" s="407">
        <v>16</v>
      </c>
      <c r="AP306" s="407">
        <v>2</v>
      </c>
      <c r="AQ306" s="407">
        <v>18</v>
      </c>
      <c r="AR306" s="407">
        <v>23</v>
      </c>
      <c r="AS306" s="407">
        <v>1</v>
      </c>
      <c r="AT306" s="407">
        <v>24</v>
      </c>
    </row>
    <row r="307" spans="35:46" ht="12.65" hidden="1" customHeight="1" x14ac:dyDescent="0.35">
      <c r="AI307" s="405" t="s">
        <v>689</v>
      </c>
      <c r="AJ307" s="405" t="s">
        <v>89</v>
      </c>
      <c r="AM307" s="407" t="s">
        <v>670</v>
      </c>
      <c r="AN307" s="407" t="s">
        <v>671</v>
      </c>
      <c r="AO307" s="407">
        <v>0</v>
      </c>
      <c r="AP307" s="407">
        <v>0</v>
      </c>
      <c r="AQ307" s="407">
        <v>0</v>
      </c>
      <c r="AR307" s="407">
        <v>31</v>
      </c>
      <c r="AS307" s="407">
        <v>5</v>
      </c>
      <c r="AT307" s="407">
        <v>36</v>
      </c>
    </row>
    <row r="308" spans="35:46" ht="12.65" hidden="1" customHeight="1" x14ac:dyDescent="0.35">
      <c r="AI308" s="405" t="s">
        <v>691</v>
      </c>
      <c r="AJ308" s="405" t="s">
        <v>89</v>
      </c>
      <c r="AM308" s="407" t="s">
        <v>672</v>
      </c>
      <c r="AN308" s="407" t="s">
        <v>673</v>
      </c>
      <c r="AO308" s="407">
        <v>25</v>
      </c>
      <c r="AP308" s="407">
        <v>18</v>
      </c>
      <c r="AQ308" s="407">
        <v>43</v>
      </c>
      <c r="AR308" s="407">
        <v>22</v>
      </c>
      <c r="AS308" s="407">
        <v>20</v>
      </c>
      <c r="AT308" s="407">
        <v>42</v>
      </c>
    </row>
    <row r="309" spans="35:46" ht="12.65" hidden="1" customHeight="1" x14ac:dyDescent="0.35">
      <c r="AI309" s="405" t="s">
        <v>693</v>
      </c>
      <c r="AJ309" s="405" t="s">
        <v>87</v>
      </c>
      <c r="AM309" s="407" t="s">
        <v>674</v>
      </c>
      <c r="AN309" s="407" t="s">
        <v>675</v>
      </c>
      <c r="AO309" s="407">
        <v>16</v>
      </c>
      <c r="AP309" s="407">
        <v>5</v>
      </c>
      <c r="AQ309" s="407">
        <v>21</v>
      </c>
      <c r="AR309" s="407">
        <v>20</v>
      </c>
      <c r="AS309" s="407">
        <v>9</v>
      </c>
      <c r="AT309" s="407">
        <v>29</v>
      </c>
    </row>
    <row r="310" spans="35:46" ht="12.65" hidden="1" customHeight="1" x14ac:dyDescent="0.35">
      <c r="AI310" s="405" t="s">
        <v>695</v>
      </c>
      <c r="AJ310" s="405" t="s">
        <v>89</v>
      </c>
      <c r="AM310" s="407" t="s">
        <v>676</v>
      </c>
      <c r="AN310" s="407" t="s">
        <v>677</v>
      </c>
      <c r="AO310" s="407">
        <v>44</v>
      </c>
      <c r="AP310" s="407">
        <v>15</v>
      </c>
      <c r="AQ310" s="407">
        <v>59</v>
      </c>
      <c r="AR310" s="407">
        <v>46</v>
      </c>
      <c r="AS310" s="407">
        <v>15</v>
      </c>
      <c r="AT310" s="407">
        <v>61</v>
      </c>
    </row>
    <row r="311" spans="35:46" ht="12.65" hidden="1" customHeight="1" x14ac:dyDescent="0.35">
      <c r="AI311" s="405" t="s">
        <v>697</v>
      </c>
      <c r="AJ311" s="405" t="s">
        <v>86</v>
      </c>
      <c r="AM311" s="407" t="s">
        <v>678</v>
      </c>
      <c r="AN311" s="407" t="s">
        <v>679</v>
      </c>
      <c r="AO311" s="407">
        <v>21</v>
      </c>
      <c r="AP311" s="407">
        <v>8</v>
      </c>
      <c r="AQ311" s="407">
        <v>29</v>
      </c>
      <c r="AR311" s="407">
        <v>24</v>
      </c>
      <c r="AS311" s="407">
        <v>7</v>
      </c>
      <c r="AT311" s="407">
        <v>31</v>
      </c>
    </row>
    <row r="312" spans="35:46" ht="12.65" hidden="1" customHeight="1" x14ac:dyDescent="0.35">
      <c r="AI312" s="405" t="s">
        <v>699</v>
      </c>
      <c r="AJ312" s="405" t="s">
        <v>89</v>
      </c>
      <c r="AM312" s="407" t="s">
        <v>680</v>
      </c>
      <c r="AN312" s="407" t="s">
        <v>681</v>
      </c>
      <c r="AO312" s="407">
        <v>21</v>
      </c>
      <c r="AP312" s="407">
        <v>3</v>
      </c>
      <c r="AQ312" s="407">
        <v>24</v>
      </c>
      <c r="AR312" s="407">
        <v>19</v>
      </c>
      <c r="AS312" s="407">
        <v>4</v>
      </c>
      <c r="AT312" s="407">
        <v>23</v>
      </c>
    </row>
    <row r="313" spans="35:46" ht="12.65" hidden="1" customHeight="1" x14ac:dyDescent="0.35">
      <c r="AI313" s="405" t="s">
        <v>701</v>
      </c>
      <c r="AJ313" s="405" t="s">
        <v>792</v>
      </c>
      <c r="AM313" s="407" t="s">
        <v>682</v>
      </c>
      <c r="AN313" s="407" t="s">
        <v>683</v>
      </c>
      <c r="AO313" s="407">
        <v>18</v>
      </c>
      <c r="AP313" s="407">
        <v>14</v>
      </c>
      <c r="AQ313" s="407">
        <v>32</v>
      </c>
      <c r="AR313" s="407">
        <v>20</v>
      </c>
      <c r="AS313" s="407">
        <v>17</v>
      </c>
      <c r="AT313" s="407">
        <v>37</v>
      </c>
    </row>
    <row r="314" spans="35:46" ht="12.65" hidden="1" customHeight="1" x14ac:dyDescent="0.35">
      <c r="AI314" s="185"/>
      <c r="AJ314" s="185"/>
      <c r="AM314" s="407" t="s">
        <v>684</v>
      </c>
      <c r="AN314" s="407" t="s">
        <v>685</v>
      </c>
      <c r="AO314" s="407">
        <v>24</v>
      </c>
      <c r="AP314" s="407">
        <v>4</v>
      </c>
      <c r="AQ314" s="407">
        <v>28</v>
      </c>
      <c r="AR314" s="407">
        <v>23</v>
      </c>
      <c r="AS314" s="407">
        <v>7</v>
      </c>
      <c r="AT314" s="407">
        <v>30</v>
      </c>
    </row>
    <row r="315" spans="35:46" ht="12.65" hidden="1" customHeight="1" x14ac:dyDescent="0.35">
      <c r="AI315" s="185"/>
      <c r="AJ315" s="185"/>
      <c r="AM315" s="407" t="s">
        <v>686</v>
      </c>
      <c r="AN315" s="407" t="s">
        <v>687</v>
      </c>
      <c r="AO315" s="407">
        <v>24</v>
      </c>
      <c r="AP315" s="407">
        <v>3</v>
      </c>
      <c r="AQ315" s="407">
        <v>27</v>
      </c>
      <c r="AR315" s="407">
        <v>29</v>
      </c>
      <c r="AS315" s="407">
        <v>6</v>
      </c>
      <c r="AT315" s="407">
        <v>35</v>
      </c>
    </row>
    <row r="316" spans="35:46" ht="12.65" hidden="1" customHeight="1" x14ac:dyDescent="0.35">
      <c r="AI316" s="185"/>
      <c r="AJ316" s="185"/>
      <c r="AM316" s="407" t="s">
        <v>688</v>
      </c>
      <c r="AN316" s="407" t="s">
        <v>689</v>
      </c>
      <c r="AO316" s="407">
        <v>18</v>
      </c>
      <c r="AP316" s="407">
        <v>7</v>
      </c>
      <c r="AQ316" s="407">
        <v>25</v>
      </c>
      <c r="AR316" s="407">
        <v>22</v>
      </c>
      <c r="AS316" s="407">
        <v>9</v>
      </c>
      <c r="AT316" s="407">
        <v>31</v>
      </c>
    </row>
    <row r="317" spans="35:46" ht="12.65" hidden="1" customHeight="1" x14ac:dyDescent="0.35">
      <c r="AI317" s="185"/>
      <c r="AJ317" s="185"/>
      <c r="AM317" s="407" t="s">
        <v>690</v>
      </c>
      <c r="AN317" s="407" t="s">
        <v>691</v>
      </c>
      <c r="AO317" s="407">
        <v>21</v>
      </c>
      <c r="AP317" s="407">
        <v>7</v>
      </c>
      <c r="AQ317" s="407">
        <v>28</v>
      </c>
      <c r="AR317" s="407">
        <v>23</v>
      </c>
      <c r="AS317" s="407">
        <v>11</v>
      </c>
      <c r="AT317" s="407">
        <v>34</v>
      </c>
    </row>
    <row r="318" spans="35:46" ht="12.65" hidden="1" customHeight="1" x14ac:dyDescent="0.35">
      <c r="AI318" s="185"/>
      <c r="AJ318" s="185"/>
      <c r="AM318" s="407" t="s">
        <v>692</v>
      </c>
      <c r="AN318" s="407" t="s">
        <v>693</v>
      </c>
      <c r="AO318" s="407">
        <v>17</v>
      </c>
      <c r="AP318" s="407">
        <v>7</v>
      </c>
      <c r="AQ318" s="407">
        <v>24</v>
      </c>
      <c r="AR318" s="407">
        <v>16</v>
      </c>
      <c r="AS318" s="407">
        <v>7</v>
      </c>
      <c r="AT318" s="407">
        <v>23</v>
      </c>
    </row>
    <row r="319" spans="35:46" ht="12.65" hidden="1" customHeight="1" x14ac:dyDescent="0.35">
      <c r="AI319" s="185"/>
      <c r="AJ319" s="185"/>
      <c r="AM319" s="407" t="s">
        <v>694</v>
      </c>
      <c r="AN319" s="407" t="s">
        <v>695</v>
      </c>
      <c r="AO319" s="407">
        <v>17</v>
      </c>
      <c r="AP319" s="407">
        <v>2</v>
      </c>
      <c r="AQ319" s="407">
        <v>19</v>
      </c>
      <c r="AR319" s="407">
        <v>18</v>
      </c>
      <c r="AS319" s="407">
        <v>3</v>
      </c>
      <c r="AT319" s="407">
        <v>21</v>
      </c>
    </row>
    <row r="320" spans="35:46" ht="12.65" hidden="1" customHeight="1" x14ac:dyDescent="0.35">
      <c r="AI320" s="185"/>
      <c r="AJ320" s="185"/>
      <c r="AM320" s="407" t="s">
        <v>696</v>
      </c>
      <c r="AN320" s="407" t="s">
        <v>697</v>
      </c>
      <c r="AO320" s="407">
        <v>12</v>
      </c>
      <c r="AP320" s="407">
        <v>6</v>
      </c>
      <c r="AQ320" s="407">
        <v>18</v>
      </c>
      <c r="AR320" s="407">
        <v>17</v>
      </c>
      <c r="AS320" s="407">
        <v>12</v>
      </c>
      <c r="AT320" s="407">
        <v>29</v>
      </c>
    </row>
    <row r="321" spans="35:46" ht="12.65" hidden="1" customHeight="1" x14ac:dyDescent="0.35">
      <c r="AI321" s="185"/>
      <c r="AJ321" s="185"/>
      <c r="AM321" s="407" t="s">
        <v>698</v>
      </c>
      <c r="AN321" s="407" t="s">
        <v>699</v>
      </c>
      <c r="AO321" s="407">
        <v>16</v>
      </c>
      <c r="AP321" s="407">
        <v>1</v>
      </c>
      <c r="AQ321" s="407">
        <v>17</v>
      </c>
      <c r="AR321" s="407">
        <v>14</v>
      </c>
      <c r="AS321" s="407">
        <v>2</v>
      </c>
      <c r="AT321" s="407">
        <v>16</v>
      </c>
    </row>
    <row r="322" spans="35:46" ht="12.65" hidden="1" customHeight="1" x14ac:dyDescent="0.35">
      <c r="AM322" s="407" t="s">
        <v>700</v>
      </c>
      <c r="AN322" s="407" t="s">
        <v>701</v>
      </c>
      <c r="AO322" s="407">
        <v>16</v>
      </c>
      <c r="AP322" s="407">
        <v>8</v>
      </c>
      <c r="AQ322" s="407">
        <v>24</v>
      </c>
      <c r="AR322" s="407">
        <v>21</v>
      </c>
      <c r="AS322" s="407">
        <v>7</v>
      </c>
      <c r="AT322" s="407">
        <v>28</v>
      </c>
    </row>
    <row r="323" spans="35:46" ht="12.65" hidden="1" customHeight="1" x14ac:dyDescent="0.35">
      <c r="AM323" s="186"/>
      <c r="AN323" s="186"/>
    </row>
  </sheetData>
  <sheetProtection algorithmName="SHA-512" hashValue="kC7OeGwJ0PeebJ/f4f5PnTXiFAFJMzPfLHEA05nJCBSvL9V6Alc4GpJlEY23vh4LwsK9RB2yVYbh+QF9KarDcw==" saltValue="b+OmNNgYNBwLFgY/UbENbA==" spinCount="100000" sheet="1" formatColumns="0" formatRows="0"/>
  <mergeCells count="24">
    <mergeCell ref="B37:I37"/>
    <mergeCell ref="L58:R60"/>
    <mergeCell ref="B60:I61"/>
    <mergeCell ref="A8:A9"/>
    <mergeCell ref="B1:V1"/>
    <mergeCell ref="E3:G3"/>
    <mergeCell ref="C4:D4"/>
    <mergeCell ref="E5:G5"/>
    <mergeCell ref="AM2:AT2"/>
    <mergeCell ref="A125:A126"/>
    <mergeCell ref="B126:I126"/>
    <mergeCell ref="A147:A148"/>
    <mergeCell ref="B147:I147"/>
    <mergeCell ref="B148:I148"/>
    <mergeCell ref="A63:A64"/>
    <mergeCell ref="B64:I64"/>
    <mergeCell ref="B88:I89"/>
    <mergeCell ref="A91:A92"/>
    <mergeCell ref="B92:I92"/>
    <mergeCell ref="A108:A109"/>
    <mergeCell ref="B109:I109"/>
    <mergeCell ref="B11:B15"/>
    <mergeCell ref="A21:A22"/>
    <mergeCell ref="A36:A37"/>
  </mergeCells>
  <conditionalFormatting sqref="D155:H159 D167:H167 D161:D166 F164:H166 B39 B67 B95 B112 B128 B150">
    <cfRule type="expression" dxfId="32" priority="37">
      <formula>$B$150=0</formula>
    </cfRule>
  </conditionalFormatting>
  <conditionalFormatting sqref="D152:H152 D154:H154 D153:G153">
    <cfRule type="expression" dxfId="31" priority="36">
      <formula>$B$150=0</formula>
    </cfRule>
  </conditionalFormatting>
  <conditionalFormatting sqref="B23">
    <cfRule type="expression" dxfId="30" priority="35">
      <formula>$B$150=0</formula>
    </cfRule>
  </conditionalFormatting>
  <conditionalFormatting sqref="E161:E166">
    <cfRule type="expression" dxfId="29" priority="34">
      <formula>$B$150=0</formula>
    </cfRule>
  </conditionalFormatting>
  <conditionalFormatting sqref="F161:F163">
    <cfRule type="expression" dxfId="28" priority="33">
      <formula>$B$150=0</formula>
    </cfRule>
  </conditionalFormatting>
  <conditionalFormatting sqref="G161:G163">
    <cfRule type="expression" dxfId="27" priority="32">
      <formula>$B$150=0</formula>
    </cfRule>
  </conditionalFormatting>
  <conditionalFormatting sqref="H161:H163">
    <cfRule type="expression" dxfId="26" priority="31">
      <formula>$B$150=0</formula>
    </cfRule>
  </conditionalFormatting>
  <conditionalFormatting sqref="D170:D172">
    <cfRule type="expression" dxfId="25" priority="30">
      <formula>$B$150=0</formula>
    </cfRule>
  </conditionalFormatting>
  <conditionalFormatting sqref="E170:E172">
    <cfRule type="expression" dxfId="24" priority="29">
      <formula>$B$150=0</formula>
    </cfRule>
  </conditionalFormatting>
  <conditionalFormatting sqref="F170:F172">
    <cfRule type="expression" dxfId="23" priority="28">
      <formula>$B$150=0</formula>
    </cfRule>
  </conditionalFormatting>
  <conditionalFormatting sqref="G170:G172">
    <cfRule type="expression" dxfId="22" priority="27">
      <formula>$B$150=0</formula>
    </cfRule>
  </conditionalFormatting>
  <conditionalFormatting sqref="H170:H172">
    <cfRule type="expression" dxfId="21" priority="26">
      <formula>$B$150=0</formula>
    </cfRule>
  </conditionalFormatting>
  <conditionalFormatting sqref="J164:J167">
    <cfRule type="expression" dxfId="20" priority="17">
      <formula>$B$150=0</formula>
    </cfRule>
  </conditionalFormatting>
  <conditionalFormatting sqref="E4">
    <cfRule type="expression" dxfId="19" priority="21">
      <formula>$E$3=""</formula>
    </cfRule>
  </conditionalFormatting>
  <conditionalFormatting sqref="C4:D4">
    <cfRule type="expression" dxfId="18" priority="20">
      <formula>$E$3=""</formula>
    </cfRule>
  </conditionalFormatting>
  <conditionalFormatting sqref="I3:O5 R3:W5">
    <cfRule type="expression" dxfId="17" priority="19">
      <formula>$E$3=""</formula>
    </cfRule>
  </conditionalFormatting>
  <conditionalFormatting sqref="H153">
    <cfRule type="expression" dxfId="16" priority="18">
      <formula>$B$150=0</formula>
    </cfRule>
  </conditionalFormatting>
  <conditionalFormatting sqref="I153">
    <cfRule type="expression" dxfId="15" priority="7">
      <formula>$B$150=0</formula>
    </cfRule>
  </conditionalFormatting>
  <conditionalFormatting sqref="J155:J159 K155:K157">
    <cfRule type="expression" dxfId="14" priority="16">
      <formula>$B$150=0</formula>
    </cfRule>
  </conditionalFormatting>
  <conditionalFormatting sqref="J152 J154">
    <cfRule type="expression" dxfId="13" priority="15">
      <formula>$B$150=0</formula>
    </cfRule>
  </conditionalFormatting>
  <conditionalFormatting sqref="J161:J163">
    <cfRule type="expression" dxfId="12" priority="14">
      <formula>$B$150=0</formula>
    </cfRule>
  </conditionalFormatting>
  <conditionalFormatting sqref="J170:J172">
    <cfRule type="expression" dxfId="11" priority="13">
      <formula>$B$150=0</formula>
    </cfRule>
  </conditionalFormatting>
  <conditionalFormatting sqref="J153">
    <cfRule type="expression" dxfId="10" priority="12">
      <formula>$B$150=0</formula>
    </cfRule>
  </conditionalFormatting>
  <conditionalFormatting sqref="I155:I159 I164:I167">
    <cfRule type="expression" dxfId="9" priority="11">
      <formula>$B$150=0</formula>
    </cfRule>
  </conditionalFormatting>
  <conditionalFormatting sqref="I152 I154">
    <cfRule type="expression" dxfId="8" priority="10">
      <formula>$B$150=0</formula>
    </cfRule>
  </conditionalFormatting>
  <conditionalFormatting sqref="I161:I163">
    <cfRule type="expression" dxfId="7" priority="9">
      <formula>$B$150=0</formula>
    </cfRule>
  </conditionalFormatting>
  <conditionalFormatting sqref="I170:I172">
    <cfRule type="expression" dxfId="6" priority="8">
      <formula>$B$150=0</formula>
    </cfRule>
  </conditionalFormatting>
  <conditionalFormatting sqref="K164:K167">
    <cfRule type="expression" dxfId="5" priority="6">
      <formula>$B$150=0</formula>
    </cfRule>
  </conditionalFormatting>
  <conditionalFormatting sqref="K158:K159">
    <cfRule type="expression" dxfId="4" priority="5">
      <formula>$B$150=0</formula>
    </cfRule>
  </conditionalFormatting>
  <conditionalFormatting sqref="K152 K154">
    <cfRule type="expression" dxfId="3" priority="4">
      <formula>$B$150=0</formula>
    </cfRule>
  </conditionalFormatting>
  <conditionalFormatting sqref="K161:K163">
    <cfRule type="expression" dxfId="2" priority="3">
      <formula>$B$150=0</formula>
    </cfRule>
  </conditionalFormatting>
  <conditionalFormatting sqref="K170:K172">
    <cfRule type="expression" dxfId="1" priority="2">
      <formula>$B$150=0</formula>
    </cfRule>
  </conditionalFormatting>
  <conditionalFormatting sqref="K153">
    <cfRule type="expression" dxfId="0" priority="1">
      <formula>$B$150=0</formula>
    </cfRule>
  </conditionalFormatting>
  <dataValidations count="1">
    <dataValidation type="list" allowBlank="1" showInputMessage="1" sqref="E3" xr:uid="{AA9CEF1E-7851-4D64-9A00-CD3BF085C666}">
      <formula1>validation_list</formula1>
    </dataValidation>
  </dataValidations>
  <hyperlinks>
    <hyperlink ref="E5:G5" location="'How to use the search function'!A1" display="Click for help on the search function" xr:uid="{157FE561-540B-4097-A749-DD3375E73F60}"/>
  </hyperlinks>
  <pageMargins left="0.70866141732283472" right="0.70866141732283472" top="0.74803149606299213" bottom="0.74803149606299213" header="0.31496062992125984" footer="0.31496062992125984"/>
  <pageSetup paperSize="9" scale="50" fitToHeight="3" orientation="landscape" r:id="rId1"/>
  <headerFooter>
    <oddFooter>&amp;C&amp;1#&amp;"Calibri"&amp;12&amp;K0078D7OFFICIAL</oddFooter>
  </headerFooter>
  <rowBreaks count="5" manualBreakCount="5">
    <brk id="34" max="16383" man="1"/>
    <brk id="61" max="16383" man="1"/>
    <brk id="89" max="16383" man="1"/>
    <brk id="123" max="16383" man="1"/>
    <brk id="145" max="16383" man="1"/>
  </rowBreaks>
  <colBreaks count="1" manualBreakCount="1">
    <brk id="11440"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3719E-7B7E-48AC-AFA9-21DDFD251A0D}">
  <sheetPr codeName="Sheet13">
    <tabColor rgb="FFEDEBF5"/>
  </sheetPr>
  <dimension ref="B2:F55"/>
  <sheetViews>
    <sheetView workbookViewId="0"/>
  </sheetViews>
  <sheetFormatPr defaultColWidth="9.1796875" defaultRowHeight="14" x14ac:dyDescent="0.3"/>
  <cols>
    <col min="1" max="1" width="2.1796875" style="344" customWidth="1"/>
    <col min="2" max="16384" width="9.1796875" style="344"/>
  </cols>
  <sheetData>
    <row r="2" spans="2:2" ht="28" x14ac:dyDescent="0.6">
      <c r="B2" s="339" t="s">
        <v>789</v>
      </c>
    </row>
    <row r="4" spans="2:2" x14ac:dyDescent="0.3">
      <c r="B4" s="345" t="s">
        <v>803</v>
      </c>
    </row>
    <row r="5" spans="2:2" x14ac:dyDescent="0.3">
      <c r="B5" s="345"/>
    </row>
    <row r="6" spans="2:2" x14ac:dyDescent="0.3">
      <c r="B6" s="345"/>
    </row>
    <row r="7" spans="2:2" x14ac:dyDescent="0.3">
      <c r="B7" s="345"/>
    </row>
    <row r="8" spans="2:2" x14ac:dyDescent="0.3">
      <c r="B8" s="345"/>
    </row>
    <row r="9" spans="2:2" x14ac:dyDescent="0.3">
      <c r="B9" s="345"/>
    </row>
    <row r="10" spans="2:2" x14ac:dyDescent="0.3">
      <c r="B10" s="345"/>
    </row>
    <row r="11" spans="2:2" x14ac:dyDescent="0.3">
      <c r="B11" s="345"/>
    </row>
    <row r="12" spans="2:2" ht="15.5" x14ac:dyDescent="0.35">
      <c r="B12" s="340" t="s">
        <v>771</v>
      </c>
    </row>
    <row r="14" spans="2:2" x14ac:dyDescent="0.3">
      <c r="B14" s="354" t="s">
        <v>775</v>
      </c>
    </row>
    <row r="25" spans="2:2" ht="15.5" x14ac:dyDescent="0.35">
      <c r="B25" s="340" t="s">
        <v>772</v>
      </c>
    </row>
    <row r="27" spans="2:2" x14ac:dyDescent="0.3">
      <c r="B27" s="354" t="s">
        <v>776</v>
      </c>
    </row>
    <row r="35" spans="2:2" x14ac:dyDescent="0.3">
      <c r="B35" s="354" t="s">
        <v>777</v>
      </c>
    </row>
    <row r="46" spans="2:2" x14ac:dyDescent="0.3">
      <c r="B46" s="345" t="s">
        <v>778</v>
      </c>
    </row>
    <row r="47" spans="2:2" x14ac:dyDescent="0.3">
      <c r="B47" s="345"/>
    </row>
    <row r="48" spans="2:2" x14ac:dyDescent="0.3">
      <c r="B48" s="345"/>
    </row>
    <row r="49" spans="2:6" x14ac:dyDescent="0.3">
      <c r="B49" s="345"/>
    </row>
    <row r="50" spans="2:6" x14ac:dyDescent="0.3">
      <c r="B50" s="345"/>
    </row>
    <row r="51" spans="2:6" x14ac:dyDescent="0.3">
      <c r="B51" s="345"/>
    </row>
    <row r="52" spans="2:6" x14ac:dyDescent="0.3">
      <c r="B52" s="345"/>
    </row>
    <row r="53" spans="2:6" x14ac:dyDescent="0.3">
      <c r="B53" s="345"/>
    </row>
    <row r="54" spans="2:6" x14ac:dyDescent="0.3">
      <c r="B54" s="443" t="s">
        <v>804</v>
      </c>
      <c r="C54" s="443"/>
      <c r="D54" s="443"/>
      <c r="E54" s="443"/>
      <c r="F54" s="443"/>
    </row>
    <row r="55" spans="2:6" x14ac:dyDescent="0.3">
      <c r="B55" s="444"/>
      <c r="C55" s="444"/>
      <c r="D55" s="444"/>
      <c r="E55" s="444"/>
    </row>
  </sheetData>
  <sheetProtection algorithmName="SHA-512" hashValue="aV0ZcTVLlHTM01Vlj6pt8DcC2T+gQkElytEKsX5zrZj2s1ALcwxc1p4YHd7pOjCh6P0qNqkNKq/TW3tjHefmMg==" saltValue="19+aE7/kzq2TpMwbW7Bgpg==" spinCount="100000" sheet="1" objects="1" scenarios="1"/>
  <mergeCells count="2">
    <mergeCell ref="B54:F54"/>
    <mergeCell ref="B55:E55"/>
  </mergeCells>
  <hyperlinks>
    <hyperlink ref="B54" location="'LA Lookup results 2015-20'!A1" display="Return to sheet &quot;LA Lookup results 2015-20&quot;" xr:uid="{436A82AF-06F9-448F-93F1-166230B51C96}"/>
    <hyperlink ref="B54:F54" location="'How to use the search function'!A1" display="Return to sheet &quot;PRP LA trend tool 2015-22&quot;" xr:uid="{E065EC9B-DE38-484C-A2B9-9F8840B1CC7D}"/>
  </hyperlinks>
  <pageMargins left="0.7" right="0.7" top="0.75" bottom="0.75" header="0.3" footer="0.3"/>
  <pageSetup paperSize="9" orientation="portrait" r:id="rId1"/>
  <headerFooter>
    <oddFooter>&amp;C&amp;1#&amp;"Calibri"&amp;12&amp;K0078D7OFFICIAL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36828-BBAA-404F-A617-5DDAC6C2B884}">
  <sheetPr codeName="Sheet2">
    <tabColor rgb="FFFFFF00"/>
  </sheetPr>
  <dimension ref="A1:AG322"/>
  <sheetViews>
    <sheetView zoomScale="80" zoomScaleNormal="80" workbookViewId="0">
      <selection activeCell="B38" sqref="B38"/>
    </sheetView>
  </sheetViews>
  <sheetFormatPr defaultColWidth="9.1796875" defaultRowHeight="12.5" x14ac:dyDescent="0.25"/>
  <cols>
    <col min="1" max="8" width="9.1796875" style="164"/>
    <col min="9" max="10" width="10.453125" style="164" customWidth="1"/>
    <col min="11" max="11" width="10.453125" style="164" bestFit="1" customWidth="1"/>
    <col min="12" max="16384" width="9.1796875" style="164"/>
  </cols>
  <sheetData>
    <row r="1" spans="1:33" s="163" customFormat="1" ht="13" x14ac:dyDescent="0.3">
      <c r="A1" s="153"/>
      <c r="B1" s="153"/>
      <c r="C1" s="154" t="s">
        <v>42</v>
      </c>
      <c r="D1" s="154" t="s">
        <v>42</v>
      </c>
      <c r="E1" s="154" t="s">
        <v>42</v>
      </c>
      <c r="F1" s="154" t="s">
        <v>42</v>
      </c>
      <c r="G1" s="154" t="s">
        <v>42</v>
      </c>
      <c r="H1" s="154" t="s">
        <v>42</v>
      </c>
      <c r="I1" s="155" t="s">
        <v>43</v>
      </c>
      <c r="J1" s="155" t="s">
        <v>43</v>
      </c>
      <c r="K1" s="156" t="s">
        <v>44</v>
      </c>
      <c r="L1" s="156" t="s">
        <v>44</v>
      </c>
      <c r="M1" s="156" t="s">
        <v>44</v>
      </c>
      <c r="N1" s="157" t="s">
        <v>44</v>
      </c>
      <c r="O1" s="156" t="s">
        <v>44</v>
      </c>
      <c r="P1" s="158" t="s">
        <v>45</v>
      </c>
      <c r="Q1" s="158" t="s">
        <v>45</v>
      </c>
      <c r="R1" s="158" t="s">
        <v>45</v>
      </c>
      <c r="S1" s="158" t="s">
        <v>45</v>
      </c>
      <c r="T1" s="158" t="s">
        <v>45</v>
      </c>
      <c r="U1" s="159" t="s">
        <v>46</v>
      </c>
      <c r="V1" s="159" t="s">
        <v>46</v>
      </c>
      <c r="W1" s="160" t="s">
        <v>47</v>
      </c>
      <c r="X1" s="160" t="s">
        <v>47</v>
      </c>
      <c r="Y1" s="161" t="s">
        <v>48</v>
      </c>
      <c r="Z1" s="161" t="s">
        <v>48</v>
      </c>
      <c r="AA1" s="161" t="s">
        <v>48</v>
      </c>
      <c r="AB1" s="161" t="s">
        <v>48</v>
      </c>
      <c r="AC1" s="161" t="s">
        <v>48</v>
      </c>
      <c r="AD1" s="162" t="s">
        <v>49</v>
      </c>
      <c r="AE1" s="162" t="s">
        <v>49</v>
      </c>
      <c r="AF1" s="162" t="s">
        <v>49</v>
      </c>
      <c r="AG1" s="162" t="s">
        <v>49</v>
      </c>
    </row>
    <row r="2" spans="1:33" x14ac:dyDescent="0.25">
      <c r="B2" s="165">
        <v>1</v>
      </c>
      <c r="C2" s="165">
        <v>2</v>
      </c>
      <c r="D2" s="165">
        <v>3</v>
      </c>
      <c r="E2" s="165">
        <v>4</v>
      </c>
      <c r="F2" s="165">
        <v>5</v>
      </c>
      <c r="G2" s="165">
        <v>6</v>
      </c>
      <c r="H2" s="165">
        <v>7</v>
      </c>
      <c r="I2" s="165">
        <v>8</v>
      </c>
      <c r="J2" s="165">
        <v>9</v>
      </c>
      <c r="K2" s="165">
        <v>10</v>
      </c>
      <c r="L2" s="165">
        <v>11</v>
      </c>
      <c r="M2" s="165">
        <v>12</v>
      </c>
      <c r="N2" s="165">
        <v>13</v>
      </c>
      <c r="O2" s="165">
        <v>14</v>
      </c>
      <c r="P2" s="165">
        <v>15</v>
      </c>
      <c r="Q2" s="165">
        <v>16</v>
      </c>
      <c r="R2" s="165">
        <v>17</v>
      </c>
      <c r="S2" s="165">
        <v>18</v>
      </c>
      <c r="T2" s="165">
        <v>19</v>
      </c>
      <c r="U2" s="165">
        <v>20</v>
      </c>
      <c r="V2" s="165">
        <v>21</v>
      </c>
      <c r="W2" s="165">
        <v>22</v>
      </c>
      <c r="X2" s="165">
        <v>23</v>
      </c>
      <c r="Y2" s="165">
        <v>24</v>
      </c>
      <c r="Z2" s="165">
        <v>25</v>
      </c>
      <c r="AA2" s="165">
        <v>26</v>
      </c>
      <c r="AB2" s="165">
        <v>27</v>
      </c>
      <c r="AC2" s="165">
        <v>28</v>
      </c>
      <c r="AD2" s="165">
        <v>29</v>
      </c>
      <c r="AE2" s="165">
        <v>30</v>
      </c>
      <c r="AF2" s="165">
        <v>31</v>
      </c>
      <c r="AG2" s="165">
        <v>32</v>
      </c>
    </row>
    <row r="3" spans="1:33" ht="87.5" x14ac:dyDescent="0.25">
      <c r="A3" s="164" t="s">
        <v>50</v>
      </c>
      <c r="B3" s="164" t="s">
        <v>51</v>
      </c>
      <c r="C3" s="166" t="s">
        <v>52</v>
      </c>
      <c r="D3" s="166" t="s">
        <v>53</v>
      </c>
      <c r="E3" s="166" t="s">
        <v>54</v>
      </c>
      <c r="F3" s="166" t="s">
        <v>55</v>
      </c>
      <c r="G3" s="166" t="s">
        <v>56</v>
      </c>
      <c r="H3" s="166" t="s">
        <v>57</v>
      </c>
      <c r="I3" s="167" t="s">
        <v>58</v>
      </c>
      <c r="J3" s="167" t="s">
        <v>59</v>
      </c>
      <c r="K3" s="168" t="s">
        <v>60</v>
      </c>
      <c r="L3" s="168" t="s">
        <v>61</v>
      </c>
      <c r="M3" s="168" t="s">
        <v>62</v>
      </c>
      <c r="N3" s="169" t="s">
        <v>63</v>
      </c>
      <c r="O3" s="168" t="s">
        <v>64</v>
      </c>
      <c r="P3" s="170" t="s">
        <v>65</v>
      </c>
      <c r="Q3" s="170" t="s">
        <v>66</v>
      </c>
      <c r="R3" s="170" t="s">
        <v>62</v>
      </c>
      <c r="S3" s="170" t="s">
        <v>67</v>
      </c>
      <c r="T3" s="170" t="s">
        <v>68</v>
      </c>
      <c r="U3" s="171" t="s">
        <v>69</v>
      </c>
      <c r="V3" s="171" t="s">
        <v>70</v>
      </c>
      <c r="W3" s="172" t="s">
        <v>71</v>
      </c>
      <c r="X3" s="172" t="s">
        <v>72</v>
      </c>
      <c r="Y3" s="173" t="s">
        <v>73</v>
      </c>
      <c r="Z3" s="173" t="s">
        <v>74</v>
      </c>
      <c r="AA3" s="173" t="s">
        <v>75</v>
      </c>
      <c r="AB3" s="173" t="s">
        <v>76</v>
      </c>
      <c r="AC3" s="173" t="s">
        <v>77</v>
      </c>
      <c r="AD3" s="174" t="s">
        <v>78</v>
      </c>
      <c r="AE3" s="174" t="s">
        <v>79</v>
      </c>
      <c r="AF3" s="174" t="s">
        <v>80</v>
      </c>
      <c r="AG3" s="174" t="s">
        <v>81</v>
      </c>
    </row>
    <row r="4" spans="1:33" x14ac:dyDescent="0.25">
      <c r="A4" s="381" t="s">
        <v>15</v>
      </c>
      <c r="B4" s="381" t="s">
        <v>15</v>
      </c>
      <c r="C4" s="382">
        <v>2027038</v>
      </c>
      <c r="D4" s="382">
        <v>8596</v>
      </c>
      <c r="E4" s="382">
        <v>116082</v>
      </c>
      <c r="F4" s="382">
        <v>300267</v>
      </c>
      <c r="G4" s="382">
        <v>156784</v>
      </c>
      <c r="H4" s="383">
        <v>2608767</v>
      </c>
      <c r="I4" s="382">
        <v>2451983</v>
      </c>
      <c r="J4" s="382">
        <v>16474</v>
      </c>
      <c r="K4" s="384">
        <v>95.88</v>
      </c>
      <c r="L4" s="384">
        <v>96.85</v>
      </c>
      <c r="M4" s="384">
        <v>6.02</v>
      </c>
      <c r="N4" s="384">
        <v>99.33</v>
      </c>
      <c r="O4" s="385">
        <v>1824788</v>
      </c>
      <c r="P4" s="382">
        <v>87.71</v>
      </c>
      <c r="Q4" s="382">
        <v>85.34</v>
      </c>
      <c r="R4" s="382">
        <v>31.28</v>
      </c>
      <c r="S4" s="382">
        <v>115.98</v>
      </c>
      <c r="T4" s="382">
        <v>361210</v>
      </c>
      <c r="U4" s="382">
        <v>124.34</v>
      </c>
      <c r="V4" s="382">
        <v>117288</v>
      </c>
      <c r="W4" s="382">
        <v>146.38999999999999</v>
      </c>
      <c r="X4" s="382">
        <v>5976</v>
      </c>
      <c r="Y4" s="382">
        <v>4098</v>
      </c>
      <c r="Z4" s="382">
        <v>5162</v>
      </c>
      <c r="AA4" s="382">
        <v>2803</v>
      </c>
      <c r="AB4" s="382">
        <v>7734</v>
      </c>
      <c r="AC4" s="382">
        <v>4862</v>
      </c>
      <c r="AD4" s="386">
        <v>1967526</v>
      </c>
      <c r="AE4" s="382">
        <v>15068</v>
      </c>
      <c r="AF4" s="382">
        <v>12347</v>
      </c>
      <c r="AG4" s="382">
        <v>27415</v>
      </c>
    </row>
    <row r="5" spans="1:33" x14ac:dyDescent="0.25">
      <c r="A5" s="387" t="s">
        <v>82</v>
      </c>
      <c r="B5" s="387" t="s">
        <v>82</v>
      </c>
      <c r="C5" s="383">
        <v>103532</v>
      </c>
      <c r="D5" s="383">
        <v>202</v>
      </c>
      <c r="E5" s="383">
        <v>7470</v>
      </c>
      <c r="F5" s="383">
        <v>24836</v>
      </c>
      <c r="G5" s="383">
        <v>10684</v>
      </c>
      <c r="H5" s="383">
        <v>146724</v>
      </c>
      <c r="I5" s="382">
        <v>136040</v>
      </c>
      <c r="J5" s="382">
        <v>553</v>
      </c>
      <c r="K5" s="384">
        <v>87.91</v>
      </c>
      <c r="L5" s="384">
        <v>88.33</v>
      </c>
      <c r="M5" s="384">
        <v>4.51</v>
      </c>
      <c r="N5" s="384">
        <v>90.58</v>
      </c>
      <c r="O5" s="385">
        <v>95037</v>
      </c>
      <c r="P5" s="382">
        <v>83.9</v>
      </c>
      <c r="Q5" s="382">
        <v>80.900000000000006</v>
      </c>
      <c r="R5" s="382">
        <v>26.57</v>
      </c>
      <c r="S5" s="382">
        <v>106.95</v>
      </c>
      <c r="T5" s="382">
        <v>28863</v>
      </c>
      <c r="U5" s="382">
        <v>104.47</v>
      </c>
      <c r="V5" s="382">
        <v>4186</v>
      </c>
      <c r="W5" s="382">
        <v>131.38</v>
      </c>
      <c r="X5" s="382">
        <v>311</v>
      </c>
      <c r="Y5" s="382">
        <v>42</v>
      </c>
      <c r="Z5" s="382">
        <v>255</v>
      </c>
      <c r="AA5" s="382">
        <v>186</v>
      </c>
      <c r="AB5" s="382">
        <v>557</v>
      </c>
      <c r="AC5" s="382">
        <v>320</v>
      </c>
      <c r="AD5" s="386">
        <v>100833</v>
      </c>
      <c r="AE5" s="382">
        <v>781</v>
      </c>
      <c r="AF5" s="382">
        <v>560</v>
      </c>
      <c r="AG5" s="382">
        <v>1341</v>
      </c>
    </row>
    <row r="6" spans="1:33" x14ac:dyDescent="0.25">
      <c r="A6" s="387" t="s">
        <v>83</v>
      </c>
      <c r="B6" s="387" t="s">
        <v>83</v>
      </c>
      <c r="C6" s="383">
        <v>203432</v>
      </c>
      <c r="D6" s="383">
        <v>774</v>
      </c>
      <c r="E6" s="383">
        <v>12673</v>
      </c>
      <c r="F6" s="383">
        <v>30621</v>
      </c>
      <c r="G6" s="383">
        <v>17383</v>
      </c>
      <c r="H6" s="383">
        <v>264883</v>
      </c>
      <c r="I6" s="382">
        <v>247500</v>
      </c>
      <c r="J6" s="382">
        <v>642</v>
      </c>
      <c r="K6" s="384">
        <v>100.22</v>
      </c>
      <c r="L6" s="384">
        <v>101.02</v>
      </c>
      <c r="M6" s="384">
        <v>5.0599999999999996</v>
      </c>
      <c r="N6" s="384">
        <v>102.68</v>
      </c>
      <c r="O6" s="385">
        <v>185091</v>
      </c>
      <c r="P6" s="382">
        <v>88.69</v>
      </c>
      <c r="Q6" s="382">
        <v>86.74</v>
      </c>
      <c r="R6" s="382">
        <v>30.72</v>
      </c>
      <c r="S6" s="382">
        <v>116.37</v>
      </c>
      <c r="T6" s="382">
        <v>37112</v>
      </c>
      <c r="U6" s="382">
        <v>127.41</v>
      </c>
      <c r="V6" s="382">
        <v>12541</v>
      </c>
      <c r="W6" s="382">
        <v>173.76</v>
      </c>
      <c r="X6" s="382">
        <v>206</v>
      </c>
      <c r="Y6" s="382">
        <v>302</v>
      </c>
      <c r="Z6" s="382">
        <v>515</v>
      </c>
      <c r="AA6" s="382">
        <v>210</v>
      </c>
      <c r="AB6" s="382">
        <v>881</v>
      </c>
      <c r="AC6" s="382">
        <v>543</v>
      </c>
      <c r="AD6" s="386">
        <v>201484</v>
      </c>
      <c r="AE6" s="382">
        <v>1123</v>
      </c>
      <c r="AF6" s="382">
        <v>743</v>
      </c>
      <c r="AG6" s="382">
        <v>1866</v>
      </c>
    </row>
    <row r="7" spans="1:33" x14ac:dyDescent="0.25">
      <c r="A7" s="387" t="s">
        <v>84</v>
      </c>
      <c r="B7" s="387" t="s">
        <v>84</v>
      </c>
      <c r="C7" s="383">
        <v>337595</v>
      </c>
      <c r="D7" s="383">
        <v>3908</v>
      </c>
      <c r="E7" s="383">
        <v>28004</v>
      </c>
      <c r="F7" s="383">
        <v>28168</v>
      </c>
      <c r="G7" s="383">
        <v>42965</v>
      </c>
      <c r="H7" s="383">
        <v>440640</v>
      </c>
      <c r="I7" s="382">
        <v>397675</v>
      </c>
      <c r="J7" s="382">
        <v>7269</v>
      </c>
      <c r="K7" s="384">
        <v>121.37</v>
      </c>
      <c r="L7" s="384">
        <v>125.74</v>
      </c>
      <c r="M7" s="384">
        <v>10.33</v>
      </c>
      <c r="N7" s="384">
        <v>128.47999999999999</v>
      </c>
      <c r="O7" s="385">
        <v>292516</v>
      </c>
      <c r="P7" s="382">
        <v>109.81</v>
      </c>
      <c r="Q7" s="382">
        <v>109.53</v>
      </c>
      <c r="R7" s="382">
        <v>44.22</v>
      </c>
      <c r="S7" s="382">
        <v>151.03</v>
      </c>
      <c r="T7" s="382">
        <v>44560</v>
      </c>
      <c r="U7" s="382">
        <v>176.79</v>
      </c>
      <c r="V7" s="382">
        <v>16454</v>
      </c>
      <c r="W7" s="382">
        <v>198.29</v>
      </c>
      <c r="X7" s="382">
        <v>582</v>
      </c>
      <c r="Y7" s="382">
        <v>432</v>
      </c>
      <c r="Z7" s="382">
        <v>622</v>
      </c>
      <c r="AA7" s="382">
        <v>367</v>
      </c>
      <c r="AB7" s="382">
        <v>2729</v>
      </c>
      <c r="AC7" s="382">
        <v>1842</v>
      </c>
      <c r="AD7" s="386">
        <v>317692</v>
      </c>
      <c r="AE7" s="382">
        <v>1699</v>
      </c>
      <c r="AF7" s="382">
        <v>2347</v>
      </c>
      <c r="AG7" s="382">
        <v>4046</v>
      </c>
    </row>
    <row r="8" spans="1:33" x14ac:dyDescent="0.25">
      <c r="A8" s="387" t="s">
        <v>85</v>
      </c>
      <c r="B8" s="387" t="s">
        <v>85</v>
      </c>
      <c r="C8" s="383">
        <v>133500</v>
      </c>
      <c r="D8" s="383">
        <v>516</v>
      </c>
      <c r="E8" s="383">
        <v>6113</v>
      </c>
      <c r="F8" s="383">
        <v>20069</v>
      </c>
      <c r="G8" s="383">
        <v>3278</v>
      </c>
      <c r="H8" s="383">
        <v>163476</v>
      </c>
      <c r="I8" s="382">
        <v>160198</v>
      </c>
      <c r="J8" s="382">
        <v>1143</v>
      </c>
      <c r="K8" s="384">
        <v>80.45</v>
      </c>
      <c r="L8" s="384">
        <v>79.09</v>
      </c>
      <c r="M8" s="384">
        <v>6.11</v>
      </c>
      <c r="N8" s="384">
        <v>82.84</v>
      </c>
      <c r="O8" s="385">
        <v>122573</v>
      </c>
      <c r="P8" s="382">
        <v>79.900000000000006</v>
      </c>
      <c r="Q8" s="382">
        <v>73.63</v>
      </c>
      <c r="R8" s="382">
        <v>34.08</v>
      </c>
      <c r="S8" s="382">
        <v>106.51</v>
      </c>
      <c r="T8" s="382">
        <v>24130</v>
      </c>
      <c r="U8" s="382">
        <v>95.31</v>
      </c>
      <c r="V8" s="382">
        <v>8324</v>
      </c>
      <c r="W8" s="382">
        <v>124.71</v>
      </c>
      <c r="X8" s="382">
        <v>946</v>
      </c>
      <c r="Y8" s="382">
        <v>12</v>
      </c>
      <c r="Z8" s="382">
        <v>391</v>
      </c>
      <c r="AA8" s="382">
        <v>174</v>
      </c>
      <c r="AB8" s="382">
        <v>119</v>
      </c>
      <c r="AC8" s="382">
        <v>63</v>
      </c>
      <c r="AD8" s="386">
        <v>130902</v>
      </c>
      <c r="AE8" s="382">
        <v>1959</v>
      </c>
      <c r="AF8" s="382">
        <v>1185</v>
      </c>
      <c r="AG8" s="382">
        <v>3144</v>
      </c>
    </row>
    <row r="9" spans="1:33" x14ac:dyDescent="0.25">
      <c r="A9" s="387" t="s">
        <v>86</v>
      </c>
      <c r="B9" s="387" t="s">
        <v>86</v>
      </c>
      <c r="C9" s="383">
        <v>421015</v>
      </c>
      <c r="D9" s="383">
        <v>262</v>
      </c>
      <c r="E9" s="383">
        <v>18367</v>
      </c>
      <c r="F9" s="383">
        <v>60515</v>
      </c>
      <c r="G9" s="383">
        <v>12546</v>
      </c>
      <c r="H9" s="383">
        <v>512705</v>
      </c>
      <c r="I9" s="382">
        <v>500159</v>
      </c>
      <c r="J9" s="382">
        <v>3823</v>
      </c>
      <c r="K9" s="384">
        <v>83.13</v>
      </c>
      <c r="L9" s="384">
        <v>83.73</v>
      </c>
      <c r="M9" s="384">
        <v>4.63</v>
      </c>
      <c r="N9" s="384">
        <v>85.4</v>
      </c>
      <c r="O9" s="385">
        <v>383526</v>
      </c>
      <c r="P9" s="382">
        <v>80.430000000000007</v>
      </c>
      <c r="Q9" s="382">
        <v>77.290000000000006</v>
      </c>
      <c r="R9" s="382">
        <v>27.83</v>
      </c>
      <c r="S9" s="382">
        <v>105.06</v>
      </c>
      <c r="T9" s="382">
        <v>72495</v>
      </c>
      <c r="U9" s="382">
        <v>103.75</v>
      </c>
      <c r="V9" s="382">
        <v>25832</v>
      </c>
      <c r="W9" s="382">
        <v>133.34</v>
      </c>
      <c r="X9" s="382">
        <v>704</v>
      </c>
      <c r="Y9" s="382">
        <v>530</v>
      </c>
      <c r="Z9" s="382">
        <v>1561</v>
      </c>
      <c r="AA9" s="382">
        <v>535</v>
      </c>
      <c r="AB9" s="382">
        <v>478</v>
      </c>
      <c r="AC9" s="382">
        <v>210</v>
      </c>
      <c r="AD9" s="386">
        <v>410100</v>
      </c>
      <c r="AE9" s="382">
        <v>3458</v>
      </c>
      <c r="AF9" s="382">
        <v>3313</v>
      </c>
      <c r="AG9" s="382">
        <v>6771</v>
      </c>
    </row>
    <row r="10" spans="1:33" x14ac:dyDescent="0.25">
      <c r="A10" s="387" t="s">
        <v>87</v>
      </c>
      <c r="B10" s="387" t="s">
        <v>87</v>
      </c>
      <c r="C10" s="383">
        <v>277126</v>
      </c>
      <c r="D10" s="383">
        <v>1802</v>
      </c>
      <c r="E10" s="383">
        <v>14787</v>
      </c>
      <c r="F10" s="383">
        <v>41007</v>
      </c>
      <c r="G10" s="383">
        <v>34664</v>
      </c>
      <c r="H10" s="383">
        <v>369386</v>
      </c>
      <c r="I10" s="382">
        <v>334722</v>
      </c>
      <c r="J10" s="382">
        <v>1370</v>
      </c>
      <c r="K10" s="384">
        <v>108.64</v>
      </c>
      <c r="L10" s="384">
        <v>109.06</v>
      </c>
      <c r="M10" s="384">
        <v>5.15</v>
      </c>
      <c r="N10" s="384">
        <v>111.92</v>
      </c>
      <c r="O10" s="385">
        <v>245434</v>
      </c>
      <c r="P10" s="382">
        <v>93.09</v>
      </c>
      <c r="Q10" s="382">
        <v>91.58</v>
      </c>
      <c r="R10" s="382">
        <v>29.66</v>
      </c>
      <c r="S10" s="382">
        <v>120.78</v>
      </c>
      <c r="T10" s="382">
        <v>46375</v>
      </c>
      <c r="U10" s="382">
        <v>144.28</v>
      </c>
      <c r="V10" s="382">
        <v>19467</v>
      </c>
      <c r="W10" s="382">
        <v>162.1</v>
      </c>
      <c r="X10" s="382">
        <v>1034</v>
      </c>
      <c r="Y10" s="382">
        <v>1220</v>
      </c>
      <c r="Z10" s="382">
        <v>404</v>
      </c>
      <c r="AA10" s="382">
        <v>243</v>
      </c>
      <c r="AB10" s="382">
        <v>1578</v>
      </c>
      <c r="AC10" s="382">
        <v>1040</v>
      </c>
      <c r="AD10" s="386">
        <v>270526</v>
      </c>
      <c r="AE10" s="382">
        <v>1390</v>
      </c>
      <c r="AF10" s="382">
        <v>1086</v>
      </c>
      <c r="AG10" s="382">
        <v>2476</v>
      </c>
    </row>
    <row r="11" spans="1:33" x14ac:dyDescent="0.25">
      <c r="A11" s="387" t="s">
        <v>88</v>
      </c>
      <c r="B11" s="387" t="s">
        <v>88</v>
      </c>
      <c r="C11" s="383">
        <v>184140</v>
      </c>
      <c r="D11" s="383">
        <v>366</v>
      </c>
      <c r="E11" s="383">
        <v>9873</v>
      </c>
      <c r="F11" s="383">
        <v>35369</v>
      </c>
      <c r="G11" s="383">
        <v>15193</v>
      </c>
      <c r="H11" s="383">
        <v>244941</v>
      </c>
      <c r="I11" s="382">
        <v>229748</v>
      </c>
      <c r="J11" s="382">
        <v>978</v>
      </c>
      <c r="K11" s="384">
        <v>92.7</v>
      </c>
      <c r="L11" s="384">
        <v>92.25</v>
      </c>
      <c r="M11" s="384">
        <v>4.3600000000000003</v>
      </c>
      <c r="N11" s="384">
        <v>95.29</v>
      </c>
      <c r="O11" s="385">
        <v>163918</v>
      </c>
      <c r="P11" s="382">
        <v>84.4</v>
      </c>
      <c r="Q11" s="382">
        <v>82.27</v>
      </c>
      <c r="R11" s="382">
        <v>25.72</v>
      </c>
      <c r="S11" s="382">
        <v>108.76</v>
      </c>
      <c r="T11" s="382">
        <v>40073</v>
      </c>
      <c r="U11" s="382">
        <v>120.22</v>
      </c>
      <c r="V11" s="382">
        <v>11611</v>
      </c>
      <c r="W11" s="382">
        <v>142.26</v>
      </c>
      <c r="X11" s="382">
        <v>433</v>
      </c>
      <c r="Y11" s="382">
        <v>712</v>
      </c>
      <c r="Z11" s="382">
        <v>465</v>
      </c>
      <c r="AA11" s="382">
        <v>321</v>
      </c>
      <c r="AB11" s="382">
        <v>700</v>
      </c>
      <c r="AC11" s="382">
        <v>336</v>
      </c>
      <c r="AD11" s="386">
        <v>176364</v>
      </c>
      <c r="AE11" s="382">
        <v>1105</v>
      </c>
      <c r="AF11" s="382">
        <v>770</v>
      </c>
      <c r="AG11" s="382">
        <v>1875</v>
      </c>
    </row>
    <row r="12" spans="1:33" x14ac:dyDescent="0.25">
      <c r="A12" s="387" t="s">
        <v>89</v>
      </c>
      <c r="B12" s="387" t="s">
        <v>89</v>
      </c>
      <c r="C12" s="383">
        <v>208332</v>
      </c>
      <c r="D12" s="383">
        <v>380</v>
      </c>
      <c r="E12" s="383">
        <v>10941</v>
      </c>
      <c r="F12" s="383">
        <v>33405</v>
      </c>
      <c r="G12" s="383">
        <v>13918</v>
      </c>
      <c r="H12" s="383">
        <v>266976</v>
      </c>
      <c r="I12" s="382">
        <v>253058</v>
      </c>
      <c r="J12" s="382">
        <v>354</v>
      </c>
      <c r="K12" s="384">
        <v>89.27</v>
      </c>
      <c r="L12" s="384">
        <v>89.52</v>
      </c>
      <c r="M12" s="384">
        <v>5.34</v>
      </c>
      <c r="N12" s="384">
        <v>92.81</v>
      </c>
      <c r="O12" s="385">
        <v>189788</v>
      </c>
      <c r="P12" s="382">
        <v>84.86</v>
      </c>
      <c r="Q12" s="382">
        <v>83.24</v>
      </c>
      <c r="R12" s="382">
        <v>34.770000000000003</v>
      </c>
      <c r="S12" s="382">
        <v>116.2</v>
      </c>
      <c r="T12" s="382">
        <v>37668</v>
      </c>
      <c r="U12" s="382">
        <v>107.52</v>
      </c>
      <c r="V12" s="382">
        <v>10861</v>
      </c>
      <c r="W12" s="382">
        <v>150.26</v>
      </c>
      <c r="X12" s="382">
        <v>970</v>
      </c>
      <c r="Y12" s="382">
        <v>537</v>
      </c>
      <c r="Z12" s="382">
        <v>550</v>
      </c>
      <c r="AA12" s="382">
        <v>400</v>
      </c>
      <c r="AB12" s="382">
        <v>533</v>
      </c>
      <c r="AC12" s="382">
        <v>367</v>
      </c>
      <c r="AD12" s="386">
        <v>202879</v>
      </c>
      <c r="AE12" s="382">
        <v>1401</v>
      </c>
      <c r="AF12" s="382">
        <v>889</v>
      </c>
      <c r="AG12" s="382">
        <v>2290</v>
      </c>
    </row>
    <row r="13" spans="1:33" x14ac:dyDescent="0.25">
      <c r="A13" s="387" t="s">
        <v>792</v>
      </c>
      <c r="B13" s="387" t="s">
        <v>792</v>
      </c>
      <c r="C13" s="383">
        <v>158366</v>
      </c>
      <c r="D13" s="383">
        <v>386</v>
      </c>
      <c r="E13" s="383">
        <v>7854</v>
      </c>
      <c r="F13" s="383">
        <v>26277</v>
      </c>
      <c r="G13" s="383">
        <v>6153</v>
      </c>
      <c r="H13" s="383">
        <v>199036</v>
      </c>
      <c r="I13" s="382">
        <v>192883</v>
      </c>
      <c r="J13" s="382">
        <v>342</v>
      </c>
      <c r="K13" s="384">
        <v>81.790000000000006</v>
      </c>
      <c r="L13" s="384">
        <v>83.56</v>
      </c>
      <c r="M13" s="384">
        <v>5.26</v>
      </c>
      <c r="N13" s="384">
        <v>84.68</v>
      </c>
      <c r="O13" s="385">
        <v>146905</v>
      </c>
      <c r="P13" s="382">
        <v>80.91</v>
      </c>
      <c r="Q13" s="382">
        <v>77.010000000000005</v>
      </c>
      <c r="R13" s="382">
        <v>28.8</v>
      </c>
      <c r="S13" s="382">
        <v>108.09</v>
      </c>
      <c r="T13" s="382">
        <v>29934</v>
      </c>
      <c r="U13" s="382">
        <v>99.11</v>
      </c>
      <c r="V13" s="382">
        <v>8012</v>
      </c>
      <c r="W13" s="382">
        <v>121.45</v>
      </c>
      <c r="X13" s="382">
        <v>790</v>
      </c>
      <c r="Y13" s="382">
        <v>311</v>
      </c>
      <c r="Z13" s="382">
        <v>399</v>
      </c>
      <c r="AA13" s="382">
        <v>367</v>
      </c>
      <c r="AB13" s="382">
        <v>159</v>
      </c>
      <c r="AC13" s="382">
        <v>141</v>
      </c>
      <c r="AD13" s="386">
        <v>156746</v>
      </c>
      <c r="AE13" s="382">
        <v>2152</v>
      </c>
      <c r="AF13" s="382">
        <v>1454</v>
      </c>
      <c r="AG13" s="382">
        <v>3606</v>
      </c>
    </row>
    <row r="14" spans="1:33" x14ac:dyDescent="0.25">
      <c r="A14" s="381" t="s">
        <v>90</v>
      </c>
      <c r="B14" s="387" t="s">
        <v>91</v>
      </c>
      <c r="C14" s="383">
        <v>810</v>
      </c>
      <c r="D14" s="383">
        <v>0</v>
      </c>
      <c r="E14" s="383">
        <v>49</v>
      </c>
      <c r="F14" s="383">
        <v>137</v>
      </c>
      <c r="G14" s="383">
        <v>134</v>
      </c>
      <c r="H14" s="383">
        <v>1130</v>
      </c>
      <c r="I14" s="382">
        <v>996</v>
      </c>
      <c r="J14" s="382">
        <v>0</v>
      </c>
      <c r="K14" s="384">
        <v>112.71</v>
      </c>
      <c r="L14" s="384">
        <v>111.46</v>
      </c>
      <c r="M14" s="384">
        <v>4.49</v>
      </c>
      <c r="N14" s="384">
        <v>116.12</v>
      </c>
      <c r="O14" s="385">
        <v>732</v>
      </c>
      <c r="P14" s="382">
        <v>81.540000000000006</v>
      </c>
      <c r="Q14" s="382">
        <v>82.23</v>
      </c>
      <c r="R14" s="382">
        <v>26.07</v>
      </c>
      <c r="S14" s="382">
        <v>107.61</v>
      </c>
      <c r="T14" s="382">
        <v>165</v>
      </c>
      <c r="U14" s="382">
        <v>142.38</v>
      </c>
      <c r="V14" s="382">
        <v>50</v>
      </c>
      <c r="W14" s="382">
        <v>128.79</v>
      </c>
      <c r="X14" s="382">
        <v>13</v>
      </c>
      <c r="Y14" s="382">
        <v>0</v>
      </c>
      <c r="Z14" s="382">
        <v>0</v>
      </c>
      <c r="AA14" s="382">
        <v>0</v>
      </c>
      <c r="AB14" s="382">
        <v>0</v>
      </c>
      <c r="AC14" s="382">
        <v>6</v>
      </c>
      <c r="AD14" s="386">
        <v>789</v>
      </c>
      <c r="AE14" s="386">
        <v>2</v>
      </c>
      <c r="AF14" s="386">
        <v>1</v>
      </c>
      <c r="AG14" s="386">
        <v>3</v>
      </c>
    </row>
    <row r="15" spans="1:33" x14ac:dyDescent="0.25">
      <c r="A15" s="381" t="s">
        <v>92</v>
      </c>
      <c r="B15" s="387" t="s">
        <v>93</v>
      </c>
      <c r="C15" s="383">
        <v>8058</v>
      </c>
      <c r="D15" s="383">
        <v>30</v>
      </c>
      <c r="E15" s="383">
        <v>161</v>
      </c>
      <c r="F15" s="383">
        <v>353</v>
      </c>
      <c r="G15" s="383">
        <v>99</v>
      </c>
      <c r="H15" s="383">
        <v>8701</v>
      </c>
      <c r="I15" s="382">
        <v>8602</v>
      </c>
      <c r="J15" s="382">
        <v>7</v>
      </c>
      <c r="K15" s="384">
        <v>84.4</v>
      </c>
      <c r="L15" s="384">
        <v>84.02</v>
      </c>
      <c r="M15" s="384">
        <v>2.36</v>
      </c>
      <c r="N15" s="384">
        <v>86.13</v>
      </c>
      <c r="O15" s="385">
        <v>7314</v>
      </c>
      <c r="P15" s="382">
        <v>77.510000000000005</v>
      </c>
      <c r="Q15" s="382">
        <v>75.39</v>
      </c>
      <c r="R15" s="382">
        <v>28.1</v>
      </c>
      <c r="S15" s="382">
        <v>104.88</v>
      </c>
      <c r="T15" s="382">
        <v>506</v>
      </c>
      <c r="U15" s="382">
        <v>103.16</v>
      </c>
      <c r="V15" s="382">
        <v>236</v>
      </c>
      <c r="W15" s="382">
        <v>0</v>
      </c>
      <c r="X15" s="382">
        <v>0</v>
      </c>
      <c r="Y15" s="382">
        <v>0</v>
      </c>
      <c r="Z15" s="382">
        <v>12</v>
      </c>
      <c r="AA15" s="382">
        <v>6</v>
      </c>
      <c r="AB15" s="382">
        <v>0</v>
      </c>
      <c r="AC15" s="382">
        <v>0</v>
      </c>
      <c r="AD15" s="386">
        <v>7444</v>
      </c>
      <c r="AE15" s="386">
        <v>119</v>
      </c>
      <c r="AF15" s="386">
        <v>59</v>
      </c>
      <c r="AG15" s="386">
        <v>178</v>
      </c>
    </row>
    <row r="16" spans="1:33" x14ac:dyDescent="0.25">
      <c r="A16" s="381" t="s">
        <v>94</v>
      </c>
      <c r="B16" s="387" t="s">
        <v>95</v>
      </c>
      <c r="C16" s="383">
        <v>4461</v>
      </c>
      <c r="D16" s="383">
        <v>0</v>
      </c>
      <c r="E16" s="383">
        <v>145</v>
      </c>
      <c r="F16" s="383">
        <v>2427</v>
      </c>
      <c r="G16" s="383">
        <v>113</v>
      </c>
      <c r="H16" s="383">
        <v>7146</v>
      </c>
      <c r="I16" s="382">
        <v>7033</v>
      </c>
      <c r="J16" s="382">
        <v>0</v>
      </c>
      <c r="K16" s="384">
        <v>90.9</v>
      </c>
      <c r="L16" s="384">
        <v>92.19</v>
      </c>
      <c r="M16" s="384">
        <v>2.34</v>
      </c>
      <c r="N16" s="384">
        <v>93.01</v>
      </c>
      <c r="O16" s="385">
        <v>4432</v>
      </c>
      <c r="P16" s="382">
        <v>83.05</v>
      </c>
      <c r="Q16" s="382">
        <v>85.45</v>
      </c>
      <c r="R16" s="382">
        <v>7.47</v>
      </c>
      <c r="S16" s="382">
        <v>90.47</v>
      </c>
      <c r="T16" s="382">
        <v>2540</v>
      </c>
      <c r="U16" s="382">
        <v>96.57</v>
      </c>
      <c r="V16" s="382">
        <v>13</v>
      </c>
      <c r="W16" s="382">
        <v>0</v>
      </c>
      <c r="X16" s="382">
        <v>0</v>
      </c>
      <c r="Y16" s="382">
        <v>0</v>
      </c>
      <c r="Z16" s="382">
        <v>21</v>
      </c>
      <c r="AA16" s="382">
        <v>9</v>
      </c>
      <c r="AB16" s="382">
        <v>3</v>
      </c>
      <c r="AC16" s="382">
        <v>1</v>
      </c>
      <c r="AD16" s="386">
        <v>4453</v>
      </c>
      <c r="AE16" s="386">
        <v>33</v>
      </c>
      <c r="AF16" s="386">
        <v>21</v>
      </c>
      <c r="AG16" s="386">
        <v>54</v>
      </c>
    </row>
    <row r="17" spans="1:33" x14ac:dyDescent="0.25">
      <c r="A17" s="381" t="s">
        <v>96</v>
      </c>
      <c r="B17" s="387" t="s">
        <v>97</v>
      </c>
      <c r="C17" s="383">
        <v>2629</v>
      </c>
      <c r="D17" s="383">
        <v>67</v>
      </c>
      <c r="E17" s="383">
        <v>169</v>
      </c>
      <c r="F17" s="383">
        <v>373</v>
      </c>
      <c r="G17" s="383">
        <v>468</v>
      </c>
      <c r="H17" s="383">
        <v>3706</v>
      </c>
      <c r="I17" s="382">
        <v>3238</v>
      </c>
      <c r="J17" s="382">
        <v>3</v>
      </c>
      <c r="K17" s="384">
        <v>109.5</v>
      </c>
      <c r="L17" s="384">
        <v>108.76</v>
      </c>
      <c r="M17" s="384">
        <v>4.5</v>
      </c>
      <c r="N17" s="384">
        <v>113.21</v>
      </c>
      <c r="O17" s="385">
        <v>2209</v>
      </c>
      <c r="P17" s="382">
        <v>87.81</v>
      </c>
      <c r="Q17" s="382">
        <v>84.21</v>
      </c>
      <c r="R17" s="382">
        <v>34.869999999999997</v>
      </c>
      <c r="S17" s="382">
        <v>120.13</v>
      </c>
      <c r="T17" s="382">
        <v>422</v>
      </c>
      <c r="U17" s="382">
        <v>155.74</v>
      </c>
      <c r="V17" s="382">
        <v>369</v>
      </c>
      <c r="W17" s="382">
        <v>0</v>
      </c>
      <c r="X17" s="382">
        <v>0</v>
      </c>
      <c r="Y17" s="382">
        <v>0</v>
      </c>
      <c r="Z17" s="382">
        <v>0</v>
      </c>
      <c r="AA17" s="382">
        <v>2</v>
      </c>
      <c r="AB17" s="382">
        <v>12</v>
      </c>
      <c r="AC17" s="382">
        <v>10</v>
      </c>
      <c r="AD17" s="386">
        <v>2622</v>
      </c>
      <c r="AE17" s="386">
        <v>9</v>
      </c>
      <c r="AF17" s="386">
        <v>12</v>
      </c>
      <c r="AG17" s="386">
        <v>21</v>
      </c>
    </row>
    <row r="18" spans="1:33" x14ac:dyDescent="0.25">
      <c r="A18" s="381" t="s">
        <v>98</v>
      </c>
      <c r="B18" s="387" t="s">
        <v>99</v>
      </c>
      <c r="C18" s="383">
        <v>1472</v>
      </c>
      <c r="D18" s="383">
        <v>0</v>
      </c>
      <c r="E18" s="383">
        <v>140</v>
      </c>
      <c r="F18" s="383">
        <v>288</v>
      </c>
      <c r="G18" s="383">
        <v>174</v>
      </c>
      <c r="H18" s="383">
        <v>2074</v>
      </c>
      <c r="I18" s="382">
        <v>1900</v>
      </c>
      <c r="J18" s="382">
        <v>0</v>
      </c>
      <c r="K18" s="384">
        <v>86.18</v>
      </c>
      <c r="L18" s="384">
        <v>84.71</v>
      </c>
      <c r="M18" s="384">
        <v>4.7</v>
      </c>
      <c r="N18" s="384">
        <v>88.5</v>
      </c>
      <c r="O18" s="385">
        <v>1364</v>
      </c>
      <c r="P18" s="382">
        <v>89.27</v>
      </c>
      <c r="Q18" s="382">
        <v>83.83</v>
      </c>
      <c r="R18" s="382">
        <v>33.58</v>
      </c>
      <c r="S18" s="382">
        <v>121.02</v>
      </c>
      <c r="T18" s="382">
        <v>385</v>
      </c>
      <c r="U18" s="382">
        <v>100.15</v>
      </c>
      <c r="V18" s="382">
        <v>38</v>
      </c>
      <c r="W18" s="382">
        <v>0</v>
      </c>
      <c r="X18" s="382">
        <v>0</v>
      </c>
      <c r="Y18" s="382">
        <v>0</v>
      </c>
      <c r="Z18" s="382">
        <v>1</v>
      </c>
      <c r="AA18" s="382">
        <v>1</v>
      </c>
      <c r="AB18" s="382">
        <v>9</v>
      </c>
      <c r="AC18" s="382">
        <v>6</v>
      </c>
      <c r="AD18" s="386">
        <v>1472</v>
      </c>
      <c r="AE18" s="386">
        <v>4</v>
      </c>
      <c r="AF18" s="386">
        <v>7</v>
      </c>
      <c r="AG18" s="386">
        <v>11</v>
      </c>
    </row>
    <row r="19" spans="1:33" x14ac:dyDescent="0.25">
      <c r="A19" s="381" t="s">
        <v>100</v>
      </c>
      <c r="B19" s="387" t="s">
        <v>101</v>
      </c>
      <c r="C19" s="383">
        <v>2059</v>
      </c>
      <c r="D19" s="383">
        <v>0</v>
      </c>
      <c r="E19" s="383">
        <v>97</v>
      </c>
      <c r="F19" s="383">
        <v>91</v>
      </c>
      <c r="G19" s="383">
        <v>603</v>
      </c>
      <c r="H19" s="383">
        <v>2850</v>
      </c>
      <c r="I19" s="382">
        <v>2247</v>
      </c>
      <c r="J19" s="382">
        <v>0</v>
      </c>
      <c r="K19" s="384">
        <v>101.1</v>
      </c>
      <c r="L19" s="384">
        <v>100</v>
      </c>
      <c r="M19" s="384">
        <v>5.4</v>
      </c>
      <c r="N19" s="384">
        <v>105.42</v>
      </c>
      <c r="O19" s="385">
        <v>1778</v>
      </c>
      <c r="P19" s="382">
        <v>85.77</v>
      </c>
      <c r="Q19" s="382">
        <v>84.58</v>
      </c>
      <c r="R19" s="382">
        <v>38.78</v>
      </c>
      <c r="S19" s="382">
        <v>123.3</v>
      </c>
      <c r="T19" s="382">
        <v>187</v>
      </c>
      <c r="U19" s="382">
        <v>125.5</v>
      </c>
      <c r="V19" s="382">
        <v>183</v>
      </c>
      <c r="W19" s="382">
        <v>0</v>
      </c>
      <c r="X19" s="382">
        <v>0</v>
      </c>
      <c r="Y19" s="382">
        <v>0</v>
      </c>
      <c r="Z19" s="382">
        <v>0</v>
      </c>
      <c r="AA19" s="382">
        <v>0</v>
      </c>
      <c r="AB19" s="382">
        <v>11</v>
      </c>
      <c r="AC19" s="382">
        <v>10</v>
      </c>
      <c r="AD19" s="386">
        <v>1997</v>
      </c>
      <c r="AE19" s="386">
        <v>13</v>
      </c>
      <c r="AF19" s="386">
        <v>0</v>
      </c>
      <c r="AG19" s="386">
        <v>13</v>
      </c>
    </row>
    <row r="20" spans="1:33" x14ac:dyDescent="0.25">
      <c r="A20" s="381" t="s">
        <v>102</v>
      </c>
      <c r="B20" s="387" t="s">
        <v>103</v>
      </c>
      <c r="C20" s="383">
        <v>1645</v>
      </c>
      <c r="D20" s="383">
        <v>0</v>
      </c>
      <c r="E20" s="383">
        <v>133</v>
      </c>
      <c r="F20" s="383">
        <v>125</v>
      </c>
      <c r="G20" s="383">
        <v>155</v>
      </c>
      <c r="H20" s="383">
        <v>2058</v>
      </c>
      <c r="I20" s="382">
        <v>1903</v>
      </c>
      <c r="J20" s="382">
        <v>17</v>
      </c>
      <c r="K20" s="384">
        <v>93.38</v>
      </c>
      <c r="L20" s="384">
        <v>92.74</v>
      </c>
      <c r="M20" s="384">
        <v>3.59</v>
      </c>
      <c r="N20" s="384">
        <v>95.18</v>
      </c>
      <c r="O20" s="385">
        <v>1341</v>
      </c>
      <c r="P20" s="382">
        <v>100.74</v>
      </c>
      <c r="Q20" s="382">
        <v>89.64</v>
      </c>
      <c r="R20" s="382">
        <v>44.54</v>
      </c>
      <c r="S20" s="382">
        <v>142.15</v>
      </c>
      <c r="T20" s="382">
        <v>199</v>
      </c>
      <c r="U20" s="382">
        <v>115.96</v>
      </c>
      <c r="V20" s="382">
        <v>252</v>
      </c>
      <c r="W20" s="382">
        <v>108.62</v>
      </c>
      <c r="X20" s="382">
        <v>2</v>
      </c>
      <c r="Y20" s="382">
        <v>0</v>
      </c>
      <c r="Z20" s="382">
        <v>0</v>
      </c>
      <c r="AA20" s="382">
        <v>5</v>
      </c>
      <c r="AB20" s="382">
        <v>9</v>
      </c>
      <c r="AC20" s="382">
        <v>0</v>
      </c>
      <c r="AD20" s="386">
        <v>1638</v>
      </c>
      <c r="AE20" s="386">
        <v>13</v>
      </c>
      <c r="AF20" s="386">
        <v>7</v>
      </c>
      <c r="AG20" s="386">
        <v>20</v>
      </c>
    </row>
    <row r="21" spans="1:33" x14ac:dyDescent="0.25">
      <c r="A21" s="381" t="s">
        <v>104</v>
      </c>
      <c r="B21" s="387" t="s">
        <v>105</v>
      </c>
      <c r="C21" s="383">
        <v>3467</v>
      </c>
      <c r="D21" s="383">
        <v>5</v>
      </c>
      <c r="E21" s="383">
        <v>494</v>
      </c>
      <c r="F21" s="383">
        <v>464</v>
      </c>
      <c r="G21" s="383">
        <v>801</v>
      </c>
      <c r="H21" s="383">
        <v>5231</v>
      </c>
      <c r="I21" s="382">
        <v>4430</v>
      </c>
      <c r="J21" s="382">
        <v>19</v>
      </c>
      <c r="K21" s="384">
        <v>127.02</v>
      </c>
      <c r="L21" s="384">
        <v>115.73</v>
      </c>
      <c r="M21" s="384">
        <v>4.18</v>
      </c>
      <c r="N21" s="384">
        <v>129.63999999999999</v>
      </c>
      <c r="O21" s="385">
        <v>2754</v>
      </c>
      <c r="P21" s="382">
        <v>102.08</v>
      </c>
      <c r="Q21" s="382">
        <v>99.4</v>
      </c>
      <c r="R21" s="382">
        <v>54.04</v>
      </c>
      <c r="S21" s="382">
        <v>150.09</v>
      </c>
      <c r="T21" s="382">
        <v>806</v>
      </c>
      <c r="U21" s="382">
        <v>166.51</v>
      </c>
      <c r="V21" s="382">
        <v>379</v>
      </c>
      <c r="W21" s="382">
        <v>0</v>
      </c>
      <c r="X21" s="382">
        <v>0</v>
      </c>
      <c r="Y21" s="382">
        <v>0</v>
      </c>
      <c r="Z21" s="382">
        <v>3</v>
      </c>
      <c r="AA21" s="382">
        <v>1</v>
      </c>
      <c r="AB21" s="382">
        <v>13</v>
      </c>
      <c r="AC21" s="382">
        <v>12</v>
      </c>
      <c r="AD21" s="386">
        <v>3467</v>
      </c>
      <c r="AE21" s="386">
        <v>60</v>
      </c>
      <c r="AF21" s="386">
        <v>3</v>
      </c>
      <c r="AG21" s="386">
        <v>63</v>
      </c>
    </row>
    <row r="22" spans="1:33" x14ac:dyDescent="0.25">
      <c r="A22" s="381" t="s">
        <v>106</v>
      </c>
      <c r="B22" s="387" t="s">
        <v>107</v>
      </c>
      <c r="C22" s="383">
        <v>6186</v>
      </c>
      <c r="D22" s="383">
        <v>36</v>
      </c>
      <c r="E22" s="383">
        <v>442</v>
      </c>
      <c r="F22" s="383">
        <v>1199</v>
      </c>
      <c r="G22" s="383">
        <v>1280</v>
      </c>
      <c r="H22" s="383">
        <v>9143</v>
      </c>
      <c r="I22" s="382">
        <v>7863</v>
      </c>
      <c r="J22" s="382">
        <v>92</v>
      </c>
      <c r="K22" s="384">
        <v>127.15</v>
      </c>
      <c r="L22" s="384">
        <v>129.22999999999999</v>
      </c>
      <c r="M22" s="384">
        <v>12.27</v>
      </c>
      <c r="N22" s="384">
        <v>137.32</v>
      </c>
      <c r="O22" s="385">
        <v>5559</v>
      </c>
      <c r="P22" s="382">
        <v>111.7</v>
      </c>
      <c r="Q22" s="382">
        <v>109.31</v>
      </c>
      <c r="R22" s="382">
        <v>52.21</v>
      </c>
      <c r="S22" s="382">
        <v>160.24</v>
      </c>
      <c r="T22" s="382">
        <v>769</v>
      </c>
      <c r="U22" s="382">
        <v>182.04</v>
      </c>
      <c r="V22" s="382">
        <v>307</v>
      </c>
      <c r="W22" s="382">
        <v>0</v>
      </c>
      <c r="X22" s="382">
        <v>0</v>
      </c>
      <c r="Y22" s="382">
        <v>0</v>
      </c>
      <c r="Z22" s="382">
        <v>4</v>
      </c>
      <c r="AA22" s="382">
        <v>14</v>
      </c>
      <c r="AB22" s="382">
        <v>13</v>
      </c>
      <c r="AC22" s="382">
        <v>31</v>
      </c>
      <c r="AD22" s="386">
        <v>5924</v>
      </c>
      <c r="AE22" s="386">
        <v>82</v>
      </c>
      <c r="AF22" s="386">
        <v>10</v>
      </c>
      <c r="AG22" s="386">
        <v>92</v>
      </c>
    </row>
    <row r="23" spans="1:33" x14ac:dyDescent="0.25">
      <c r="A23" s="381" t="s">
        <v>108</v>
      </c>
      <c r="B23" s="387" t="s">
        <v>109</v>
      </c>
      <c r="C23" s="383">
        <v>2500</v>
      </c>
      <c r="D23" s="383">
        <v>0</v>
      </c>
      <c r="E23" s="383">
        <v>266</v>
      </c>
      <c r="F23" s="383">
        <v>745</v>
      </c>
      <c r="G23" s="383">
        <v>246</v>
      </c>
      <c r="H23" s="383">
        <v>3757</v>
      </c>
      <c r="I23" s="382">
        <v>3511</v>
      </c>
      <c r="J23" s="382">
        <v>5</v>
      </c>
      <c r="K23" s="384">
        <v>86.24</v>
      </c>
      <c r="L23" s="384">
        <v>84.61</v>
      </c>
      <c r="M23" s="384">
        <v>5.31</v>
      </c>
      <c r="N23" s="384">
        <v>88.63</v>
      </c>
      <c r="O23" s="385">
        <v>1904</v>
      </c>
      <c r="P23" s="382">
        <v>82.4</v>
      </c>
      <c r="Q23" s="382">
        <v>80</v>
      </c>
      <c r="R23" s="382">
        <v>32.24</v>
      </c>
      <c r="S23" s="382">
        <v>114.28</v>
      </c>
      <c r="T23" s="382">
        <v>956</v>
      </c>
      <c r="U23" s="382">
        <v>92.3</v>
      </c>
      <c r="V23" s="382">
        <v>437</v>
      </c>
      <c r="W23" s="382">
        <v>0</v>
      </c>
      <c r="X23" s="382">
        <v>0</v>
      </c>
      <c r="Y23" s="382">
        <v>0</v>
      </c>
      <c r="Z23" s="382">
        <v>2</v>
      </c>
      <c r="AA23" s="382">
        <v>12</v>
      </c>
      <c r="AB23" s="382">
        <v>5</v>
      </c>
      <c r="AC23" s="382">
        <v>2</v>
      </c>
      <c r="AD23" s="386">
        <v>2494</v>
      </c>
      <c r="AE23" s="386">
        <v>27</v>
      </c>
      <c r="AF23" s="386">
        <v>22</v>
      </c>
      <c r="AG23" s="386">
        <v>49</v>
      </c>
    </row>
    <row r="24" spans="1:33" x14ac:dyDescent="0.25">
      <c r="A24" s="381" t="s">
        <v>110</v>
      </c>
      <c r="B24" s="387" t="s">
        <v>111</v>
      </c>
      <c r="C24" s="383">
        <v>439</v>
      </c>
      <c r="D24" s="383">
        <v>0</v>
      </c>
      <c r="E24" s="383">
        <v>95</v>
      </c>
      <c r="F24" s="383">
        <v>278</v>
      </c>
      <c r="G24" s="383">
        <v>2</v>
      </c>
      <c r="H24" s="383">
        <v>814</v>
      </c>
      <c r="I24" s="382">
        <v>812</v>
      </c>
      <c r="J24" s="382">
        <v>57</v>
      </c>
      <c r="K24" s="384">
        <v>82.32</v>
      </c>
      <c r="L24" s="384">
        <v>82.51</v>
      </c>
      <c r="M24" s="384">
        <v>3.43</v>
      </c>
      <c r="N24" s="384">
        <v>84.07</v>
      </c>
      <c r="O24" s="385">
        <v>386</v>
      </c>
      <c r="P24" s="382">
        <v>77.8</v>
      </c>
      <c r="Q24" s="382">
        <v>78.33</v>
      </c>
      <c r="R24" s="382">
        <v>31.47</v>
      </c>
      <c r="S24" s="382">
        <v>108.82</v>
      </c>
      <c r="T24" s="382">
        <v>352</v>
      </c>
      <c r="U24" s="382">
        <v>109.62</v>
      </c>
      <c r="V24" s="382">
        <v>27</v>
      </c>
      <c r="W24" s="382">
        <v>0</v>
      </c>
      <c r="X24" s="382">
        <v>0</v>
      </c>
      <c r="Y24" s="382">
        <v>0</v>
      </c>
      <c r="Z24" s="382">
        <v>0</v>
      </c>
      <c r="AA24" s="382">
        <v>0</v>
      </c>
      <c r="AB24" s="382">
        <v>0</v>
      </c>
      <c r="AC24" s="382">
        <v>0</v>
      </c>
      <c r="AD24" s="386">
        <v>428</v>
      </c>
      <c r="AE24" s="386">
        <v>1</v>
      </c>
      <c r="AF24" s="386">
        <v>0</v>
      </c>
      <c r="AG24" s="386">
        <v>1</v>
      </c>
    </row>
    <row r="25" spans="1:33" x14ac:dyDescent="0.25">
      <c r="A25" s="381" t="s">
        <v>112</v>
      </c>
      <c r="B25" s="387" t="s">
        <v>113</v>
      </c>
      <c r="C25" s="383">
        <v>5176</v>
      </c>
      <c r="D25" s="383">
        <v>0</v>
      </c>
      <c r="E25" s="383">
        <v>243</v>
      </c>
      <c r="F25" s="383">
        <v>334</v>
      </c>
      <c r="G25" s="383">
        <v>696</v>
      </c>
      <c r="H25" s="383">
        <v>6449</v>
      </c>
      <c r="I25" s="382">
        <v>5753</v>
      </c>
      <c r="J25" s="382">
        <v>3</v>
      </c>
      <c r="K25" s="384">
        <v>109.58</v>
      </c>
      <c r="L25" s="384">
        <v>108.7</v>
      </c>
      <c r="M25" s="384">
        <v>4.21</v>
      </c>
      <c r="N25" s="384">
        <v>111.85</v>
      </c>
      <c r="O25" s="385">
        <v>4912</v>
      </c>
      <c r="P25" s="382">
        <v>92.26</v>
      </c>
      <c r="Q25" s="382">
        <v>90.69</v>
      </c>
      <c r="R25" s="382">
        <v>36.47</v>
      </c>
      <c r="S25" s="382">
        <v>127.89</v>
      </c>
      <c r="T25" s="382">
        <v>472</v>
      </c>
      <c r="U25" s="382">
        <v>123.74</v>
      </c>
      <c r="V25" s="382">
        <v>128</v>
      </c>
      <c r="W25" s="382">
        <v>0</v>
      </c>
      <c r="X25" s="382">
        <v>0</v>
      </c>
      <c r="Y25" s="382">
        <v>54</v>
      </c>
      <c r="Z25" s="382">
        <v>12</v>
      </c>
      <c r="AA25" s="382">
        <v>1</v>
      </c>
      <c r="AB25" s="382">
        <v>3</v>
      </c>
      <c r="AC25" s="382">
        <v>11</v>
      </c>
      <c r="AD25" s="386">
        <v>5176</v>
      </c>
      <c r="AE25" s="386">
        <v>31</v>
      </c>
      <c r="AF25" s="386">
        <v>12</v>
      </c>
      <c r="AG25" s="386">
        <v>43</v>
      </c>
    </row>
    <row r="26" spans="1:33" x14ac:dyDescent="0.25">
      <c r="A26" s="381" t="s">
        <v>114</v>
      </c>
      <c r="B26" s="387" t="s">
        <v>115</v>
      </c>
      <c r="C26" s="383">
        <v>11801</v>
      </c>
      <c r="D26" s="383">
        <v>1</v>
      </c>
      <c r="E26" s="383">
        <v>349</v>
      </c>
      <c r="F26" s="383">
        <v>1030</v>
      </c>
      <c r="G26" s="383">
        <v>962</v>
      </c>
      <c r="H26" s="383">
        <v>14143</v>
      </c>
      <c r="I26" s="382">
        <v>13181</v>
      </c>
      <c r="J26" s="382">
        <v>1</v>
      </c>
      <c r="K26" s="384">
        <v>113.43</v>
      </c>
      <c r="L26" s="384">
        <v>112.83</v>
      </c>
      <c r="M26" s="384">
        <v>4.2300000000000004</v>
      </c>
      <c r="N26" s="384">
        <v>114.99</v>
      </c>
      <c r="O26" s="385">
        <v>11005</v>
      </c>
      <c r="P26" s="382">
        <v>94.25</v>
      </c>
      <c r="Q26" s="382">
        <v>93.6</v>
      </c>
      <c r="R26" s="382">
        <v>29.55</v>
      </c>
      <c r="S26" s="382">
        <v>119.71</v>
      </c>
      <c r="T26" s="382">
        <v>1236</v>
      </c>
      <c r="U26" s="382">
        <v>141.47999999999999</v>
      </c>
      <c r="V26" s="382">
        <v>489</v>
      </c>
      <c r="W26" s="382">
        <v>0</v>
      </c>
      <c r="X26" s="382">
        <v>0</v>
      </c>
      <c r="Y26" s="382">
        <v>23</v>
      </c>
      <c r="Z26" s="382">
        <v>12</v>
      </c>
      <c r="AA26" s="382">
        <v>1</v>
      </c>
      <c r="AB26" s="382">
        <v>63</v>
      </c>
      <c r="AC26" s="382">
        <v>41</v>
      </c>
      <c r="AD26" s="386">
        <v>11801</v>
      </c>
      <c r="AE26" s="386">
        <v>45</v>
      </c>
      <c r="AF26" s="386">
        <v>44</v>
      </c>
      <c r="AG26" s="386">
        <v>89</v>
      </c>
    </row>
    <row r="27" spans="1:33" x14ac:dyDescent="0.25">
      <c r="A27" s="381" t="s">
        <v>116</v>
      </c>
      <c r="B27" s="387" t="s">
        <v>117</v>
      </c>
      <c r="C27" s="383">
        <v>838</v>
      </c>
      <c r="D27" s="383">
        <v>0</v>
      </c>
      <c r="E27" s="383">
        <v>258</v>
      </c>
      <c r="F27" s="383">
        <v>154</v>
      </c>
      <c r="G27" s="383">
        <v>72</v>
      </c>
      <c r="H27" s="383">
        <v>1322</v>
      </c>
      <c r="I27" s="382">
        <v>1250</v>
      </c>
      <c r="J27" s="382">
        <v>0</v>
      </c>
      <c r="K27" s="384">
        <v>86.71</v>
      </c>
      <c r="L27" s="384">
        <v>85.51</v>
      </c>
      <c r="M27" s="384">
        <v>3.25</v>
      </c>
      <c r="N27" s="384">
        <v>88.62</v>
      </c>
      <c r="O27" s="385">
        <v>798</v>
      </c>
      <c r="P27" s="382">
        <v>121.34</v>
      </c>
      <c r="Q27" s="382">
        <v>70.75</v>
      </c>
      <c r="R27" s="382">
        <v>31.54</v>
      </c>
      <c r="S27" s="382">
        <v>149.36000000000001</v>
      </c>
      <c r="T27" s="382">
        <v>313</v>
      </c>
      <c r="U27" s="382">
        <v>91</v>
      </c>
      <c r="V27" s="382">
        <v>11</v>
      </c>
      <c r="W27" s="382">
        <v>169.45</v>
      </c>
      <c r="X27" s="382">
        <v>4</v>
      </c>
      <c r="Y27" s="382">
        <v>0</v>
      </c>
      <c r="Z27" s="382">
        <v>1</v>
      </c>
      <c r="AA27" s="382">
        <v>9</v>
      </c>
      <c r="AB27" s="382">
        <v>1</v>
      </c>
      <c r="AC27" s="382">
        <v>2</v>
      </c>
      <c r="AD27" s="386">
        <v>835</v>
      </c>
      <c r="AE27" s="386">
        <v>3</v>
      </c>
      <c r="AF27" s="386">
        <v>1</v>
      </c>
      <c r="AG27" s="386">
        <v>4</v>
      </c>
    </row>
    <row r="28" spans="1:33" x14ac:dyDescent="0.25">
      <c r="A28" s="381" t="s">
        <v>118</v>
      </c>
      <c r="B28" s="387" t="s">
        <v>119</v>
      </c>
      <c r="C28" s="383">
        <v>8699</v>
      </c>
      <c r="D28" s="383">
        <v>0</v>
      </c>
      <c r="E28" s="383">
        <v>346</v>
      </c>
      <c r="F28" s="383">
        <v>2182</v>
      </c>
      <c r="G28" s="383">
        <v>404</v>
      </c>
      <c r="H28" s="383">
        <v>11631</v>
      </c>
      <c r="I28" s="382">
        <v>11227</v>
      </c>
      <c r="J28" s="382">
        <v>29</v>
      </c>
      <c r="K28" s="384">
        <v>105.73</v>
      </c>
      <c r="L28" s="384">
        <v>101.39</v>
      </c>
      <c r="M28" s="384">
        <v>4.83</v>
      </c>
      <c r="N28" s="384">
        <v>108.5</v>
      </c>
      <c r="O28" s="385">
        <v>8071</v>
      </c>
      <c r="P28" s="382">
        <v>93.55</v>
      </c>
      <c r="Q28" s="382">
        <v>91.3</v>
      </c>
      <c r="R28" s="382">
        <v>13.84</v>
      </c>
      <c r="S28" s="382">
        <v>105.79</v>
      </c>
      <c r="T28" s="382">
        <v>2280</v>
      </c>
      <c r="U28" s="382">
        <v>132.30000000000001</v>
      </c>
      <c r="V28" s="382">
        <v>482</v>
      </c>
      <c r="W28" s="382">
        <v>118.5</v>
      </c>
      <c r="X28" s="382">
        <v>77</v>
      </c>
      <c r="Y28" s="382">
        <v>0</v>
      </c>
      <c r="Z28" s="382">
        <v>32</v>
      </c>
      <c r="AA28" s="382">
        <v>12</v>
      </c>
      <c r="AB28" s="382">
        <v>31</v>
      </c>
      <c r="AC28" s="382">
        <v>12</v>
      </c>
      <c r="AD28" s="386">
        <v>8594</v>
      </c>
      <c r="AE28" s="386">
        <v>43</v>
      </c>
      <c r="AF28" s="386">
        <v>29</v>
      </c>
      <c r="AG28" s="386">
        <v>72</v>
      </c>
    </row>
    <row r="29" spans="1:33" x14ac:dyDescent="0.25">
      <c r="A29" s="381" t="s">
        <v>120</v>
      </c>
      <c r="B29" s="387" t="s">
        <v>121</v>
      </c>
      <c r="C29" s="383">
        <v>10340</v>
      </c>
      <c r="D29" s="383">
        <v>0</v>
      </c>
      <c r="E29" s="383">
        <v>363</v>
      </c>
      <c r="F29" s="383">
        <v>1188</v>
      </c>
      <c r="G29" s="383">
        <v>992</v>
      </c>
      <c r="H29" s="383">
        <v>12883</v>
      </c>
      <c r="I29" s="382">
        <v>11891</v>
      </c>
      <c r="J29" s="382">
        <v>5</v>
      </c>
      <c r="K29" s="384">
        <v>98.56</v>
      </c>
      <c r="L29" s="384">
        <v>98.09</v>
      </c>
      <c r="M29" s="384">
        <v>7.12</v>
      </c>
      <c r="N29" s="384">
        <v>103.73</v>
      </c>
      <c r="O29" s="385">
        <v>9339</v>
      </c>
      <c r="P29" s="382">
        <v>93.52</v>
      </c>
      <c r="Q29" s="382">
        <v>90.17</v>
      </c>
      <c r="R29" s="382">
        <v>36.47</v>
      </c>
      <c r="S29" s="382">
        <v>129.37</v>
      </c>
      <c r="T29" s="382">
        <v>1373</v>
      </c>
      <c r="U29" s="382">
        <v>122.56</v>
      </c>
      <c r="V29" s="382">
        <v>624</v>
      </c>
      <c r="W29" s="382">
        <v>102.65</v>
      </c>
      <c r="X29" s="382">
        <v>5</v>
      </c>
      <c r="Y29" s="382">
        <v>0</v>
      </c>
      <c r="Z29" s="382">
        <v>12</v>
      </c>
      <c r="AA29" s="382">
        <v>12</v>
      </c>
      <c r="AB29" s="382">
        <v>59</v>
      </c>
      <c r="AC29" s="382">
        <v>32</v>
      </c>
      <c r="AD29" s="386">
        <v>10265</v>
      </c>
      <c r="AE29" s="386">
        <v>64</v>
      </c>
      <c r="AF29" s="386">
        <v>27</v>
      </c>
      <c r="AG29" s="386">
        <v>91</v>
      </c>
    </row>
    <row r="30" spans="1:33" x14ac:dyDescent="0.25">
      <c r="A30" s="381" t="s">
        <v>122</v>
      </c>
      <c r="B30" s="387" t="s">
        <v>123</v>
      </c>
      <c r="C30" s="383">
        <v>12174</v>
      </c>
      <c r="D30" s="383">
        <v>2</v>
      </c>
      <c r="E30" s="383">
        <v>129</v>
      </c>
      <c r="F30" s="383">
        <v>1283</v>
      </c>
      <c r="G30" s="383">
        <v>894</v>
      </c>
      <c r="H30" s="383">
        <v>14482</v>
      </c>
      <c r="I30" s="382">
        <v>13588</v>
      </c>
      <c r="J30" s="382">
        <v>1625</v>
      </c>
      <c r="K30" s="384">
        <v>111.21</v>
      </c>
      <c r="L30" s="384">
        <v>108.46</v>
      </c>
      <c r="M30" s="384">
        <v>9.7100000000000009</v>
      </c>
      <c r="N30" s="384">
        <v>120.08</v>
      </c>
      <c r="O30" s="385">
        <v>10475</v>
      </c>
      <c r="P30" s="382">
        <v>92.67</v>
      </c>
      <c r="Q30" s="382">
        <v>94.01</v>
      </c>
      <c r="R30" s="382">
        <v>26.41</v>
      </c>
      <c r="S30" s="382">
        <v>119.06</v>
      </c>
      <c r="T30" s="382">
        <v>1260</v>
      </c>
      <c r="U30" s="382">
        <v>146.1</v>
      </c>
      <c r="V30" s="382">
        <v>968</v>
      </c>
      <c r="W30" s="382">
        <v>0</v>
      </c>
      <c r="X30" s="382">
        <v>0</v>
      </c>
      <c r="Y30" s="382">
        <v>0</v>
      </c>
      <c r="Z30" s="382">
        <v>44</v>
      </c>
      <c r="AA30" s="382">
        <v>1</v>
      </c>
      <c r="AB30" s="382">
        <v>60</v>
      </c>
      <c r="AC30" s="382">
        <v>8</v>
      </c>
      <c r="AD30" s="386">
        <v>11503</v>
      </c>
      <c r="AE30" s="386">
        <v>86</v>
      </c>
      <c r="AF30" s="386">
        <v>232</v>
      </c>
      <c r="AG30" s="386">
        <v>318</v>
      </c>
    </row>
    <row r="31" spans="1:33" x14ac:dyDescent="0.25">
      <c r="A31" s="381" t="s">
        <v>124</v>
      </c>
      <c r="B31" s="387" t="s">
        <v>125</v>
      </c>
      <c r="C31" s="383">
        <v>32785</v>
      </c>
      <c r="D31" s="383">
        <v>233</v>
      </c>
      <c r="E31" s="383">
        <v>4284</v>
      </c>
      <c r="F31" s="383">
        <v>5009</v>
      </c>
      <c r="G31" s="383">
        <v>3499</v>
      </c>
      <c r="H31" s="383">
        <v>45810</v>
      </c>
      <c r="I31" s="382">
        <v>42311</v>
      </c>
      <c r="J31" s="382">
        <v>119</v>
      </c>
      <c r="K31" s="384">
        <v>92.48</v>
      </c>
      <c r="L31" s="384">
        <v>94.05</v>
      </c>
      <c r="M31" s="384">
        <v>6.6</v>
      </c>
      <c r="N31" s="384">
        <v>97.67</v>
      </c>
      <c r="O31" s="385">
        <v>29142</v>
      </c>
      <c r="P31" s="382">
        <v>86.63</v>
      </c>
      <c r="Q31" s="382">
        <v>82.15</v>
      </c>
      <c r="R31" s="382">
        <v>43.05</v>
      </c>
      <c r="S31" s="382">
        <v>127.64</v>
      </c>
      <c r="T31" s="382">
        <v>6081</v>
      </c>
      <c r="U31" s="382">
        <v>112.78</v>
      </c>
      <c r="V31" s="382">
        <v>793</v>
      </c>
      <c r="W31" s="382">
        <v>141.94</v>
      </c>
      <c r="X31" s="382">
        <v>117</v>
      </c>
      <c r="Y31" s="382">
        <v>85</v>
      </c>
      <c r="Z31" s="382">
        <v>21</v>
      </c>
      <c r="AA31" s="382">
        <v>25</v>
      </c>
      <c r="AB31" s="382">
        <v>67</v>
      </c>
      <c r="AC31" s="382">
        <v>108</v>
      </c>
      <c r="AD31" s="386">
        <v>30371</v>
      </c>
      <c r="AE31" s="386">
        <v>197</v>
      </c>
      <c r="AF31" s="386">
        <v>116</v>
      </c>
      <c r="AG31" s="386">
        <v>313</v>
      </c>
    </row>
    <row r="32" spans="1:33" x14ac:dyDescent="0.25">
      <c r="A32" s="381" t="s">
        <v>126</v>
      </c>
      <c r="B32" s="387" t="s">
        <v>127</v>
      </c>
      <c r="C32" s="383">
        <v>1804</v>
      </c>
      <c r="D32" s="383">
        <v>0</v>
      </c>
      <c r="E32" s="383">
        <v>56</v>
      </c>
      <c r="F32" s="383">
        <v>1345</v>
      </c>
      <c r="G32" s="383">
        <v>276</v>
      </c>
      <c r="H32" s="383">
        <v>3481</v>
      </c>
      <c r="I32" s="382">
        <v>3205</v>
      </c>
      <c r="J32" s="382">
        <v>0</v>
      </c>
      <c r="K32" s="384">
        <v>86.22</v>
      </c>
      <c r="L32" s="384">
        <v>86.52</v>
      </c>
      <c r="M32" s="384">
        <v>3.63</v>
      </c>
      <c r="N32" s="384">
        <v>88.12</v>
      </c>
      <c r="O32" s="385">
        <v>1623</v>
      </c>
      <c r="P32" s="382">
        <v>75.540000000000006</v>
      </c>
      <c r="Q32" s="382">
        <v>74.739999999999995</v>
      </c>
      <c r="R32" s="382">
        <v>11.59</v>
      </c>
      <c r="S32" s="382">
        <v>87.03</v>
      </c>
      <c r="T32" s="382">
        <v>1395</v>
      </c>
      <c r="U32" s="382">
        <v>103.7</v>
      </c>
      <c r="V32" s="382">
        <v>121</v>
      </c>
      <c r="W32" s="382">
        <v>0</v>
      </c>
      <c r="X32" s="382">
        <v>0</v>
      </c>
      <c r="Y32" s="382">
        <v>0</v>
      </c>
      <c r="Z32" s="382">
        <v>12</v>
      </c>
      <c r="AA32" s="382">
        <v>0</v>
      </c>
      <c r="AB32" s="382">
        <v>24</v>
      </c>
      <c r="AC32" s="382">
        <v>6</v>
      </c>
      <c r="AD32" s="386">
        <v>1804</v>
      </c>
      <c r="AE32" s="386">
        <v>21</v>
      </c>
      <c r="AF32" s="386">
        <v>18</v>
      </c>
      <c r="AG32" s="386">
        <v>39</v>
      </c>
    </row>
    <row r="33" spans="1:33" x14ac:dyDescent="0.25">
      <c r="A33" s="381" t="s">
        <v>128</v>
      </c>
      <c r="B33" s="387" t="s">
        <v>129</v>
      </c>
      <c r="C33" s="383">
        <v>9586</v>
      </c>
      <c r="D33" s="383">
        <v>0</v>
      </c>
      <c r="E33" s="383">
        <v>409</v>
      </c>
      <c r="F33" s="383">
        <v>1500</v>
      </c>
      <c r="G33" s="383">
        <v>298</v>
      </c>
      <c r="H33" s="383">
        <v>11793</v>
      </c>
      <c r="I33" s="382">
        <v>11495</v>
      </c>
      <c r="J33" s="382">
        <v>4</v>
      </c>
      <c r="K33" s="384">
        <v>79.64</v>
      </c>
      <c r="L33" s="384">
        <v>79.28</v>
      </c>
      <c r="M33" s="384">
        <v>1.93</v>
      </c>
      <c r="N33" s="384">
        <v>81.33</v>
      </c>
      <c r="O33" s="385">
        <v>8906</v>
      </c>
      <c r="P33" s="382">
        <v>77.290000000000006</v>
      </c>
      <c r="Q33" s="382">
        <v>70.61</v>
      </c>
      <c r="R33" s="382">
        <v>27.91</v>
      </c>
      <c r="S33" s="382">
        <v>105.12</v>
      </c>
      <c r="T33" s="382">
        <v>1804</v>
      </c>
      <c r="U33" s="382">
        <v>95.53</v>
      </c>
      <c r="V33" s="382">
        <v>664</v>
      </c>
      <c r="W33" s="382">
        <v>134.93</v>
      </c>
      <c r="X33" s="382">
        <v>23</v>
      </c>
      <c r="Y33" s="382">
        <v>0</v>
      </c>
      <c r="Z33" s="382">
        <v>34</v>
      </c>
      <c r="AA33" s="382">
        <v>9</v>
      </c>
      <c r="AB33" s="382">
        <v>25</v>
      </c>
      <c r="AC33" s="382">
        <v>5</v>
      </c>
      <c r="AD33" s="386">
        <v>9570</v>
      </c>
      <c r="AE33" s="386">
        <v>97</v>
      </c>
      <c r="AF33" s="386">
        <v>55</v>
      </c>
      <c r="AG33" s="386">
        <v>152</v>
      </c>
    </row>
    <row r="34" spans="1:33" x14ac:dyDescent="0.25">
      <c r="A34" s="381" t="s">
        <v>130</v>
      </c>
      <c r="B34" s="387" t="s">
        <v>131</v>
      </c>
      <c r="C34" s="383">
        <v>1653</v>
      </c>
      <c r="D34" s="383">
        <v>0</v>
      </c>
      <c r="E34" s="383">
        <v>328</v>
      </c>
      <c r="F34" s="383">
        <v>207</v>
      </c>
      <c r="G34" s="383">
        <v>146</v>
      </c>
      <c r="H34" s="383">
        <v>2334</v>
      </c>
      <c r="I34" s="382">
        <v>2188</v>
      </c>
      <c r="J34" s="382">
        <v>0</v>
      </c>
      <c r="K34" s="384">
        <v>86.48</v>
      </c>
      <c r="L34" s="384">
        <v>85.68</v>
      </c>
      <c r="M34" s="384">
        <v>5.22</v>
      </c>
      <c r="N34" s="384">
        <v>90.45</v>
      </c>
      <c r="O34" s="385">
        <v>1269</v>
      </c>
      <c r="P34" s="382">
        <v>96.63</v>
      </c>
      <c r="Q34" s="382">
        <v>84.47</v>
      </c>
      <c r="R34" s="382">
        <v>45.76</v>
      </c>
      <c r="S34" s="382">
        <v>141.22999999999999</v>
      </c>
      <c r="T34" s="382">
        <v>514</v>
      </c>
      <c r="U34" s="382">
        <v>104.49</v>
      </c>
      <c r="V34" s="382">
        <v>244</v>
      </c>
      <c r="W34" s="382">
        <v>93.09</v>
      </c>
      <c r="X34" s="382">
        <v>2</v>
      </c>
      <c r="Y34" s="382">
        <v>1</v>
      </c>
      <c r="Z34" s="382">
        <v>1</v>
      </c>
      <c r="AA34" s="382">
        <v>5</v>
      </c>
      <c r="AB34" s="382">
        <v>0</v>
      </c>
      <c r="AC34" s="382">
        <v>2</v>
      </c>
      <c r="AD34" s="386">
        <v>1595</v>
      </c>
      <c r="AE34" s="386">
        <v>12</v>
      </c>
      <c r="AF34" s="386">
        <v>4</v>
      </c>
      <c r="AG34" s="386">
        <v>16</v>
      </c>
    </row>
    <row r="35" spans="1:33" x14ac:dyDescent="0.25">
      <c r="A35" s="381" t="s">
        <v>132</v>
      </c>
      <c r="B35" s="387" t="s">
        <v>133</v>
      </c>
      <c r="C35" s="383">
        <v>765</v>
      </c>
      <c r="D35" s="383">
        <v>0</v>
      </c>
      <c r="E35" s="383">
        <v>52</v>
      </c>
      <c r="F35" s="383">
        <v>263</v>
      </c>
      <c r="G35" s="383">
        <v>15</v>
      </c>
      <c r="H35" s="383">
        <v>1095</v>
      </c>
      <c r="I35" s="382">
        <v>1080</v>
      </c>
      <c r="J35" s="382">
        <v>0</v>
      </c>
      <c r="K35" s="384">
        <v>89.17</v>
      </c>
      <c r="L35" s="384">
        <v>87.09</v>
      </c>
      <c r="M35" s="384">
        <v>3.77</v>
      </c>
      <c r="N35" s="384">
        <v>91.3</v>
      </c>
      <c r="O35" s="385">
        <v>682</v>
      </c>
      <c r="P35" s="382">
        <v>88.19</v>
      </c>
      <c r="Q35" s="382">
        <v>84.74</v>
      </c>
      <c r="R35" s="382">
        <v>17.84</v>
      </c>
      <c r="S35" s="382">
        <v>104.15</v>
      </c>
      <c r="T35" s="382">
        <v>312</v>
      </c>
      <c r="U35" s="382">
        <v>91.39</v>
      </c>
      <c r="V35" s="382">
        <v>43</v>
      </c>
      <c r="W35" s="382">
        <v>0</v>
      </c>
      <c r="X35" s="382">
        <v>0</v>
      </c>
      <c r="Y35" s="382">
        <v>0</v>
      </c>
      <c r="Z35" s="382">
        <v>1</v>
      </c>
      <c r="AA35" s="382">
        <v>7</v>
      </c>
      <c r="AB35" s="382">
        <v>1</v>
      </c>
      <c r="AC35" s="382">
        <v>2</v>
      </c>
      <c r="AD35" s="386">
        <v>761</v>
      </c>
      <c r="AE35" s="386">
        <v>4</v>
      </c>
      <c r="AF35" s="386">
        <v>3</v>
      </c>
      <c r="AG35" s="386">
        <v>7</v>
      </c>
    </row>
    <row r="36" spans="1:33" x14ac:dyDescent="0.25">
      <c r="A36" s="381" t="s">
        <v>134</v>
      </c>
      <c r="B36" s="387" t="s">
        <v>135</v>
      </c>
      <c r="C36" s="383">
        <v>20893</v>
      </c>
      <c r="D36" s="383">
        <v>1</v>
      </c>
      <c r="E36" s="383">
        <v>618</v>
      </c>
      <c r="F36" s="383">
        <v>4155</v>
      </c>
      <c r="G36" s="383">
        <v>471</v>
      </c>
      <c r="H36" s="383">
        <v>26138</v>
      </c>
      <c r="I36" s="382">
        <v>25667</v>
      </c>
      <c r="J36" s="382">
        <v>0</v>
      </c>
      <c r="K36" s="384">
        <v>78.790000000000006</v>
      </c>
      <c r="L36" s="384">
        <v>81.27</v>
      </c>
      <c r="M36" s="384">
        <v>8.0500000000000007</v>
      </c>
      <c r="N36" s="384">
        <v>81.239999999999995</v>
      </c>
      <c r="O36" s="385">
        <v>18507</v>
      </c>
      <c r="P36" s="382">
        <v>73.13</v>
      </c>
      <c r="Q36" s="382">
        <v>71.39</v>
      </c>
      <c r="R36" s="382">
        <v>25.44</v>
      </c>
      <c r="S36" s="382">
        <v>97.6</v>
      </c>
      <c r="T36" s="382">
        <v>4765</v>
      </c>
      <c r="U36" s="382">
        <v>99.14</v>
      </c>
      <c r="V36" s="382">
        <v>2286</v>
      </c>
      <c r="W36" s="382">
        <v>0</v>
      </c>
      <c r="X36" s="382">
        <v>0</v>
      </c>
      <c r="Y36" s="382">
        <v>1</v>
      </c>
      <c r="Z36" s="382">
        <v>118</v>
      </c>
      <c r="AA36" s="382">
        <v>1</v>
      </c>
      <c r="AB36" s="382">
        <v>0</v>
      </c>
      <c r="AC36" s="382">
        <v>10</v>
      </c>
      <c r="AD36" s="386">
        <v>20858</v>
      </c>
      <c r="AE36" s="386">
        <v>154</v>
      </c>
      <c r="AF36" s="386">
        <v>174</v>
      </c>
      <c r="AG36" s="386">
        <v>328</v>
      </c>
    </row>
    <row r="37" spans="1:33" x14ac:dyDescent="0.25">
      <c r="A37" s="381" t="s">
        <v>136</v>
      </c>
      <c r="B37" s="387" t="s">
        <v>137</v>
      </c>
      <c r="C37" s="383">
        <v>4201</v>
      </c>
      <c r="D37" s="383">
        <v>0</v>
      </c>
      <c r="E37" s="383">
        <v>152</v>
      </c>
      <c r="F37" s="383">
        <v>962</v>
      </c>
      <c r="G37" s="383">
        <v>192</v>
      </c>
      <c r="H37" s="383">
        <v>5507</v>
      </c>
      <c r="I37" s="382">
        <v>5315</v>
      </c>
      <c r="J37" s="382">
        <v>1</v>
      </c>
      <c r="K37" s="384">
        <v>80.37</v>
      </c>
      <c r="L37" s="384">
        <v>81.08</v>
      </c>
      <c r="M37" s="384">
        <v>1.68</v>
      </c>
      <c r="N37" s="384">
        <v>81.86</v>
      </c>
      <c r="O37" s="385">
        <v>4088</v>
      </c>
      <c r="P37" s="382">
        <v>73.510000000000005</v>
      </c>
      <c r="Q37" s="382">
        <v>71.040000000000006</v>
      </c>
      <c r="R37" s="382">
        <v>14.2</v>
      </c>
      <c r="S37" s="382">
        <v>87.52</v>
      </c>
      <c r="T37" s="382">
        <v>1053</v>
      </c>
      <c r="U37" s="382">
        <v>95.2</v>
      </c>
      <c r="V37" s="382">
        <v>77</v>
      </c>
      <c r="W37" s="382">
        <v>0</v>
      </c>
      <c r="X37" s="382">
        <v>0</v>
      </c>
      <c r="Y37" s="382">
        <v>13</v>
      </c>
      <c r="Z37" s="382">
        <v>10</v>
      </c>
      <c r="AA37" s="382">
        <v>4</v>
      </c>
      <c r="AB37" s="382">
        <v>2</v>
      </c>
      <c r="AC37" s="382">
        <v>3</v>
      </c>
      <c r="AD37" s="386">
        <v>4165</v>
      </c>
      <c r="AE37" s="386">
        <v>10</v>
      </c>
      <c r="AF37" s="386">
        <v>5</v>
      </c>
      <c r="AG37" s="386">
        <v>15</v>
      </c>
    </row>
    <row r="38" spans="1:33" x14ac:dyDescent="0.25">
      <c r="A38" s="381" t="s">
        <v>138</v>
      </c>
      <c r="B38" s="387" t="s">
        <v>139</v>
      </c>
      <c r="C38" s="382">
        <v>6235</v>
      </c>
      <c r="D38" s="382">
        <v>12</v>
      </c>
      <c r="E38" s="382">
        <v>1009</v>
      </c>
      <c r="F38" s="382">
        <v>1618</v>
      </c>
      <c r="G38" s="382">
        <v>895</v>
      </c>
      <c r="H38" s="382">
        <v>9769</v>
      </c>
      <c r="I38" s="382">
        <v>8874</v>
      </c>
      <c r="J38" s="382">
        <v>1</v>
      </c>
      <c r="K38" s="382">
        <v>104.3</v>
      </c>
      <c r="L38" s="382">
        <v>103.83</v>
      </c>
      <c r="M38" s="382">
        <v>5.33</v>
      </c>
      <c r="N38" s="382">
        <v>108.03</v>
      </c>
      <c r="O38" s="385">
        <v>5591</v>
      </c>
      <c r="P38" s="382">
        <v>88.8</v>
      </c>
      <c r="Q38" s="382">
        <v>86.57</v>
      </c>
      <c r="R38" s="382">
        <v>38.29</v>
      </c>
      <c r="S38" s="382">
        <v>123.59</v>
      </c>
      <c r="T38" s="382">
        <v>1961</v>
      </c>
      <c r="U38" s="382">
        <v>140.16999999999999</v>
      </c>
      <c r="V38" s="382">
        <v>257</v>
      </c>
      <c r="W38" s="382">
        <v>0</v>
      </c>
      <c r="X38" s="382">
        <v>0</v>
      </c>
      <c r="Y38" s="382">
        <v>14</v>
      </c>
      <c r="Z38" s="382">
        <v>13</v>
      </c>
      <c r="AA38" s="382">
        <v>31</v>
      </c>
      <c r="AB38" s="382">
        <v>15</v>
      </c>
      <c r="AC38" s="382">
        <v>14</v>
      </c>
      <c r="AD38" s="382">
        <v>5879</v>
      </c>
      <c r="AE38" s="382">
        <v>13</v>
      </c>
      <c r="AF38" s="382">
        <v>7</v>
      </c>
      <c r="AG38" s="382">
        <v>20</v>
      </c>
    </row>
    <row r="39" spans="1:33" x14ac:dyDescent="0.25">
      <c r="A39" s="381" t="s">
        <v>140</v>
      </c>
      <c r="B39" s="387" t="s">
        <v>141</v>
      </c>
      <c r="C39" s="383">
        <v>7142</v>
      </c>
      <c r="D39" s="383">
        <v>5</v>
      </c>
      <c r="E39" s="383">
        <v>202</v>
      </c>
      <c r="F39" s="383">
        <v>637</v>
      </c>
      <c r="G39" s="383">
        <v>570</v>
      </c>
      <c r="H39" s="383">
        <v>8556</v>
      </c>
      <c r="I39" s="382">
        <v>7986</v>
      </c>
      <c r="J39" s="382">
        <v>18</v>
      </c>
      <c r="K39" s="384">
        <v>109.81</v>
      </c>
      <c r="L39" s="384">
        <v>109.78</v>
      </c>
      <c r="M39" s="384">
        <v>7.08</v>
      </c>
      <c r="N39" s="384">
        <v>111.75</v>
      </c>
      <c r="O39" s="385">
        <v>6711</v>
      </c>
      <c r="P39" s="382">
        <v>92.18</v>
      </c>
      <c r="Q39" s="382">
        <v>95.12</v>
      </c>
      <c r="R39" s="382">
        <v>28.21</v>
      </c>
      <c r="S39" s="382">
        <v>119.37</v>
      </c>
      <c r="T39" s="382">
        <v>829</v>
      </c>
      <c r="U39" s="382">
        <v>152.61000000000001</v>
      </c>
      <c r="V39" s="382">
        <v>350</v>
      </c>
      <c r="W39" s="382">
        <v>0</v>
      </c>
      <c r="X39" s="382">
        <v>0</v>
      </c>
      <c r="Y39" s="382">
        <v>63</v>
      </c>
      <c r="Z39" s="382">
        <v>21</v>
      </c>
      <c r="AA39" s="382">
        <v>1</v>
      </c>
      <c r="AB39" s="382">
        <v>15</v>
      </c>
      <c r="AC39" s="382">
        <v>13</v>
      </c>
      <c r="AD39" s="386">
        <v>7120</v>
      </c>
      <c r="AE39" s="386">
        <v>31</v>
      </c>
      <c r="AF39" s="386">
        <v>8</v>
      </c>
      <c r="AG39" s="386">
        <v>39</v>
      </c>
    </row>
    <row r="40" spans="1:33" x14ac:dyDescent="0.25">
      <c r="A40" s="381" t="s">
        <v>142</v>
      </c>
      <c r="B40" s="387" t="s">
        <v>143</v>
      </c>
      <c r="C40" s="383">
        <v>27151</v>
      </c>
      <c r="D40" s="383">
        <v>172</v>
      </c>
      <c r="E40" s="383">
        <v>905</v>
      </c>
      <c r="F40" s="383">
        <v>3559</v>
      </c>
      <c r="G40" s="383">
        <v>775</v>
      </c>
      <c r="H40" s="383">
        <v>32562</v>
      </c>
      <c r="I40" s="382">
        <v>31787</v>
      </c>
      <c r="J40" s="382">
        <v>51</v>
      </c>
      <c r="K40" s="384">
        <v>79.41</v>
      </c>
      <c r="L40" s="384">
        <v>84.17</v>
      </c>
      <c r="M40" s="384">
        <v>5.87</v>
      </c>
      <c r="N40" s="384">
        <v>84.98</v>
      </c>
      <c r="O40" s="385">
        <v>25689</v>
      </c>
      <c r="P40" s="382">
        <v>78.56</v>
      </c>
      <c r="Q40" s="382">
        <v>77.62</v>
      </c>
      <c r="R40" s="382">
        <v>27.56</v>
      </c>
      <c r="S40" s="382">
        <v>105.06</v>
      </c>
      <c r="T40" s="382">
        <v>4031</v>
      </c>
      <c r="U40" s="382">
        <v>100.72</v>
      </c>
      <c r="V40" s="382">
        <v>1498</v>
      </c>
      <c r="W40" s="382">
        <v>147.85</v>
      </c>
      <c r="X40" s="382">
        <v>145</v>
      </c>
      <c r="Y40" s="382">
        <v>1</v>
      </c>
      <c r="Z40" s="382">
        <v>86</v>
      </c>
      <c r="AA40" s="382">
        <v>38</v>
      </c>
      <c r="AB40" s="382">
        <v>0</v>
      </c>
      <c r="AC40" s="382">
        <v>13</v>
      </c>
      <c r="AD40" s="386">
        <v>27125</v>
      </c>
      <c r="AE40" s="386">
        <v>763</v>
      </c>
      <c r="AF40" s="386">
        <v>217</v>
      </c>
      <c r="AG40" s="386">
        <v>980</v>
      </c>
    </row>
    <row r="41" spans="1:33" x14ac:dyDescent="0.25">
      <c r="A41" s="381" t="s">
        <v>144</v>
      </c>
      <c r="B41" s="387" t="s">
        <v>145</v>
      </c>
      <c r="C41" s="383">
        <v>9428</v>
      </c>
      <c r="D41" s="383">
        <v>19</v>
      </c>
      <c r="E41" s="383">
        <v>281</v>
      </c>
      <c r="F41" s="383">
        <v>697</v>
      </c>
      <c r="G41" s="383">
        <v>250</v>
      </c>
      <c r="H41" s="383">
        <v>10675</v>
      </c>
      <c r="I41" s="382">
        <v>10425</v>
      </c>
      <c r="J41" s="382">
        <v>2</v>
      </c>
      <c r="K41" s="384">
        <v>102.91</v>
      </c>
      <c r="L41" s="384">
        <v>96.77</v>
      </c>
      <c r="M41" s="384">
        <v>2.72</v>
      </c>
      <c r="N41" s="384">
        <v>103.73</v>
      </c>
      <c r="O41" s="385">
        <v>9092</v>
      </c>
      <c r="P41" s="382">
        <v>85.51</v>
      </c>
      <c r="Q41" s="382">
        <v>83.76</v>
      </c>
      <c r="R41" s="382">
        <v>33.53</v>
      </c>
      <c r="S41" s="382">
        <v>118.37</v>
      </c>
      <c r="T41" s="382">
        <v>808</v>
      </c>
      <c r="U41" s="382">
        <v>127.22</v>
      </c>
      <c r="V41" s="382">
        <v>297</v>
      </c>
      <c r="W41" s="382">
        <v>0</v>
      </c>
      <c r="X41" s="382">
        <v>0</v>
      </c>
      <c r="Y41" s="382">
        <v>0</v>
      </c>
      <c r="Z41" s="382">
        <v>56</v>
      </c>
      <c r="AA41" s="382">
        <v>6</v>
      </c>
      <c r="AB41" s="382">
        <v>3</v>
      </c>
      <c r="AC41" s="382">
        <v>5</v>
      </c>
      <c r="AD41" s="386">
        <v>9416</v>
      </c>
      <c r="AE41" s="386">
        <v>16</v>
      </c>
      <c r="AF41" s="386">
        <v>68</v>
      </c>
      <c r="AG41" s="386">
        <v>84</v>
      </c>
    </row>
    <row r="42" spans="1:33" x14ac:dyDescent="0.25">
      <c r="A42" s="381" t="s">
        <v>146</v>
      </c>
      <c r="B42" s="387" t="s">
        <v>147</v>
      </c>
      <c r="C42" s="383">
        <v>7037</v>
      </c>
      <c r="D42" s="383">
        <v>0</v>
      </c>
      <c r="E42" s="383">
        <v>200</v>
      </c>
      <c r="F42" s="383">
        <v>1031</v>
      </c>
      <c r="G42" s="383">
        <v>225</v>
      </c>
      <c r="H42" s="383">
        <v>8493</v>
      </c>
      <c r="I42" s="382">
        <v>8268</v>
      </c>
      <c r="J42" s="382">
        <v>24</v>
      </c>
      <c r="K42" s="384">
        <v>89.1</v>
      </c>
      <c r="L42" s="384">
        <v>88.95</v>
      </c>
      <c r="M42" s="384">
        <v>3.3</v>
      </c>
      <c r="N42" s="384">
        <v>89.74</v>
      </c>
      <c r="O42" s="385">
        <v>6775</v>
      </c>
      <c r="P42" s="382">
        <v>80.069999999999993</v>
      </c>
      <c r="Q42" s="382">
        <v>77.37</v>
      </c>
      <c r="R42" s="382">
        <v>23.39</v>
      </c>
      <c r="S42" s="382">
        <v>103.19</v>
      </c>
      <c r="T42" s="382">
        <v>1192</v>
      </c>
      <c r="U42" s="382">
        <v>112.74</v>
      </c>
      <c r="V42" s="382">
        <v>195</v>
      </c>
      <c r="W42" s="382">
        <v>0</v>
      </c>
      <c r="X42" s="382">
        <v>0</v>
      </c>
      <c r="Y42" s="382">
        <v>0</v>
      </c>
      <c r="Z42" s="382">
        <v>11</v>
      </c>
      <c r="AA42" s="382">
        <v>6</v>
      </c>
      <c r="AB42" s="382">
        <v>3</v>
      </c>
      <c r="AC42" s="382">
        <v>9</v>
      </c>
      <c r="AD42" s="386">
        <v>7033</v>
      </c>
      <c r="AE42" s="386">
        <v>32</v>
      </c>
      <c r="AF42" s="386">
        <v>18</v>
      </c>
      <c r="AG42" s="386">
        <v>50</v>
      </c>
    </row>
    <row r="43" spans="1:33" x14ac:dyDescent="0.25">
      <c r="A43" s="381" t="s">
        <v>148</v>
      </c>
      <c r="B43" s="387" t="s">
        <v>149</v>
      </c>
      <c r="C43" s="383">
        <v>14839</v>
      </c>
      <c r="D43" s="383">
        <v>173</v>
      </c>
      <c r="E43" s="383">
        <v>1042</v>
      </c>
      <c r="F43" s="383">
        <v>969</v>
      </c>
      <c r="G43" s="383">
        <v>2317</v>
      </c>
      <c r="H43" s="383">
        <v>19340</v>
      </c>
      <c r="I43" s="382">
        <v>17023</v>
      </c>
      <c r="J43" s="382">
        <v>71</v>
      </c>
      <c r="K43" s="384">
        <v>123.14</v>
      </c>
      <c r="L43" s="384">
        <v>130.59</v>
      </c>
      <c r="M43" s="384">
        <v>11.01</v>
      </c>
      <c r="N43" s="384">
        <v>130.06</v>
      </c>
      <c r="O43" s="385">
        <v>11891</v>
      </c>
      <c r="P43" s="382">
        <v>106.71</v>
      </c>
      <c r="Q43" s="382">
        <v>104.62</v>
      </c>
      <c r="R43" s="382">
        <v>54.03</v>
      </c>
      <c r="S43" s="382">
        <v>155.76</v>
      </c>
      <c r="T43" s="382">
        <v>955</v>
      </c>
      <c r="U43" s="382">
        <v>201.96</v>
      </c>
      <c r="V43" s="382">
        <v>590</v>
      </c>
      <c r="W43" s="382">
        <v>225.86</v>
      </c>
      <c r="X43" s="382">
        <v>40</v>
      </c>
      <c r="Y43" s="382">
        <v>16</v>
      </c>
      <c r="Z43" s="382">
        <v>22</v>
      </c>
      <c r="AA43" s="382">
        <v>0</v>
      </c>
      <c r="AB43" s="382">
        <v>304</v>
      </c>
      <c r="AC43" s="382">
        <v>95</v>
      </c>
      <c r="AD43" s="386">
        <v>13329</v>
      </c>
      <c r="AE43" s="386">
        <v>76</v>
      </c>
      <c r="AF43" s="386">
        <v>59</v>
      </c>
      <c r="AG43" s="386">
        <v>135</v>
      </c>
    </row>
    <row r="44" spans="1:33" x14ac:dyDescent="0.25">
      <c r="A44" s="381" t="s">
        <v>150</v>
      </c>
      <c r="B44" s="387" t="s">
        <v>151</v>
      </c>
      <c r="C44" s="383">
        <v>737</v>
      </c>
      <c r="D44" s="383">
        <v>7</v>
      </c>
      <c r="E44" s="383">
        <v>119</v>
      </c>
      <c r="F44" s="383">
        <v>162</v>
      </c>
      <c r="G44" s="383">
        <v>175</v>
      </c>
      <c r="H44" s="383">
        <v>1200</v>
      </c>
      <c r="I44" s="382">
        <v>1025</v>
      </c>
      <c r="J44" s="382">
        <v>2</v>
      </c>
      <c r="K44" s="384">
        <v>117.67</v>
      </c>
      <c r="L44" s="384">
        <v>116.21</v>
      </c>
      <c r="M44" s="384">
        <v>7.34</v>
      </c>
      <c r="N44" s="384">
        <v>124.34</v>
      </c>
      <c r="O44" s="385">
        <v>537</v>
      </c>
      <c r="P44" s="382">
        <v>93.25</v>
      </c>
      <c r="Q44" s="382">
        <v>84.09</v>
      </c>
      <c r="R44" s="382">
        <v>41.77</v>
      </c>
      <c r="S44" s="382">
        <v>127.59</v>
      </c>
      <c r="T44" s="382">
        <v>281</v>
      </c>
      <c r="U44" s="382">
        <v>141.26</v>
      </c>
      <c r="V44" s="382">
        <v>45</v>
      </c>
      <c r="W44" s="382">
        <v>0</v>
      </c>
      <c r="X44" s="382">
        <v>0</v>
      </c>
      <c r="Y44" s="382">
        <v>3</v>
      </c>
      <c r="Z44" s="382">
        <v>0</v>
      </c>
      <c r="AA44" s="382">
        <v>0</v>
      </c>
      <c r="AB44" s="382">
        <v>13</v>
      </c>
      <c r="AC44" s="382">
        <v>2</v>
      </c>
      <c r="AD44" s="386">
        <v>585</v>
      </c>
      <c r="AE44" s="386">
        <v>2</v>
      </c>
      <c r="AF44" s="386">
        <v>2</v>
      </c>
      <c r="AG44" s="386">
        <v>4</v>
      </c>
    </row>
    <row r="45" spans="1:33" x14ac:dyDescent="0.25">
      <c r="A45" s="381" t="s">
        <v>152</v>
      </c>
      <c r="B45" s="387" t="s">
        <v>153</v>
      </c>
      <c r="C45" s="383">
        <v>4676</v>
      </c>
      <c r="D45" s="383">
        <v>66</v>
      </c>
      <c r="E45" s="383">
        <v>1012</v>
      </c>
      <c r="F45" s="383">
        <v>925</v>
      </c>
      <c r="G45" s="383">
        <v>822</v>
      </c>
      <c r="H45" s="383">
        <v>7501</v>
      </c>
      <c r="I45" s="382">
        <v>6679</v>
      </c>
      <c r="J45" s="382">
        <v>5</v>
      </c>
      <c r="K45" s="384">
        <v>96.32</v>
      </c>
      <c r="L45" s="384">
        <v>95.51</v>
      </c>
      <c r="M45" s="384">
        <v>9.41</v>
      </c>
      <c r="N45" s="384">
        <v>104</v>
      </c>
      <c r="O45" s="385">
        <v>3935</v>
      </c>
      <c r="P45" s="382">
        <v>85.41</v>
      </c>
      <c r="Q45" s="382">
        <v>81.98</v>
      </c>
      <c r="R45" s="382">
        <v>42.23</v>
      </c>
      <c r="S45" s="382">
        <v>126.31</v>
      </c>
      <c r="T45" s="382">
        <v>1232</v>
      </c>
      <c r="U45" s="382">
        <v>159.05000000000001</v>
      </c>
      <c r="V45" s="382">
        <v>295</v>
      </c>
      <c r="W45" s="382">
        <v>0</v>
      </c>
      <c r="X45" s="382">
        <v>0</v>
      </c>
      <c r="Y45" s="382">
        <v>18</v>
      </c>
      <c r="Z45" s="382">
        <v>0</v>
      </c>
      <c r="AA45" s="382">
        <v>4</v>
      </c>
      <c r="AB45" s="382">
        <v>93</v>
      </c>
      <c r="AC45" s="382">
        <v>26</v>
      </c>
      <c r="AD45" s="386">
        <v>4290</v>
      </c>
      <c r="AE45" s="386">
        <v>27</v>
      </c>
      <c r="AF45" s="386">
        <v>15</v>
      </c>
      <c r="AG45" s="386">
        <v>42</v>
      </c>
    </row>
    <row r="46" spans="1:33" x14ac:dyDescent="0.25">
      <c r="A46" s="381" t="s">
        <v>154</v>
      </c>
      <c r="B46" s="387" t="s">
        <v>155</v>
      </c>
      <c r="C46" s="383">
        <v>8119</v>
      </c>
      <c r="D46" s="383">
        <v>9</v>
      </c>
      <c r="E46" s="383">
        <v>1448</v>
      </c>
      <c r="F46" s="383">
        <v>2228</v>
      </c>
      <c r="G46" s="383">
        <v>1034</v>
      </c>
      <c r="H46" s="383">
        <v>12838</v>
      </c>
      <c r="I46" s="382">
        <v>11804</v>
      </c>
      <c r="J46" s="382">
        <v>5</v>
      </c>
      <c r="K46" s="384">
        <v>95.88</v>
      </c>
      <c r="L46" s="384">
        <v>94.71</v>
      </c>
      <c r="M46" s="384">
        <v>7.15</v>
      </c>
      <c r="N46" s="384">
        <v>101.28</v>
      </c>
      <c r="O46" s="385">
        <v>5673</v>
      </c>
      <c r="P46" s="382">
        <v>87.1</v>
      </c>
      <c r="Q46" s="382">
        <v>86.14</v>
      </c>
      <c r="R46" s="382">
        <v>32.74</v>
      </c>
      <c r="S46" s="382">
        <v>119.22</v>
      </c>
      <c r="T46" s="382">
        <v>2969</v>
      </c>
      <c r="U46" s="382">
        <v>128.82</v>
      </c>
      <c r="V46" s="382">
        <v>569</v>
      </c>
      <c r="W46" s="382">
        <v>152.38999999999999</v>
      </c>
      <c r="X46" s="382">
        <v>1</v>
      </c>
      <c r="Y46" s="382">
        <v>1</v>
      </c>
      <c r="Z46" s="382">
        <v>9</v>
      </c>
      <c r="AA46" s="382">
        <v>6</v>
      </c>
      <c r="AB46" s="382">
        <v>9</v>
      </c>
      <c r="AC46" s="382">
        <v>35</v>
      </c>
      <c r="AD46" s="386">
        <v>6424</v>
      </c>
      <c r="AE46" s="386">
        <v>68</v>
      </c>
      <c r="AF46" s="386">
        <v>48</v>
      </c>
      <c r="AG46" s="386">
        <v>116</v>
      </c>
    </row>
    <row r="47" spans="1:33" x14ac:dyDescent="0.25">
      <c r="A47" s="381" t="s">
        <v>156</v>
      </c>
      <c r="B47" s="387" t="s">
        <v>157</v>
      </c>
      <c r="C47" s="383">
        <v>4320</v>
      </c>
      <c r="D47" s="383">
        <v>0</v>
      </c>
      <c r="E47" s="383">
        <v>194</v>
      </c>
      <c r="F47" s="383">
        <v>540</v>
      </c>
      <c r="G47" s="383">
        <v>281</v>
      </c>
      <c r="H47" s="383">
        <v>5335</v>
      </c>
      <c r="I47" s="382">
        <v>5054</v>
      </c>
      <c r="J47" s="382">
        <v>8</v>
      </c>
      <c r="K47" s="384">
        <v>92.83</v>
      </c>
      <c r="L47" s="384">
        <v>89.33</v>
      </c>
      <c r="M47" s="384">
        <v>0.79</v>
      </c>
      <c r="N47" s="384">
        <v>93.55</v>
      </c>
      <c r="O47" s="385">
        <v>3770</v>
      </c>
      <c r="P47" s="382">
        <v>87.77</v>
      </c>
      <c r="Q47" s="382">
        <v>76.2</v>
      </c>
      <c r="R47" s="382">
        <v>22.83</v>
      </c>
      <c r="S47" s="382">
        <v>107.35</v>
      </c>
      <c r="T47" s="382">
        <v>723</v>
      </c>
      <c r="U47" s="382">
        <v>104.4</v>
      </c>
      <c r="V47" s="382">
        <v>487</v>
      </c>
      <c r="W47" s="382">
        <v>0</v>
      </c>
      <c r="X47" s="382">
        <v>0</v>
      </c>
      <c r="Y47" s="382">
        <v>0</v>
      </c>
      <c r="Z47" s="382">
        <v>7</v>
      </c>
      <c r="AA47" s="382">
        <v>2</v>
      </c>
      <c r="AB47" s="382">
        <v>2</v>
      </c>
      <c r="AC47" s="382">
        <v>3</v>
      </c>
      <c r="AD47" s="386">
        <v>4320</v>
      </c>
      <c r="AE47" s="386">
        <v>28</v>
      </c>
      <c r="AF47" s="386">
        <v>8</v>
      </c>
      <c r="AG47" s="386">
        <v>36</v>
      </c>
    </row>
    <row r="48" spans="1:33" x14ac:dyDescent="0.25">
      <c r="A48" s="381" t="s">
        <v>158</v>
      </c>
      <c r="B48" s="387" t="s">
        <v>159</v>
      </c>
      <c r="C48" s="383">
        <v>16009</v>
      </c>
      <c r="D48" s="383">
        <v>62</v>
      </c>
      <c r="E48" s="383">
        <v>561</v>
      </c>
      <c r="F48" s="383">
        <v>2238</v>
      </c>
      <c r="G48" s="383">
        <v>861</v>
      </c>
      <c r="H48" s="383">
        <v>19731</v>
      </c>
      <c r="I48" s="382">
        <v>18870</v>
      </c>
      <c r="J48" s="382">
        <v>37</v>
      </c>
      <c r="K48" s="384">
        <v>115.93</v>
      </c>
      <c r="L48" s="384">
        <v>115.9</v>
      </c>
      <c r="M48" s="384">
        <v>11.74</v>
      </c>
      <c r="N48" s="384">
        <v>122.62</v>
      </c>
      <c r="O48" s="385">
        <v>13512</v>
      </c>
      <c r="P48" s="382">
        <v>104.3</v>
      </c>
      <c r="Q48" s="382">
        <v>104.02</v>
      </c>
      <c r="R48" s="382">
        <v>38.18</v>
      </c>
      <c r="S48" s="382">
        <v>141.97</v>
      </c>
      <c r="T48" s="382">
        <v>2319</v>
      </c>
      <c r="U48" s="382">
        <v>165.86</v>
      </c>
      <c r="V48" s="382">
        <v>1348</v>
      </c>
      <c r="W48" s="382">
        <v>0</v>
      </c>
      <c r="X48" s="382">
        <v>0</v>
      </c>
      <c r="Y48" s="382">
        <v>45</v>
      </c>
      <c r="Z48" s="382">
        <v>20</v>
      </c>
      <c r="AA48" s="382">
        <v>23</v>
      </c>
      <c r="AB48" s="382">
        <v>42</v>
      </c>
      <c r="AC48" s="382">
        <v>25</v>
      </c>
      <c r="AD48" s="386">
        <v>15211</v>
      </c>
      <c r="AE48" s="386">
        <v>135</v>
      </c>
      <c r="AF48" s="386">
        <v>84</v>
      </c>
      <c r="AG48" s="386">
        <v>219</v>
      </c>
    </row>
    <row r="49" spans="1:33" x14ac:dyDescent="0.25">
      <c r="A49" s="381" t="s">
        <v>160</v>
      </c>
      <c r="B49" s="387" t="s">
        <v>161</v>
      </c>
      <c r="C49" s="383">
        <v>3084</v>
      </c>
      <c r="D49" s="383">
        <v>0</v>
      </c>
      <c r="E49" s="383">
        <v>69</v>
      </c>
      <c r="F49" s="383">
        <v>990</v>
      </c>
      <c r="G49" s="383">
        <v>290</v>
      </c>
      <c r="H49" s="383">
        <v>4433</v>
      </c>
      <c r="I49" s="382">
        <v>4143</v>
      </c>
      <c r="J49" s="382">
        <v>0</v>
      </c>
      <c r="K49" s="384">
        <v>90.78</v>
      </c>
      <c r="L49" s="384">
        <v>90.7</v>
      </c>
      <c r="M49" s="384">
        <v>3.86</v>
      </c>
      <c r="N49" s="384">
        <v>92.79</v>
      </c>
      <c r="O49" s="385">
        <v>2829</v>
      </c>
      <c r="P49" s="382">
        <v>81</v>
      </c>
      <c r="Q49" s="382">
        <v>83.58</v>
      </c>
      <c r="R49" s="382">
        <v>18.05</v>
      </c>
      <c r="S49" s="382">
        <v>99.03</v>
      </c>
      <c r="T49" s="382">
        <v>999</v>
      </c>
      <c r="U49" s="382">
        <v>114.17</v>
      </c>
      <c r="V49" s="382">
        <v>208</v>
      </c>
      <c r="W49" s="382">
        <v>0</v>
      </c>
      <c r="X49" s="382">
        <v>0</v>
      </c>
      <c r="Y49" s="382">
        <v>0</v>
      </c>
      <c r="Z49" s="382">
        <v>12</v>
      </c>
      <c r="AA49" s="382">
        <v>3</v>
      </c>
      <c r="AB49" s="382">
        <v>10</v>
      </c>
      <c r="AC49" s="382">
        <v>7</v>
      </c>
      <c r="AD49" s="386">
        <v>3084</v>
      </c>
      <c r="AE49" s="386">
        <v>14</v>
      </c>
      <c r="AF49" s="386">
        <v>0</v>
      </c>
      <c r="AG49" s="386">
        <v>14</v>
      </c>
    </row>
    <row r="50" spans="1:33" x14ac:dyDescent="0.25">
      <c r="A50" s="381" t="s">
        <v>162</v>
      </c>
      <c r="B50" s="387" t="s">
        <v>163</v>
      </c>
      <c r="C50" s="383">
        <v>4286</v>
      </c>
      <c r="D50" s="383">
        <v>0</v>
      </c>
      <c r="E50" s="383">
        <v>116</v>
      </c>
      <c r="F50" s="383">
        <v>799</v>
      </c>
      <c r="G50" s="383">
        <v>368</v>
      </c>
      <c r="H50" s="383">
        <v>5569</v>
      </c>
      <c r="I50" s="382">
        <v>5201</v>
      </c>
      <c r="J50" s="382">
        <v>0</v>
      </c>
      <c r="K50" s="384">
        <v>119.01</v>
      </c>
      <c r="L50" s="384">
        <v>115.22</v>
      </c>
      <c r="M50" s="384">
        <v>6.48</v>
      </c>
      <c r="N50" s="384">
        <v>122.93</v>
      </c>
      <c r="O50" s="385">
        <v>4068</v>
      </c>
      <c r="P50" s="382">
        <v>103.28</v>
      </c>
      <c r="Q50" s="382">
        <v>100.8</v>
      </c>
      <c r="R50" s="382">
        <v>16.37</v>
      </c>
      <c r="S50" s="382">
        <v>117.18</v>
      </c>
      <c r="T50" s="382">
        <v>912</v>
      </c>
      <c r="U50" s="382">
        <v>163</v>
      </c>
      <c r="V50" s="382">
        <v>185</v>
      </c>
      <c r="W50" s="382">
        <v>190.45</v>
      </c>
      <c r="X50" s="382">
        <v>2</v>
      </c>
      <c r="Y50" s="382">
        <v>0</v>
      </c>
      <c r="Z50" s="382">
        <v>18</v>
      </c>
      <c r="AA50" s="382">
        <v>1</v>
      </c>
      <c r="AB50" s="382">
        <v>11</v>
      </c>
      <c r="AC50" s="382">
        <v>9</v>
      </c>
      <c r="AD50" s="386">
        <v>4286</v>
      </c>
      <c r="AE50" s="386">
        <v>6</v>
      </c>
      <c r="AF50" s="386">
        <v>20</v>
      </c>
      <c r="AG50" s="386">
        <v>26</v>
      </c>
    </row>
    <row r="51" spans="1:33" x14ac:dyDescent="0.25">
      <c r="A51" s="381" t="s">
        <v>164</v>
      </c>
      <c r="B51" s="387" t="s">
        <v>165</v>
      </c>
      <c r="C51" s="383">
        <v>1013</v>
      </c>
      <c r="D51" s="383">
        <v>0</v>
      </c>
      <c r="E51" s="383">
        <v>74</v>
      </c>
      <c r="F51" s="383">
        <v>120</v>
      </c>
      <c r="G51" s="383">
        <v>78</v>
      </c>
      <c r="H51" s="383">
        <v>1285</v>
      </c>
      <c r="I51" s="382">
        <v>1207</v>
      </c>
      <c r="J51" s="382">
        <v>44</v>
      </c>
      <c r="K51" s="384">
        <v>80.63</v>
      </c>
      <c r="L51" s="384">
        <v>78.83</v>
      </c>
      <c r="M51" s="384">
        <v>6.88</v>
      </c>
      <c r="N51" s="384">
        <v>86.29</v>
      </c>
      <c r="O51" s="385">
        <v>931</v>
      </c>
      <c r="P51" s="382">
        <v>82.5</v>
      </c>
      <c r="Q51" s="382">
        <v>66.03</v>
      </c>
      <c r="R51" s="382">
        <v>40.94</v>
      </c>
      <c r="S51" s="382">
        <v>120.59</v>
      </c>
      <c r="T51" s="382">
        <v>158</v>
      </c>
      <c r="U51" s="382">
        <v>94.9</v>
      </c>
      <c r="V51" s="382">
        <v>65</v>
      </c>
      <c r="W51" s="382">
        <v>101.19</v>
      </c>
      <c r="X51" s="382">
        <v>4</v>
      </c>
      <c r="Y51" s="382">
        <v>0</v>
      </c>
      <c r="Z51" s="382">
        <v>1</v>
      </c>
      <c r="AA51" s="382">
        <v>2</v>
      </c>
      <c r="AB51" s="382">
        <v>0</v>
      </c>
      <c r="AC51" s="382">
        <v>4</v>
      </c>
      <c r="AD51" s="386">
        <v>1013</v>
      </c>
      <c r="AE51" s="386">
        <v>4</v>
      </c>
      <c r="AF51" s="386">
        <v>6</v>
      </c>
      <c r="AG51" s="386">
        <v>10</v>
      </c>
    </row>
    <row r="52" spans="1:33" ht="14.5" x14ac:dyDescent="0.35">
      <c r="A52" s="388" t="s">
        <v>779</v>
      </c>
      <c r="B52" s="388" t="s">
        <v>774</v>
      </c>
      <c r="C52" s="382">
        <v>23288</v>
      </c>
      <c r="D52" s="382">
        <v>119</v>
      </c>
      <c r="E52" s="382">
        <v>1042</v>
      </c>
      <c r="F52" s="382">
        <v>3823</v>
      </c>
      <c r="G52" s="382">
        <v>1978</v>
      </c>
      <c r="H52" s="382">
        <v>30250</v>
      </c>
      <c r="I52" s="382">
        <v>28272</v>
      </c>
      <c r="J52" s="382">
        <v>449</v>
      </c>
      <c r="K52" s="389">
        <v>110.98</v>
      </c>
      <c r="L52" s="389">
        <v>112.2</v>
      </c>
      <c r="M52" s="389">
        <v>3.64</v>
      </c>
      <c r="N52" s="389">
        <v>113.12</v>
      </c>
      <c r="O52" s="382">
        <v>21305</v>
      </c>
      <c r="P52" s="389">
        <v>97.82</v>
      </c>
      <c r="Q52" s="389">
        <v>96.85</v>
      </c>
      <c r="R52" s="389">
        <v>25.1</v>
      </c>
      <c r="S52" s="389">
        <v>120.52</v>
      </c>
      <c r="T52" s="382">
        <v>4507</v>
      </c>
      <c r="U52" s="389">
        <v>150.06</v>
      </c>
      <c r="V52" s="382">
        <v>1668</v>
      </c>
      <c r="W52" s="389">
        <v>131.62</v>
      </c>
      <c r="X52" s="382">
        <v>8</v>
      </c>
      <c r="Y52" s="382">
        <v>333</v>
      </c>
      <c r="Z52" s="382">
        <v>100</v>
      </c>
      <c r="AA52" s="382">
        <v>44</v>
      </c>
      <c r="AB52" s="382">
        <v>136</v>
      </c>
      <c r="AC52" s="382">
        <v>67</v>
      </c>
      <c r="AD52" s="382">
        <v>22964</v>
      </c>
      <c r="AE52" s="382">
        <v>77</v>
      </c>
      <c r="AF52" s="382">
        <v>161</v>
      </c>
      <c r="AG52" s="382">
        <v>238</v>
      </c>
    </row>
    <row r="53" spans="1:33" x14ac:dyDescent="0.25">
      <c r="A53" s="381" t="s">
        <v>166</v>
      </c>
      <c r="B53" s="387" t="s">
        <v>167</v>
      </c>
      <c r="C53" s="383">
        <v>4139</v>
      </c>
      <c r="D53" s="383">
        <v>0</v>
      </c>
      <c r="E53" s="383">
        <v>166</v>
      </c>
      <c r="F53" s="383">
        <v>1564</v>
      </c>
      <c r="G53" s="383">
        <v>13</v>
      </c>
      <c r="H53" s="383">
        <v>5882</v>
      </c>
      <c r="I53" s="382">
        <v>5869</v>
      </c>
      <c r="J53" s="382">
        <v>25</v>
      </c>
      <c r="K53" s="384">
        <v>81.11</v>
      </c>
      <c r="L53" s="384">
        <v>78.48</v>
      </c>
      <c r="M53" s="384">
        <v>2.23</v>
      </c>
      <c r="N53" s="384">
        <v>83.13</v>
      </c>
      <c r="O53" s="385">
        <v>3946</v>
      </c>
      <c r="P53" s="382">
        <v>74.34</v>
      </c>
      <c r="Q53" s="382">
        <v>68.23</v>
      </c>
      <c r="R53" s="382">
        <v>16.46</v>
      </c>
      <c r="S53" s="382">
        <v>90.45</v>
      </c>
      <c r="T53" s="382">
        <v>1651</v>
      </c>
      <c r="U53" s="382">
        <v>93.75</v>
      </c>
      <c r="V53" s="382">
        <v>187</v>
      </c>
      <c r="W53" s="382">
        <v>91.37</v>
      </c>
      <c r="X53" s="382">
        <v>1</v>
      </c>
      <c r="Y53" s="382">
        <v>0</v>
      </c>
      <c r="Z53" s="382">
        <v>11</v>
      </c>
      <c r="AA53" s="382">
        <v>1</v>
      </c>
      <c r="AB53" s="382">
        <v>0</v>
      </c>
      <c r="AC53" s="382">
        <v>0</v>
      </c>
      <c r="AD53" s="386">
        <v>4139</v>
      </c>
      <c r="AE53" s="386">
        <v>87</v>
      </c>
      <c r="AF53" s="386">
        <v>14</v>
      </c>
      <c r="AG53" s="386">
        <v>101</v>
      </c>
    </row>
    <row r="54" spans="1:33" x14ac:dyDescent="0.25">
      <c r="A54" s="381" t="s">
        <v>168</v>
      </c>
      <c r="B54" s="387" t="s">
        <v>169</v>
      </c>
      <c r="C54" s="383">
        <v>3702</v>
      </c>
      <c r="D54" s="383">
        <v>0</v>
      </c>
      <c r="E54" s="383">
        <v>375</v>
      </c>
      <c r="F54" s="383">
        <v>594</v>
      </c>
      <c r="G54" s="383">
        <v>133</v>
      </c>
      <c r="H54" s="383">
        <v>4804</v>
      </c>
      <c r="I54" s="382">
        <v>4671</v>
      </c>
      <c r="J54" s="382">
        <v>0</v>
      </c>
      <c r="K54" s="384">
        <v>82.09</v>
      </c>
      <c r="L54" s="384">
        <v>81.72</v>
      </c>
      <c r="M54" s="384">
        <v>5.86</v>
      </c>
      <c r="N54" s="384">
        <v>85.24</v>
      </c>
      <c r="O54" s="385">
        <v>3128</v>
      </c>
      <c r="P54" s="382">
        <v>85.95</v>
      </c>
      <c r="Q54" s="382">
        <v>77.900000000000006</v>
      </c>
      <c r="R54" s="382">
        <v>31.88</v>
      </c>
      <c r="S54" s="382">
        <v>115.92</v>
      </c>
      <c r="T54" s="382">
        <v>802</v>
      </c>
      <c r="U54" s="382">
        <v>102.2</v>
      </c>
      <c r="V54" s="382">
        <v>298</v>
      </c>
      <c r="W54" s="382">
        <v>0</v>
      </c>
      <c r="X54" s="382">
        <v>0</v>
      </c>
      <c r="Y54" s="382">
        <v>0</v>
      </c>
      <c r="Z54" s="382">
        <v>4</v>
      </c>
      <c r="AA54" s="382">
        <v>9</v>
      </c>
      <c r="AB54" s="382">
        <v>0</v>
      </c>
      <c r="AC54" s="382">
        <v>3</v>
      </c>
      <c r="AD54" s="386">
        <v>3400</v>
      </c>
      <c r="AE54" s="386">
        <v>18</v>
      </c>
      <c r="AF54" s="386">
        <v>20</v>
      </c>
      <c r="AG54" s="386">
        <v>38</v>
      </c>
    </row>
    <row r="55" spans="1:33" x14ac:dyDescent="0.25">
      <c r="A55" s="381" t="s">
        <v>170</v>
      </c>
      <c r="B55" s="387" t="s">
        <v>171</v>
      </c>
      <c r="C55" s="383">
        <v>13004</v>
      </c>
      <c r="D55" s="383">
        <v>0</v>
      </c>
      <c r="E55" s="383">
        <v>171</v>
      </c>
      <c r="F55" s="383">
        <v>1157</v>
      </c>
      <c r="G55" s="383">
        <v>292</v>
      </c>
      <c r="H55" s="383">
        <v>14624</v>
      </c>
      <c r="I55" s="382">
        <v>14332</v>
      </c>
      <c r="J55" s="382">
        <v>7</v>
      </c>
      <c r="K55" s="384">
        <v>77.319999999999993</v>
      </c>
      <c r="L55" s="384">
        <v>83.16</v>
      </c>
      <c r="M55" s="384">
        <v>6.15</v>
      </c>
      <c r="N55" s="384">
        <v>83.14</v>
      </c>
      <c r="O55" s="385">
        <v>12576</v>
      </c>
      <c r="P55" s="382">
        <v>79.97</v>
      </c>
      <c r="Q55" s="382">
        <v>75.12</v>
      </c>
      <c r="R55" s="382">
        <v>27.1</v>
      </c>
      <c r="S55" s="382">
        <v>106.76</v>
      </c>
      <c r="T55" s="382">
        <v>1281</v>
      </c>
      <c r="U55" s="382">
        <v>96.13</v>
      </c>
      <c r="V55" s="382">
        <v>360</v>
      </c>
      <c r="W55" s="382">
        <v>0</v>
      </c>
      <c r="X55" s="382">
        <v>0</v>
      </c>
      <c r="Y55" s="382">
        <v>38</v>
      </c>
      <c r="Z55" s="382">
        <v>35</v>
      </c>
      <c r="AA55" s="382">
        <v>16</v>
      </c>
      <c r="AB55" s="382">
        <v>2</v>
      </c>
      <c r="AC55" s="382">
        <v>6</v>
      </c>
      <c r="AD55" s="386">
        <v>12978</v>
      </c>
      <c r="AE55" s="386">
        <v>399</v>
      </c>
      <c r="AF55" s="386">
        <v>320</v>
      </c>
      <c r="AG55" s="386">
        <v>719</v>
      </c>
    </row>
    <row r="56" spans="1:33" x14ac:dyDescent="0.25">
      <c r="A56" s="381" t="s">
        <v>172</v>
      </c>
      <c r="B56" s="387" t="s">
        <v>173</v>
      </c>
      <c r="C56" s="383">
        <v>3650</v>
      </c>
      <c r="D56" s="383">
        <v>112</v>
      </c>
      <c r="E56" s="383">
        <v>537</v>
      </c>
      <c r="F56" s="383">
        <v>443</v>
      </c>
      <c r="G56" s="383">
        <v>561</v>
      </c>
      <c r="H56" s="383">
        <v>5303</v>
      </c>
      <c r="I56" s="382">
        <v>4742</v>
      </c>
      <c r="J56" s="382">
        <v>6</v>
      </c>
      <c r="K56" s="384">
        <v>108.97</v>
      </c>
      <c r="L56" s="384">
        <v>110.9</v>
      </c>
      <c r="M56" s="384">
        <v>6.56</v>
      </c>
      <c r="N56" s="384">
        <v>113.25</v>
      </c>
      <c r="O56" s="385">
        <v>2487</v>
      </c>
      <c r="P56" s="382">
        <v>89.64</v>
      </c>
      <c r="Q56" s="382">
        <v>88.49</v>
      </c>
      <c r="R56" s="382">
        <v>50.89</v>
      </c>
      <c r="S56" s="382">
        <v>136.38999999999999</v>
      </c>
      <c r="T56" s="382">
        <v>810</v>
      </c>
      <c r="U56" s="382">
        <v>143.94999999999999</v>
      </c>
      <c r="V56" s="382">
        <v>300</v>
      </c>
      <c r="W56" s="382">
        <v>124.8</v>
      </c>
      <c r="X56" s="382">
        <v>2</v>
      </c>
      <c r="Y56" s="382">
        <v>44</v>
      </c>
      <c r="Z56" s="382">
        <v>2</v>
      </c>
      <c r="AA56" s="382">
        <v>0</v>
      </c>
      <c r="AB56" s="382">
        <v>98</v>
      </c>
      <c r="AC56" s="382">
        <v>65</v>
      </c>
      <c r="AD56" s="386">
        <v>3376</v>
      </c>
      <c r="AE56" s="386">
        <v>33</v>
      </c>
      <c r="AF56" s="386">
        <v>10</v>
      </c>
      <c r="AG56" s="386">
        <v>43</v>
      </c>
    </row>
    <row r="57" spans="1:33" x14ac:dyDescent="0.25">
      <c r="A57" s="381" t="s">
        <v>174</v>
      </c>
      <c r="B57" s="387" t="s">
        <v>175</v>
      </c>
      <c r="C57" s="383">
        <v>7928</v>
      </c>
      <c r="D57" s="383">
        <v>682</v>
      </c>
      <c r="E57" s="383">
        <v>1670</v>
      </c>
      <c r="F57" s="383">
        <v>1018</v>
      </c>
      <c r="G57" s="383">
        <v>609</v>
      </c>
      <c r="H57" s="383">
        <v>11907</v>
      </c>
      <c r="I57" s="382">
        <v>11298</v>
      </c>
      <c r="J57" s="382">
        <v>66</v>
      </c>
      <c r="K57" s="384">
        <v>132.35</v>
      </c>
      <c r="L57" s="384">
        <v>142.91</v>
      </c>
      <c r="M57" s="384">
        <v>10.49</v>
      </c>
      <c r="N57" s="384">
        <v>141.11000000000001</v>
      </c>
      <c r="O57" s="385">
        <v>6245</v>
      </c>
      <c r="P57" s="382">
        <v>111.92</v>
      </c>
      <c r="Q57" s="382">
        <v>112.81</v>
      </c>
      <c r="R57" s="382">
        <v>48.47</v>
      </c>
      <c r="S57" s="382">
        <v>153.09</v>
      </c>
      <c r="T57" s="382">
        <v>2496</v>
      </c>
      <c r="U57" s="382">
        <v>211.21</v>
      </c>
      <c r="V57" s="382">
        <v>172</v>
      </c>
      <c r="W57" s="382">
        <v>0</v>
      </c>
      <c r="X57" s="382">
        <v>0</v>
      </c>
      <c r="Y57" s="382">
        <v>0</v>
      </c>
      <c r="Z57" s="382">
        <v>3</v>
      </c>
      <c r="AA57" s="382">
        <v>13</v>
      </c>
      <c r="AB57" s="382">
        <v>13</v>
      </c>
      <c r="AC57" s="382">
        <v>26</v>
      </c>
      <c r="AD57" s="386">
        <v>6545</v>
      </c>
      <c r="AE57" s="386">
        <v>31</v>
      </c>
      <c r="AF57" s="386">
        <v>53</v>
      </c>
      <c r="AG57" s="386">
        <v>84</v>
      </c>
    </row>
    <row r="58" spans="1:33" x14ac:dyDescent="0.25">
      <c r="A58" s="381" t="s">
        <v>176</v>
      </c>
      <c r="B58" s="387" t="s">
        <v>177</v>
      </c>
      <c r="C58" s="383">
        <v>1333</v>
      </c>
      <c r="D58" s="383">
        <v>3</v>
      </c>
      <c r="E58" s="383">
        <v>140</v>
      </c>
      <c r="F58" s="383">
        <v>337</v>
      </c>
      <c r="G58" s="383">
        <v>256</v>
      </c>
      <c r="H58" s="383">
        <v>2069</v>
      </c>
      <c r="I58" s="382">
        <v>1813</v>
      </c>
      <c r="J58" s="382">
        <v>1</v>
      </c>
      <c r="K58" s="384">
        <v>90.25</v>
      </c>
      <c r="L58" s="384">
        <v>90.41</v>
      </c>
      <c r="M58" s="384">
        <v>4.83</v>
      </c>
      <c r="N58" s="384">
        <v>93.41</v>
      </c>
      <c r="O58" s="385">
        <v>1180</v>
      </c>
      <c r="P58" s="382">
        <v>85.07</v>
      </c>
      <c r="Q58" s="382">
        <v>84.22</v>
      </c>
      <c r="R58" s="382">
        <v>33.200000000000003</v>
      </c>
      <c r="S58" s="382">
        <v>117.4</v>
      </c>
      <c r="T58" s="382">
        <v>341</v>
      </c>
      <c r="U58" s="382">
        <v>108.35</v>
      </c>
      <c r="V58" s="382">
        <v>103</v>
      </c>
      <c r="W58" s="382">
        <v>166.22</v>
      </c>
      <c r="X58" s="382">
        <v>63</v>
      </c>
      <c r="Y58" s="382">
        <v>0</v>
      </c>
      <c r="Z58" s="382">
        <v>5</v>
      </c>
      <c r="AA58" s="382">
        <v>1</v>
      </c>
      <c r="AB58" s="382">
        <v>4</v>
      </c>
      <c r="AC58" s="382">
        <v>3</v>
      </c>
      <c r="AD58" s="386">
        <v>1314</v>
      </c>
      <c r="AE58" s="386">
        <v>8</v>
      </c>
      <c r="AF58" s="386">
        <v>3</v>
      </c>
      <c r="AG58" s="386">
        <v>11</v>
      </c>
    </row>
    <row r="59" spans="1:33" x14ac:dyDescent="0.25">
      <c r="A59" s="381" t="s">
        <v>178</v>
      </c>
      <c r="B59" s="387" t="s">
        <v>179</v>
      </c>
      <c r="C59" s="383">
        <v>1913</v>
      </c>
      <c r="D59" s="383">
        <v>0</v>
      </c>
      <c r="E59" s="383">
        <v>127</v>
      </c>
      <c r="F59" s="383">
        <v>378</v>
      </c>
      <c r="G59" s="383">
        <v>438</v>
      </c>
      <c r="H59" s="383">
        <v>2856</v>
      </c>
      <c r="I59" s="382">
        <v>2418</v>
      </c>
      <c r="J59" s="382">
        <v>0</v>
      </c>
      <c r="K59" s="384">
        <v>103.78</v>
      </c>
      <c r="L59" s="384">
        <v>104.3</v>
      </c>
      <c r="M59" s="384">
        <v>7.85</v>
      </c>
      <c r="N59" s="384">
        <v>110.06</v>
      </c>
      <c r="O59" s="385">
        <v>1391</v>
      </c>
      <c r="P59" s="382">
        <v>83.33</v>
      </c>
      <c r="Q59" s="382">
        <v>83.64</v>
      </c>
      <c r="R59" s="382">
        <v>44.32</v>
      </c>
      <c r="S59" s="382">
        <v>127.11</v>
      </c>
      <c r="T59" s="382">
        <v>496</v>
      </c>
      <c r="U59" s="382">
        <v>142.22</v>
      </c>
      <c r="V59" s="382">
        <v>216</v>
      </c>
      <c r="W59" s="382">
        <v>0</v>
      </c>
      <c r="X59" s="382">
        <v>0</v>
      </c>
      <c r="Y59" s="382">
        <v>0</v>
      </c>
      <c r="Z59" s="382">
        <v>0</v>
      </c>
      <c r="AA59" s="382">
        <v>0</v>
      </c>
      <c r="AB59" s="382">
        <v>2</v>
      </c>
      <c r="AC59" s="382">
        <v>12</v>
      </c>
      <c r="AD59" s="386">
        <v>1728</v>
      </c>
      <c r="AE59" s="386">
        <v>3</v>
      </c>
      <c r="AF59" s="386">
        <v>2</v>
      </c>
      <c r="AG59" s="386">
        <v>5</v>
      </c>
    </row>
    <row r="60" spans="1:33" x14ac:dyDescent="0.25">
      <c r="A60" s="381" t="s">
        <v>180</v>
      </c>
      <c r="B60" s="387" t="s">
        <v>181</v>
      </c>
      <c r="C60" s="383">
        <v>6921</v>
      </c>
      <c r="D60" s="383">
        <v>0</v>
      </c>
      <c r="E60" s="383">
        <v>278</v>
      </c>
      <c r="F60" s="383">
        <v>345</v>
      </c>
      <c r="G60" s="383">
        <v>356</v>
      </c>
      <c r="H60" s="383">
        <v>7900</v>
      </c>
      <c r="I60" s="382">
        <v>7544</v>
      </c>
      <c r="J60" s="382">
        <v>0</v>
      </c>
      <c r="K60" s="384">
        <v>82.3</v>
      </c>
      <c r="L60" s="384">
        <v>84.95</v>
      </c>
      <c r="M60" s="384">
        <v>2.73</v>
      </c>
      <c r="N60" s="384">
        <v>83.62</v>
      </c>
      <c r="O60" s="385">
        <v>6200</v>
      </c>
      <c r="P60" s="382">
        <v>77.95</v>
      </c>
      <c r="Q60" s="382">
        <v>75.680000000000007</v>
      </c>
      <c r="R60" s="382">
        <v>35.1</v>
      </c>
      <c r="S60" s="382">
        <v>109.07</v>
      </c>
      <c r="T60" s="382">
        <v>566</v>
      </c>
      <c r="U60" s="382">
        <v>91.21</v>
      </c>
      <c r="V60" s="382">
        <v>707</v>
      </c>
      <c r="W60" s="382">
        <v>0</v>
      </c>
      <c r="X60" s="382">
        <v>0</v>
      </c>
      <c r="Y60" s="382">
        <v>0</v>
      </c>
      <c r="Z60" s="382">
        <v>15</v>
      </c>
      <c r="AA60" s="382">
        <v>4</v>
      </c>
      <c r="AB60" s="382">
        <v>0</v>
      </c>
      <c r="AC60" s="382">
        <v>1</v>
      </c>
      <c r="AD60" s="386">
        <v>6911</v>
      </c>
      <c r="AE60" s="386">
        <v>83</v>
      </c>
      <c r="AF60" s="386">
        <v>35</v>
      </c>
      <c r="AG60" s="386">
        <v>118</v>
      </c>
    </row>
    <row r="61" spans="1:33" x14ac:dyDescent="0.25">
      <c r="A61" s="381" t="s">
        <v>182</v>
      </c>
      <c r="B61" s="387" t="s">
        <v>183</v>
      </c>
      <c r="C61" s="383">
        <v>428</v>
      </c>
      <c r="D61" s="383">
        <v>0</v>
      </c>
      <c r="E61" s="383">
        <v>63</v>
      </c>
      <c r="F61" s="383">
        <v>73</v>
      </c>
      <c r="G61" s="383">
        <v>85</v>
      </c>
      <c r="H61" s="383">
        <v>649</v>
      </c>
      <c r="I61" s="382">
        <v>564</v>
      </c>
      <c r="J61" s="382">
        <v>2</v>
      </c>
      <c r="K61" s="384">
        <v>106.9</v>
      </c>
      <c r="L61" s="384">
        <v>106.83</v>
      </c>
      <c r="M61" s="384">
        <v>5.69</v>
      </c>
      <c r="N61" s="384">
        <v>110.13</v>
      </c>
      <c r="O61" s="385">
        <v>386</v>
      </c>
      <c r="P61" s="382">
        <v>86.63</v>
      </c>
      <c r="Q61" s="382">
        <v>83.47</v>
      </c>
      <c r="R61" s="382">
        <v>52.09</v>
      </c>
      <c r="S61" s="382">
        <v>138.72</v>
      </c>
      <c r="T61" s="382">
        <v>109</v>
      </c>
      <c r="U61" s="382">
        <v>148.01</v>
      </c>
      <c r="V61" s="382">
        <v>29</v>
      </c>
      <c r="W61" s="382">
        <v>0</v>
      </c>
      <c r="X61" s="382">
        <v>0</v>
      </c>
      <c r="Y61" s="382">
        <v>3</v>
      </c>
      <c r="Z61" s="382">
        <v>1</v>
      </c>
      <c r="AA61" s="382">
        <v>0</v>
      </c>
      <c r="AB61" s="382">
        <v>12</v>
      </c>
      <c r="AC61" s="382">
        <v>1</v>
      </c>
      <c r="AD61" s="386">
        <v>428</v>
      </c>
      <c r="AE61" s="386">
        <v>1</v>
      </c>
      <c r="AF61" s="386">
        <v>0</v>
      </c>
      <c r="AG61" s="386">
        <v>1</v>
      </c>
    </row>
    <row r="62" spans="1:33" x14ac:dyDescent="0.25">
      <c r="A62" s="381" t="s">
        <v>184</v>
      </c>
      <c r="B62" s="387" t="s">
        <v>185</v>
      </c>
      <c r="C62" s="383">
        <v>7716</v>
      </c>
      <c r="D62" s="383">
        <v>0</v>
      </c>
      <c r="E62" s="383">
        <v>214</v>
      </c>
      <c r="F62" s="383">
        <v>1858</v>
      </c>
      <c r="G62" s="383">
        <v>1238</v>
      </c>
      <c r="H62" s="383">
        <v>11026</v>
      </c>
      <c r="I62" s="382">
        <v>9788</v>
      </c>
      <c r="J62" s="382">
        <v>16</v>
      </c>
      <c r="K62" s="384">
        <v>104.26</v>
      </c>
      <c r="L62" s="384">
        <v>105.43</v>
      </c>
      <c r="M62" s="384">
        <v>4.1900000000000004</v>
      </c>
      <c r="N62" s="384">
        <v>105.59</v>
      </c>
      <c r="O62" s="385">
        <v>7182</v>
      </c>
      <c r="P62" s="382">
        <v>86.82</v>
      </c>
      <c r="Q62" s="382">
        <v>86.84</v>
      </c>
      <c r="R62" s="382">
        <v>20.079999999999998</v>
      </c>
      <c r="S62" s="382">
        <v>93.94</v>
      </c>
      <c r="T62" s="382">
        <v>1940</v>
      </c>
      <c r="U62" s="382">
        <v>132.15</v>
      </c>
      <c r="V62" s="382">
        <v>366</v>
      </c>
      <c r="W62" s="382">
        <v>0</v>
      </c>
      <c r="X62" s="382">
        <v>0</v>
      </c>
      <c r="Y62" s="382">
        <v>0</v>
      </c>
      <c r="Z62" s="382">
        <v>10</v>
      </c>
      <c r="AA62" s="382">
        <v>4</v>
      </c>
      <c r="AB62" s="382">
        <v>107</v>
      </c>
      <c r="AC62" s="382">
        <v>40</v>
      </c>
      <c r="AD62" s="386">
        <v>7612</v>
      </c>
      <c r="AE62" s="386">
        <v>46</v>
      </c>
      <c r="AF62" s="386">
        <v>7</v>
      </c>
      <c r="AG62" s="386">
        <v>53</v>
      </c>
    </row>
    <row r="63" spans="1:33" x14ac:dyDescent="0.25">
      <c r="A63" s="381" t="s">
        <v>186</v>
      </c>
      <c r="B63" s="387" t="s">
        <v>187</v>
      </c>
      <c r="C63" s="383">
        <v>2519</v>
      </c>
      <c r="D63" s="383">
        <v>0</v>
      </c>
      <c r="E63" s="383">
        <v>194</v>
      </c>
      <c r="F63" s="383">
        <v>321</v>
      </c>
      <c r="G63" s="383">
        <v>498</v>
      </c>
      <c r="H63" s="383">
        <v>3532</v>
      </c>
      <c r="I63" s="382">
        <v>3034</v>
      </c>
      <c r="J63" s="382">
        <v>0</v>
      </c>
      <c r="K63" s="384">
        <v>92.04</v>
      </c>
      <c r="L63" s="384">
        <v>91.26</v>
      </c>
      <c r="M63" s="384">
        <v>5.58</v>
      </c>
      <c r="N63" s="384">
        <v>96.18</v>
      </c>
      <c r="O63" s="385">
        <v>2263</v>
      </c>
      <c r="P63" s="382">
        <v>85.02</v>
      </c>
      <c r="Q63" s="382">
        <v>79.78</v>
      </c>
      <c r="R63" s="382">
        <v>48.42</v>
      </c>
      <c r="S63" s="382">
        <v>132.13</v>
      </c>
      <c r="T63" s="382">
        <v>479</v>
      </c>
      <c r="U63" s="382">
        <v>107.12</v>
      </c>
      <c r="V63" s="382">
        <v>195</v>
      </c>
      <c r="W63" s="382">
        <v>0</v>
      </c>
      <c r="X63" s="382">
        <v>0</v>
      </c>
      <c r="Y63" s="382">
        <v>0</v>
      </c>
      <c r="Z63" s="382">
        <v>1</v>
      </c>
      <c r="AA63" s="382">
        <v>0</v>
      </c>
      <c r="AB63" s="382">
        <v>22</v>
      </c>
      <c r="AC63" s="382">
        <v>21</v>
      </c>
      <c r="AD63" s="386">
        <v>2519</v>
      </c>
      <c r="AE63" s="386">
        <v>14</v>
      </c>
      <c r="AF63" s="386">
        <v>18</v>
      </c>
      <c r="AG63" s="386">
        <v>32</v>
      </c>
    </row>
    <row r="64" spans="1:33" x14ac:dyDescent="0.25">
      <c r="A64" s="381" t="s">
        <v>188</v>
      </c>
      <c r="B64" s="387" t="s">
        <v>189</v>
      </c>
      <c r="C64" s="383">
        <v>7043</v>
      </c>
      <c r="D64" s="383">
        <v>250</v>
      </c>
      <c r="E64" s="383">
        <v>1235</v>
      </c>
      <c r="F64" s="383">
        <v>1519</v>
      </c>
      <c r="G64" s="383">
        <v>408</v>
      </c>
      <c r="H64" s="383">
        <v>10455</v>
      </c>
      <c r="I64" s="382">
        <v>10047</v>
      </c>
      <c r="J64" s="382">
        <v>2</v>
      </c>
      <c r="K64" s="384">
        <v>104.64</v>
      </c>
      <c r="L64" s="384">
        <v>103.94</v>
      </c>
      <c r="M64" s="384">
        <v>4.91</v>
      </c>
      <c r="N64" s="384">
        <v>106.82</v>
      </c>
      <c r="O64" s="385">
        <v>6659</v>
      </c>
      <c r="P64" s="382">
        <v>89.96</v>
      </c>
      <c r="Q64" s="382">
        <v>89.48</v>
      </c>
      <c r="R64" s="382">
        <v>20.18</v>
      </c>
      <c r="S64" s="382">
        <v>102.83</v>
      </c>
      <c r="T64" s="382">
        <v>2636</v>
      </c>
      <c r="U64" s="382">
        <v>133.51</v>
      </c>
      <c r="V64" s="382">
        <v>252</v>
      </c>
      <c r="W64" s="382">
        <v>0</v>
      </c>
      <c r="X64" s="382">
        <v>0</v>
      </c>
      <c r="Y64" s="382">
        <v>0</v>
      </c>
      <c r="Z64" s="382">
        <v>16</v>
      </c>
      <c r="AA64" s="382">
        <v>9</v>
      </c>
      <c r="AB64" s="382">
        <v>28</v>
      </c>
      <c r="AC64" s="382">
        <v>7</v>
      </c>
      <c r="AD64" s="386">
        <v>7035</v>
      </c>
      <c r="AE64" s="386">
        <v>15</v>
      </c>
      <c r="AF64" s="386">
        <v>17</v>
      </c>
      <c r="AG64" s="386">
        <v>32</v>
      </c>
    </row>
    <row r="65" spans="1:33" x14ac:dyDescent="0.25">
      <c r="A65" s="381" t="s">
        <v>190</v>
      </c>
      <c r="B65" s="387" t="s">
        <v>191</v>
      </c>
      <c r="C65" s="383">
        <v>1676</v>
      </c>
      <c r="D65" s="383">
        <v>3</v>
      </c>
      <c r="E65" s="383">
        <v>413</v>
      </c>
      <c r="F65" s="383">
        <v>267</v>
      </c>
      <c r="G65" s="383">
        <v>322</v>
      </c>
      <c r="H65" s="383">
        <v>2681</v>
      </c>
      <c r="I65" s="382">
        <v>2359</v>
      </c>
      <c r="J65" s="382">
        <v>0</v>
      </c>
      <c r="K65" s="384">
        <v>94.76</v>
      </c>
      <c r="L65" s="384">
        <v>91.47</v>
      </c>
      <c r="M65" s="384">
        <v>6.01</v>
      </c>
      <c r="N65" s="384">
        <v>100.06</v>
      </c>
      <c r="O65" s="385">
        <v>1448</v>
      </c>
      <c r="P65" s="382">
        <v>82.38</v>
      </c>
      <c r="Q65" s="382">
        <v>81.27</v>
      </c>
      <c r="R65" s="382">
        <v>43.53</v>
      </c>
      <c r="S65" s="382">
        <v>117.03</v>
      </c>
      <c r="T65" s="382">
        <v>549</v>
      </c>
      <c r="U65" s="382">
        <v>128.57</v>
      </c>
      <c r="V65" s="382">
        <v>137</v>
      </c>
      <c r="W65" s="382">
        <v>188.73</v>
      </c>
      <c r="X65" s="382">
        <v>37</v>
      </c>
      <c r="Y65" s="382">
        <v>37</v>
      </c>
      <c r="Z65" s="382">
        <v>0</v>
      </c>
      <c r="AA65" s="382">
        <v>34</v>
      </c>
      <c r="AB65" s="382">
        <v>4</v>
      </c>
      <c r="AC65" s="382">
        <v>13</v>
      </c>
      <c r="AD65" s="386">
        <v>1568</v>
      </c>
      <c r="AE65" s="386">
        <v>1</v>
      </c>
      <c r="AF65" s="386">
        <v>2</v>
      </c>
      <c r="AG65" s="386">
        <v>3</v>
      </c>
    </row>
    <row r="66" spans="1:33" x14ac:dyDescent="0.25">
      <c r="A66" s="381" t="s">
        <v>192</v>
      </c>
      <c r="B66" s="387" t="s">
        <v>193</v>
      </c>
      <c r="C66" s="383">
        <v>5750</v>
      </c>
      <c r="D66" s="383">
        <v>32</v>
      </c>
      <c r="E66" s="383">
        <v>205</v>
      </c>
      <c r="F66" s="383">
        <v>1435</v>
      </c>
      <c r="G66" s="383">
        <v>451</v>
      </c>
      <c r="H66" s="383">
        <v>7873</v>
      </c>
      <c r="I66" s="382">
        <v>7422</v>
      </c>
      <c r="J66" s="382">
        <v>1</v>
      </c>
      <c r="K66" s="384">
        <v>105.04</v>
      </c>
      <c r="L66" s="384">
        <v>110.8</v>
      </c>
      <c r="M66" s="384">
        <v>5.97</v>
      </c>
      <c r="N66" s="384">
        <v>106.93</v>
      </c>
      <c r="O66" s="385">
        <v>5148</v>
      </c>
      <c r="P66" s="382">
        <v>93.8</v>
      </c>
      <c r="Q66" s="382">
        <v>98.56</v>
      </c>
      <c r="R66" s="382">
        <v>19.93</v>
      </c>
      <c r="S66" s="382">
        <v>112.55</v>
      </c>
      <c r="T66" s="382">
        <v>1516</v>
      </c>
      <c r="U66" s="382">
        <v>146.66</v>
      </c>
      <c r="V66" s="382">
        <v>479</v>
      </c>
      <c r="W66" s="382">
        <v>198.63</v>
      </c>
      <c r="X66" s="382">
        <v>95</v>
      </c>
      <c r="Y66" s="382">
        <v>0</v>
      </c>
      <c r="Z66" s="382">
        <v>16</v>
      </c>
      <c r="AA66" s="382">
        <v>9</v>
      </c>
      <c r="AB66" s="382">
        <v>44</v>
      </c>
      <c r="AC66" s="382">
        <v>15</v>
      </c>
      <c r="AD66" s="386">
        <v>5685</v>
      </c>
      <c r="AE66" s="386">
        <v>18</v>
      </c>
      <c r="AF66" s="386">
        <v>33</v>
      </c>
      <c r="AG66" s="386">
        <v>51</v>
      </c>
    </row>
    <row r="67" spans="1:33" x14ac:dyDescent="0.25">
      <c r="A67" s="381" t="s">
        <v>194</v>
      </c>
      <c r="B67" s="387" t="s">
        <v>195</v>
      </c>
      <c r="C67" s="383">
        <v>14258</v>
      </c>
      <c r="D67" s="383">
        <v>0</v>
      </c>
      <c r="E67" s="383">
        <v>751</v>
      </c>
      <c r="F67" s="383">
        <v>4769</v>
      </c>
      <c r="G67" s="383">
        <v>735</v>
      </c>
      <c r="H67" s="383">
        <v>20513</v>
      </c>
      <c r="I67" s="382">
        <v>19778</v>
      </c>
      <c r="J67" s="382">
        <v>86</v>
      </c>
      <c r="K67" s="384">
        <v>91.2</v>
      </c>
      <c r="L67" s="384">
        <v>91.51</v>
      </c>
      <c r="M67" s="384">
        <v>6.11</v>
      </c>
      <c r="N67" s="384">
        <v>93.18</v>
      </c>
      <c r="O67" s="385">
        <v>11980</v>
      </c>
      <c r="P67" s="382">
        <v>85.92</v>
      </c>
      <c r="Q67" s="382">
        <v>85.37</v>
      </c>
      <c r="R67" s="382">
        <v>33.04</v>
      </c>
      <c r="S67" s="382">
        <v>99.71</v>
      </c>
      <c r="T67" s="382">
        <v>5204</v>
      </c>
      <c r="U67" s="382">
        <v>109.39</v>
      </c>
      <c r="V67" s="382">
        <v>2140</v>
      </c>
      <c r="W67" s="382">
        <v>94.15</v>
      </c>
      <c r="X67" s="382">
        <v>102</v>
      </c>
      <c r="Y67" s="382">
        <v>0</v>
      </c>
      <c r="Z67" s="382">
        <v>60</v>
      </c>
      <c r="AA67" s="382">
        <v>12</v>
      </c>
      <c r="AB67" s="382">
        <v>46</v>
      </c>
      <c r="AC67" s="382">
        <v>5</v>
      </c>
      <c r="AD67" s="386">
        <v>14215</v>
      </c>
      <c r="AE67" s="386">
        <v>269</v>
      </c>
      <c r="AF67" s="386">
        <v>54</v>
      </c>
      <c r="AG67" s="386">
        <v>323</v>
      </c>
    </row>
    <row r="68" spans="1:33" x14ac:dyDescent="0.25">
      <c r="A68" s="381" t="s">
        <v>196</v>
      </c>
      <c r="B68" s="387" t="s">
        <v>197</v>
      </c>
      <c r="C68" s="383">
        <v>11700</v>
      </c>
      <c r="D68" s="383">
        <v>11</v>
      </c>
      <c r="E68" s="383">
        <v>556</v>
      </c>
      <c r="F68" s="383">
        <v>4979</v>
      </c>
      <c r="G68" s="383">
        <v>1043</v>
      </c>
      <c r="H68" s="383">
        <v>18289</v>
      </c>
      <c r="I68" s="382">
        <v>17246</v>
      </c>
      <c r="J68" s="382">
        <v>9</v>
      </c>
      <c r="K68" s="384">
        <v>93.09</v>
      </c>
      <c r="L68" s="384">
        <v>96.89</v>
      </c>
      <c r="M68" s="384">
        <v>4.87</v>
      </c>
      <c r="N68" s="384">
        <v>94.65</v>
      </c>
      <c r="O68" s="385">
        <v>10493</v>
      </c>
      <c r="P68" s="382">
        <v>85.73</v>
      </c>
      <c r="Q68" s="382">
        <v>87.31</v>
      </c>
      <c r="R68" s="382">
        <v>16.149999999999999</v>
      </c>
      <c r="S68" s="382">
        <v>99.15</v>
      </c>
      <c r="T68" s="382">
        <v>5111</v>
      </c>
      <c r="U68" s="382">
        <v>112.63</v>
      </c>
      <c r="V68" s="382">
        <v>957</v>
      </c>
      <c r="W68" s="382">
        <v>130.33000000000001</v>
      </c>
      <c r="X68" s="382">
        <v>162</v>
      </c>
      <c r="Y68" s="382">
        <v>0</v>
      </c>
      <c r="Z68" s="382">
        <v>25</v>
      </c>
      <c r="AA68" s="382">
        <v>22</v>
      </c>
      <c r="AB68" s="382">
        <v>79</v>
      </c>
      <c r="AC68" s="382">
        <v>10</v>
      </c>
      <c r="AD68" s="386">
        <v>11560</v>
      </c>
      <c r="AE68" s="386">
        <v>85</v>
      </c>
      <c r="AF68" s="386">
        <v>38</v>
      </c>
      <c r="AG68" s="386">
        <v>123</v>
      </c>
    </row>
    <row r="69" spans="1:33" x14ac:dyDescent="0.25">
      <c r="A69" s="381" t="s">
        <v>198</v>
      </c>
      <c r="B69" s="387" t="s">
        <v>199</v>
      </c>
      <c r="C69" s="383">
        <v>796</v>
      </c>
      <c r="D69" s="383">
        <v>0</v>
      </c>
      <c r="E69" s="383">
        <v>153</v>
      </c>
      <c r="F69" s="383">
        <v>534</v>
      </c>
      <c r="G69" s="383">
        <v>48</v>
      </c>
      <c r="H69" s="383">
        <v>1531</v>
      </c>
      <c r="I69" s="382">
        <v>1483</v>
      </c>
      <c r="J69" s="382">
        <v>0</v>
      </c>
      <c r="K69" s="384">
        <v>86.8</v>
      </c>
      <c r="L69" s="384">
        <v>85.85</v>
      </c>
      <c r="M69" s="384">
        <v>6.72</v>
      </c>
      <c r="N69" s="384">
        <v>89.71</v>
      </c>
      <c r="O69" s="385">
        <v>655</v>
      </c>
      <c r="P69" s="382">
        <v>88.48</v>
      </c>
      <c r="Q69" s="382">
        <v>81.510000000000005</v>
      </c>
      <c r="R69" s="382">
        <v>27.15</v>
      </c>
      <c r="S69" s="382">
        <v>115.14</v>
      </c>
      <c r="T69" s="382">
        <v>618</v>
      </c>
      <c r="U69" s="382">
        <v>95.2</v>
      </c>
      <c r="V69" s="382">
        <v>48</v>
      </c>
      <c r="W69" s="382">
        <v>0</v>
      </c>
      <c r="X69" s="382">
        <v>0</v>
      </c>
      <c r="Y69" s="382">
        <v>0</v>
      </c>
      <c r="Z69" s="382">
        <v>0</v>
      </c>
      <c r="AA69" s="382">
        <v>7</v>
      </c>
      <c r="AB69" s="382">
        <v>4</v>
      </c>
      <c r="AC69" s="382">
        <v>2</v>
      </c>
      <c r="AD69" s="386">
        <v>702</v>
      </c>
      <c r="AE69" s="386">
        <v>5</v>
      </c>
      <c r="AF69" s="386">
        <v>3</v>
      </c>
      <c r="AG69" s="386">
        <v>8</v>
      </c>
    </row>
    <row r="70" spans="1:33" x14ac:dyDescent="0.25">
      <c r="A70" s="381" t="s">
        <v>200</v>
      </c>
      <c r="B70" s="387" t="s">
        <v>201</v>
      </c>
      <c r="C70" s="383">
        <v>6772</v>
      </c>
      <c r="D70" s="383">
        <v>22</v>
      </c>
      <c r="E70" s="383">
        <v>160</v>
      </c>
      <c r="F70" s="383">
        <v>740</v>
      </c>
      <c r="G70" s="383">
        <v>376</v>
      </c>
      <c r="H70" s="383">
        <v>8070</v>
      </c>
      <c r="I70" s="382">
        <v>7694</v>
      </c>
      <c r="J70" s="382">
        <v>2</v>
      </c>
      <c r="K70" s="384">
        <v>105.68</v>
      </c>
      <c r="L70" s="384">
        <v>113.68</v>
      </c>
      <c r="M70" s="384">
        <v>4.01</v>
      </c>
      <c r="N70" s="384">
        <v>107.61</v>
      </c>
      <c r="O70" s="385">
        <v>6345</v>
      </c>
      <c r="P70" s="382">
        <v>92.51</v>
      </c>
      <c r="Q70" s="382">
        <v>94.87</v>
      </c>
      <c r="R70" s="382">
        <v>29.25</v>
      </c>
      <c r="S70" s="382">
        <v>121.15</v>
      </c>
      <c r="T70" s="382">
        <v>719</v>
      </c>
      <c r="U70" s="382">
        <v>149.93</v>
      </c>
      <c r="V70" s="382">
        <v>373</v>
      </c>
      <c r="W70" s="382">
        <v>0</v>
      </c>
      <c r="X70" s="382">
        <v>0</v>
      </c>
      <c r="Y70" s="382">
        <v>0</v>
      </c>
      <c r="Z70" s="382">
        <v>10</v>
      </c>
      <c r="AA70" s="382">
        <v>1</v>
      </c>
      <c r="AB70" s="382">
        <v>37</v>
      </c>
      <c r="AC70" s="382">
        <v>21</v>
      </c>
      <c r="AD70" s="386">
        <v>6731</v>
      </c>
      <c r="AE70" s="386">
        <v>94</v>
      </c>
      <c r="AF70" s="386">
        <v>10</v>
      </c>
      <c r="AG70" s="386">
        <v>104</v>
      </c>
    </row>
    <row r="71" spans="1:33" x14ac:dyDescent="0.25">
      <c r="A71" s="381" t="s">
        <v>202</v>
      </c>
      <c r="B71" s="387" t="s">
        <v>203</v>
      </c>
      <c r="C71" s="383">
        <v>5583</v>
      </c>
      <c r="D71" s="383">
        <v>4</v>
      </c>
      <c r="E71" s="383">
        <v>297</v>
      </c>
      <c r="F71" s="383">
        <v>641</v>
      </c>
      <c r="G71" s="383">
        <v>264</v>
      </c>
      <c r="H71" s="383">
        <v>6789</v>
      </c>
      <c r="I71" s="382">
        <v>6525</v>
      </c>
      <c r="J71" s="382">
        <v>93</v>
      </c>
      <c r="K71" s="384">
        <v>80.67</v>
      </c>
      <c r="L71" s="384">
        <v>78.2</v>
      </c>
      <c r="M71" s="384">
        <v>5</v>
      </c>
      <c r="N71" s="384">
        <v>83.99</v>
      </c>
      <c r="O71" s="385">
        <v>5289</v>
      </c>
      <c r="P71" s="382">
        <v>84.54</v>
      </c>
      <c r="Q71" s="382">
        <v>68.13</v>
      </c>
      <c r="R71" s="382">
        <v>23.36</v>
      </c>
      <c r="S71" s="382">
        <v>107.69</v>
      </c>
      <c r="T71" s="382">
        <v>871</v>
      </c>
      <c r="U71" s="382">
        <v>104.21</v>
      </c>
      <c r="V71" s="382">
        <v>271</v>
      </c>
      <c r="W71" s="382">
        <v>0</v>
      </c>
      <c r="X71" s="382">
        <v>0</v>
      </c>
      <c r="Y71" s="382">
        <v>0</v>
      </c>
      <c r="Z71" s="382">
        <v>23</v>
      </c>
      <c r="AA71" s="382">
        <v>2</v>
      </c>
      <c r="AB71" s="382">
        <v>6</v>
      </c>
      <c r="AC71" s="382">
        <v>2</v>
      </c>
      <c r="AD71" s="386">
        <v>5576</v>
      </c>
      <c r="AE71" s="386">
        <v>50</v>
      </c>
      <c r="AF71" s="386">
        <v>10</v>
      </c>
      <c r="AG71" s="386">
        <v>60</v>
      </c>
    </row>
    <row r="72" spans="1:33" x14ac:dyDescent="0.25">
      <c r="A72" s="381" t="s">
        <v>204</v>
      </c>
      <c r="B72" s="387" t="s">
        <v>205</v>
      </c>
      <c r="C72" s="383">
        <v>194</v>
      </c>
      <c r="D72" s="383">
        <v>0</v>
      </c>
      <c r="E72" s="383">
        <v>20</v>
      </c>
      <c r="F72" s="383">
        <v>18</v>
      </c>
      <c r="G72" s="383">
        <v>0</v>
      </c>
      <c r="H72" s="383">
        <v>232</v>
      </c>
      <c r="I72" s="382">
        <v>232</v>
      </c>
      <c r="J72" s="382">
        <v>0</v>
      </c>
      <c r="K72" s="384">
        <v>124.46</v>
      </c>
      <c r="L72" s="384">
        <v>131.55000000000001</v>
      </c>
      <c r="M72" s="384">
        <v>12.76</v>
      </c>
      <c r="N72" s="384">
        <v>137.22</v>
      </c>
      <c r="O72" s="385">
        <v>177</v>
      </c>
      <c r="P72" s="382">
        <v>101.46</v>
      </c>
      <c r="Q72" s="382">
        <v>121.76</v>
      </c>
      <c r="R72" s="382">
        <v>47.78</v>
      </c>
      <c r="S72" s="382">
        <v>149.24</v>
      </c>
      <c r="T72" s="382">
        <v>18</v>
      </c>
      <c r="U72" s="382">
        <v>222.43</v>
      </c>
      <c r="V72" s="382">
        <v>17</v>
      </c>
      <c r="W72" s="382">
        <v>0</v>
      </c>
      <c r="X72" s="382">
        <v>0</v>
      </c>
      <c r="Y72" s="382">
        <v>0</v>
      </c>
      <c r="Z72" s="382">
        <v>0</v>
      </c>
      <c r="AA72" s="382">
        <v>0</v>
      </c>
      <c r="AB72" s="382">
        <v>0</v>
      </c>
      <c r="AC72" s="382">
        <v>0</v>
      </c>
      <c r="AD72" s="386">
        <v>194</v>
      </c>
      <c r="AE72" s="386">
        <v>1</v>
      </c>
      <c r="AF72" s="386">
        <v>0</v>
      </c>
      <c r="AG72" s="386">
        <v>1</v>
      </c>
    </row>
    <row r="73" spans="1:33" x14ac:dyDescent="0.25">
      <c r="A73" s="381" t="s">
        <v>206</v>
      </c>
      <c r="B73" s="387" t="s">
        <v>207</v>
      </c>
      <c r="C73" s="383">
        <v>3759</v>
      </c>
      <c r="D73" s="383">
        <v>184</v>
      </c>
      <c r="E73" s="383">
        <v>594</v>
      </c>
      <c r="F73" s="383">
        <v>348</v>
      </c>
      <c r="G73" s="383">
        <v>263</v>
      </c>
      <c r="H73" s="383">
        <v>5148</v>
      </c>
      <c r="I73" s="382">
        <v>4885</v>
      </c>
      <c r="J73" s="382">
        <v>16</v>
      </c>
      <c r="K73" s="384">
        <v>102.88</v>
      </c>
      <c r="L73" s="384">
        <v>103.02</v>
      </c>
      <c r="M73" s="384">
        <v>5.07</v>
      </c>
      <c r="N73" s="384">
        <v>106.94</v>
      </c>
      <c r="O73" s="385">
        <v>2966</v>
      </c>
      <c r="P73" s="382">
        <v>91.77</v>
      </c>
      <c r="Q73" s="382">
        <v>85.06</v>
      </c>
      <c r="R73" s="382">
        <v>35.19</v>
      </c>
      <c r="S73" s="382">
        <v>124.77</v>
      </c>
      <c r="T73" s="382">
        <v>610</v>
      </c>
      <c r="U73" s="382">
        <v>133.84</v>
      </c>
      <c r="V73" s="382">
        <v>525</v>
      </c>
      <c r="W73" s="382">
        <v>0</v>
      </c>
      <c r="X73" s="382">
        <v>0</v>
      </c>
      <c r="Y73" s="382">
        <v>0</v>
      </c>
      <c r="Z73" s="382">
        <v>4</v>
      </c>
      <c r="AA73" s="382">
        <v>3</v>
      </c>
      <c r="AB73" s="382">
        <v>5</v>
      </c>
      <c r="AC73" s="382">
        <v>1</v>
      </c>
      <c r="AD73" s="386">
        <v>3698</v>
      </c>
      <c r="AE73" s="386">
        <v>63</v>
      </c>
      <c r="AF73" s="386">
        <v>9</v>
      </c>
      <c r="AG73" s="386">
        <v>72</v>
      </c>
    </row>
    <row r="74" spans="1:33" x14ac:dyDescent="0.25">
      <c r="A74" s="381" t="s">
        <v>208</v>
      </c>
      <c r="B74" s="387" t="s">
        <v>209</v>
      </c>
      <c r="C74" s="383">
        <v>5684</v>
      </c>
      <c r="D74" s="383">
        <v>27</v>
      </c>
      <c r="E74" s="383">
        <v>96</v>
      </c>
      <c r="F74" s="383">
        <v>305</v>
      </c>
      <c r="G74" s="383">
        <v>43</v>
      </c>
      <c r="H74" s="383">
        <v>6155</v>
      </c>
      <c r="I74" s="382">
        <v>6112</v>
      </c>
      <c r="J74" s="382">
        <v>14</v>
      </c>
      <c r="K74" s="384">
        <v>84.86</v>
      </c>
      <c r="L74" s="384">
        <v>84.62</v>
      </c>
      <c r="M74" s="384">
        <v>2.14</v>
      </c>
      <c r="N74" s="384">
        <v>85.75</v>
      </c>
      <c r="O74" s="385">
        <v>5554</v>
      </c>
      <c r="P74" s="382">
        <v>79.61</v>
      </c>
      <c r="Q74" s="382">
        <v>75.67</v>
      </c>
      <c r="R74" s="382">
        <v>31.51</v>
      </c>
      <c r="S74" s="382">
        <v>110.87</v>
      </c>
      <c r="T74" s="382">
        <v>383</v>
      </c>
      <c r="U74" s="382">
        <v>92.46</v>
      </c>
      <c r="V74" s="382">
        <v>125</v>
      </c>
      <c r="W74" s="382">
        <v>0</v>
      </c>
      <c r="X74" s="382">
        <v>0</v>
      </c>
      <c r="Y74" s="382">
        <v>11</v>
      </c>
      <c r="Z74" s="382">
        <v>18</v>
      </c>
      <c r="AA74" s="382">
        <v>0</v>
      </c>
      <c r="AB74" s="382">
        <v>0</v>
      </c>
      <c r="AC74" s="382">
        <v>0</v>
      </c>
      <c r="AD74" s="386">
        <v>5652</v>
      </c>
      <c r="AE74" s="386">
        <v>201</v>
      </c>
      <c r="AF74" s="386">
        <v>39</v>
      </c>
      <c r="AG74" s="386">
        <v>240</v>
      </c>
    </row>
    <row r="75" spans="1:33" x14ac:dyDescent="0.25">
      <c r="A75" s="381" t="s">
        <v>210</v>
      </c>
      <c r="B75" s="387" t="s">
        <v>211</v>
      </c>
      <c r="C75" s="383">
        <v>16389</v>
      </c>
      <c r="D75" s="383">
        <v>14</v>
      </c>
      <c r="E75" s="383">
        <v>740</v>
      </c>
      <c r="F75" s="383">
        <v>3127</v>
      </c>
      <c r="G75" s="383">
        <v>1560</v>
      </c>
      <c r="H75" s="383">
        <v>21830</v>
      </c>
      <c r="I75" s="382">
        <v>20270</v>
      </c>
      <c r="J75" s="382">
        <v>133</v>
      </c>
      <c r="K75" s="384">
        <v>85.66</v>
      </c>
      <c r="L75" s="384">
        <v>80.959999999999994</v>
      </c>
      <c r="M75" s="384">
        <v>3.39</v>
      </c>
      <c r="N75" s="384">
        <v>88.1</v>
      </c>
      <c r="O75" s="385">
        <v>14274</v>
      </c>
      <c r="P75" s="382">
        <v>77.95</v>
      </c>
      <c r="Q75" s="382">
        <v>70.91</v>
      </c>
      <c r="R75" s="382">
        <v>31.32</v>
      </c>
      <c r="S75" s="382">
        <v>106</v>
      </c>
      <c r="T75" s="382">
        <v>3717</v>
      </c>
      <c r="U75" s="382">
        <v>119.12</v>
      </c>
      <c r="V75" s="382">
        <v>1580</v>
      </c>
      <c r="W75" s="382">
        <v>129.75</v>
      </c>
      <c r="X75" s="382">
        <v>29</v>
      </c>
      <c r="Y75" s="382">
        <v>16</v>
      </c>
      <c r="Z75" s="382">
        <v>21</v>
      </c>
      <c r="AA75" s="382">
        <v>25</v>
      </c>
      <c r="AB75" s="382">
        <v>119</v>
      </c>
      <c r="AC75" s="382">
        <v>21</v>
      </c>
      <c r="AD75" s="386">
        <v>16002</v>
      </c>
      <c r="AE75" s="386">
        <v>63</v>
      </c>
      <c r="AF75" s="386">
        <v>62</v>
      </c>
      <c r="AG75" s="386">
        <v>125</v>
      </c>
    </row>
    <row r="76" spans="1:33" x14ac:dyDescent="0.25">
      <c r="A76" s="381" t="s">
        <v>212</v>
      </c>
      <c r="B76" s="387" t="s">
        <v>213</v>
      </c>
      <c r="C76" s="383">
        <v>4990</v>
      </c>
      <c r="D76" s="383">
        <v>1</v>
      </c>
      <c r="E76" s="383">
        <v>58</v>
      </c>
      <c r="F76" s="383">
        <v>542</v>
      </c>
      <c r="G76" s="383">
        <v>588</v>
      </c>
      <c r="H76" s="383">
        <v>6179</v>
      </c>
      <c r="I76" s="382">
        <v>5591</v>
      </c>
      <c r="J76" s="382">
        <v>2</v>
      </c>
      <c r="K76" s="384">
        <v>103.95</v>
      </c>
      <c r="L76" s="384">
        <v>99.58</v>
      </c>
      <c r="M76" s="384">
        <v>4.01</v>
      </c>
      <c r="N76" s="384">
        <v>105.28</v>
      </c>
      <c r="O76" s="385">
        <v>4444</v>
      </c>
      <c r="P76" s="382">
        <v>94.94</v>
      </c>
      <c r="Q76" s="382">
        <v>89.05</v>
      </c>
      <c r="R76" s="382">
        <v>21.45</v>
      </c>
      <c r="S76" s="382">
        <v>115.7</v>
      </c>
      <c r="T76" s="382">
        <v>563</v>
      </c>
      <c r="U76" s="382">
        <v>134.9</v>
      </c>
      <c r="V76" s="382">
        <v>309</v>
      </c>
      <c r="W76" s="382">
        <v>149.79</v>
      </c>
      <c r="X76" s="382">
        <v>37</v>
      </c>
      <c r="Y76" s="382">
        <v>8</v>
      </c>
      <c r="Z76" s="382">
        <v>9</v>
      </c>
      <c r="AA76" s="382">
        <v>5</v>
      </c>
      <c r="AB76" s="382">
        <v>37</v>
      </c>
      <c r="AC76" s="382">
        <v>12</v>
      </c>
      <c r="AD76" s="386">
        <v>4757</v>
      </c>
      <c r="AE76" s="386">
        <v>5</v>
      </c>
      <c r="AF76" s="386">
        <v>5</v>
      </c>
      <c r="AG76" s="386">
        <v>10</v>
      </c>
    </row>
    <row r="77" spans="1:33" x14ac:dyDescent="0.25">
      <c r="A77" s="381" t="s">
        <v>214</v>
      </c>
      <c r="B77" s="387" t="s">
        <v>215</v>
      </c>
      <c r="C77" s="383">
        <v>23300</v>
      </c>
      <c r="D77" s="383">
        <v>71</v>
      </c>
      <c r="E77" s="383">
        <v>1151</v>
      </c>
      <c r="F77" s="383">
        <v>5299</v>
      </c>
      <c r="G77" s="383">
        <v>209</v>
      </c>
      <c r="H77" s="383">
        <v>30030</v>
      </c>
      <c r="I77" s="382">
        <v>29821</v>
      </c>
      <c r="J77" s="382">
        <v>66</v>
      </c>
      <c r="K77" s="384">
        <v>75.709999999999994</v>
      </c>
      <c r="L77" s="384">
        <v>75.58</v>
      </c>
      <c r="M77" s="384">
        <v>6.51</v>
      </c>
      <c r="N77" s="384">
        <v>77.22</v>
      </c>
      <c r="O77" s="385">
        <v>20633</v>
      </c>
      <c r="P77" s="382">
        <v>78.84</v>
      </c>
      <c r="Q77" s="382">
        <v>73.92</v>
      </c>
      <c r="R77" s="382">
        <v>36.78</v>
      </c>
      <c r="S77" s="382">
        <v>93.64</v>
      </c>
      <c r="T77" s="382">
        <v>5911</v>
      </c>
      <c r="U77" s="382">
        <v>88.31</v>
      </c>
      <c r="V77" s="382">
        <v>1968</v>
      </c>
      <c r="W77" s="382">
        <v>94.39</v>
      </c>
      <c r="X77" s="382">
        <v>340</v>
      </c>
      <c r="Y77" s="382">
        <v>0</v>
      </c>
      <c r="Z77" s="382">
        <v>73</v>
      </c>
      <c r="AA77" s="382">
        <v>7</v>
      </c>
      <c r="AB77" s="382">
        <v>4</v>
      </c>
      <c r="AC77" s="382">
        <v>5</v>
      </c>
      <c r="AD77" s="386">
        <v>22443</v>
      </c>
      <c r="AE77" s="386">
        <v>291</v>
      </c>
      <c r="AF77" s="386">
        <v>442</v>
      </c>
      <c r="AG77" s="386">
        <v>733</v>
      </c>
    </row>
    <row r="78" spans="1:33" x14ac:dyDescent="0.25">
      <c r="A78" s="381" t="s">
        <v>216</v>
      </c>
      <c r="B78" s="387" t="s">
        <v>217</v>
      </c>
      <c r="C78" s="383">
        <v>22073</v>
      </c>
      <c r="D78" s="383">
        <v>1</v>
      </c>
      <c r="E78" s="383">
        <v>636</v>
      </c>
      <c r="F78" s="383">
        <v>1887</v>
      </c>
      <c r="G78" s="383">
        <v>625</v>
      </c>
      <c r="H78" s="383">
        <v>25222</v>
      </c>
      <c r="I78" s="382">
        <v>24597</v>
      </c>
      <c r="J78" s="382">
        <v>1</v>
      </c>
      <c r="K78" s="384">
        <v>90.4</v>
      </c>
      <c r="L78" s="384">
        <v>90.56</v>
      </c>
      <c r="M78" s="384">
        <v>4.97</v>
      </c>
      <c r="N78" s="384">
        <v>95</v>
      </c>
      <c r="O78" s="385">
        <v>20224</v>
      </c>
      <c r="P78" s="382">
        <v>88.93</v>
      </c>
      <c r="Q78" s="382">
        <v>84.64</v>
      </c>
      <c r="R78" s="382">
        <v>43.88</v>
      </c>
      <c r="S78" s="382">
        <v>132.09</v>
      </c>
      <c r="T78" s="382">
        <v>2279</v>
      </c>
      <c r="U78" s="382">
        <v>111.93</v>
      </c>
      <c r="V78" s="382">
        <v>1329</v>
      </c>
      <c r="W78" s="382">
        <v>0</v>
      </c>
      <c r="X78" s="382">
        <v>0</v>
      </c>
      <c r="Y78" s="382">
        <v>1</v>
      </c>
      <c r="Z78" s="382">
        <v>79</v>
      </c>
      <c r="AA78" s="382">
        <v>18</v>
      </c>
      <c r="AB78" s="382">
        <v>24</v>
      </c>
      <c r="AC78" s="382">
        <v>18</v>
      </c>
      <c r="AD78" s="386">
        <v>21775</v>
      </c>
      <c r="AE78" s="386">
        <v>158</v>
      </c>
      <c r="AF78" s="386">
        <v>36</v>
      </c>
      <c r="AG78" s="386">
        <v>194</v>
      </c>
    </row>
    <row r="79" spans="1:33" x14ac:dyDescent="0.25">
      <c r="A79" s="381" t="s">
        <v>218</v>
      </c>
      <c r="B79" s="387" t="s">
        <v>219</v>
      </c>
      <c r="C79" s="383">
        <v>2120</v>
      </c>
      <c r="D79" s="383">
        <v>8</v>
      </c>
      <c r="E79" s="383">
        <v>43</v>
      </c>
      <c r="F79" s="383">
        <v>221</v>
      </c>
      <c r="G79" s="383">
        <v>57</v>
      </c>
      <c r="H79" s="383">
        <v>2449</v>
      </c>
      <c r="I79" s="382">
        <v>2392</v>
      </c>
      <c r="J79" s="382">
        <v>0</v>
      </c>
      <c r="K79" s="384">
        <v>85.28</v>
      </c>
      <c r="L79" s="384">
        <v>82.02</v>
      </c>
      <c r="M79" s="384">
        <v>6.46</v>
      </c>
      <c r="N79" s="384">
        <v>89.23</v>
      </c>
      <c r="O79" s="385">
        <v>1758</v>
      </c>
      <c r="P79" s="382">
        <v>78.56</v>
      </c>
      <c r="Q79" s="382">
        <v>69.27</v>
      </c>
      <c r="R79" s="382">
        <v>40.22</v>
      </c>
      <c r="S79" s="382">
        <v>118.59</v>
      </c>
      <c r="T79" s="382">
        <v>210</v>
      </c>
      <c r="U79" s="382">
        <v>95.18</v>
      </c>
      <c r="V79" s="382">
        <v>315</v>
      </c>
      <c r="W79" s="382">
        <v>143.11000000000001</v>
      </c>
      <c r="X79" s="382">
        <v>44</v>
      </c>
      <c r="Y79" s="382">
        <v>0</v>
      </c>
      <c r="Z79" s="382">
        <v>6</v>
      </c>
      <c r="AA79" s="382">
        <v>1</v>
      </c>
      <c r="AB79" s="382">
        <v>14</v>
      </c>
      <c r="AC79" s="382">
        <v>11</v>
      </c>
      <c r="AD79" s="386">
        <v>2104</v>
      </c>
      <c r="AE79" s="386">
        <v>15</v>
      </c>
      <c r="AF79" s="386">
        <v>14</v>
      </c>
      <c r="AG79" s="386">
        <v>29</v>
      </c>
    </row>
    <row r="80" spans="1:33" x14ac:dyDescent="0.25">
      <c r="A80" s="381" t="s">
        <v>220</v>
      </c>
      <c r="B80" s="387" t="s">
        <v>221</v>
      </c>
      <c r="C80" s="383">
        <v>1822</v>
      </c>
      <c r="D80" s="383">
        <v>0</v>
      </c>
      <c r="E80" s="383">
        <v>294</v>
      </c>
      <c r="F80" s="383">
        <v>285</v>
      </c>
      <c r="G80" s="383">
        <v>422</v>
      </c>
      <c r="H80" s="383">
        <v>2823</v>
      </c>
      <c r="I80" s="382">
        <v>2401</v>
      </c>
      <c r="J80" s="382">
        <v>0</v>
      </c>
      <c r="K80" s="384">
        <v>107.16</v>
      </c>
      <c r="L80" s="384">
        <v>106.25</v>
      </c>
      <c r="M80" s="384">
        <v>7.46</v>
      </c>
      <c r="N80" s="384">
        <v>113.98</v>
      </c>
      <c r="O80" s="385">
        <v>1520</v>
      </c>
      <c r="P80" s="382">
        <v>120.54</v>
      </c>
      <c r="Q80" s="382">
        <v>104.35</v>
      </c>
      <c r="R80" s="382">
        <v>33.78</v>
      </c>
      <c r="S80" s="382">
        <v>147.76</v>
      </c>
      <c r="T80" s="382">
        <v>314</v>
      </c>
      <c r="U80" s="382">
        <v>150.66999999999999</v>
      </c>
      <c r="V80" s="382">
        <v>184</v>
      </c>
      <c r="W80" s="382">
        <v>176.97</v>
      </c>
      <c r="X80" s="382">
        <v>65</v>
      </c>
      <c r="Y80" s="382">
        <v>0</v>
      </c>
      <c r="Z80" s="382">
        <v>0</v>
      </c>
      <c r="AA80" s="382">
        <v>0</v>
      </c>
      <c r="AB80" s="382">
        <v>3</v>
      </c>
      <c r="AC80" s="382">
        <v>10</v>
      </c>
      <c r="AD80" s="386">
        <v>1793</v>
      </c>
      <c r="AE80" s="386">
        <v>17</v>
      </c>
      <c r="AF80" s="386">
        <v>2</v>
      </c>
      <c r="AG80" s="386">
        <v>19</v>
      </c>
    </row>
    <row r="81" spans="1:33" x14ac:dyDescent="0.25">
      <c r="A81" s="381" t="s">
        <v>222</v>
      </c>
      <c r="B81" s="387" t="s">
        <v>223</v>
      </c>
      <c r="C81" s="383">
        <v>10528</v>
      </c>
      <c r="D81" s="383">
        <v>47</v>
      </c>
      <c r="E81" s="383">
        <v>1011</v>
      </c>
      <c r="F81" s="383">
        <v>813</v>
      </c>
      <c r="G81" s="383">
        <v>1763</v>
      </c>
      <c r="H81" s="383">
        <v>14162</v>
      </c>
      <c r="I81" s="382">
        <v>12399</v>
      </c>
      <c r="J81" s="382">
        <v>48</v>
      </c>
      <c r="K81" s="384">
        <v>123.11</v>
      </c>
      <c r="L81" s="384">
        <v>122.96</v>
      </c>
      <c r="M81" s="384">
        <v>7.6</v>
      </c>
      <c r="N81" s="384">
        <v>127.99</v>
      </c>
      <c r="O81" s="385">
        <v>9189</v>
      </c>
      <c r="P81" s="382">
        <v>98.33</v>
      </c>
      <c r="Q81" s="382">
        <v>95.72</v>
      </c>
      <c r="R81" s="382">
        <v>53.13</v>
      </c>
      <c r="S81" s="382">
        <v>150.31</v>
      </c>
      <c r="T81" s="382">
        <v>1156</v>
      </c>
      <c r="U81" s="382">
        <v>171.27</v>
      </c>
      <c r="V81" s="382">
        <v>877</v>
      </c>
      <c r="W81" s="382">
        <v>151.61000000000001</v>
      </c>
      <c r="X81" s="382">
        <v>27</v>
      </c>
      <c r="Y81" s="382">
        <v>40</v>
      </c>
      <c r="Z81" s="382">
        <v>5</v>
      </c>
      <c r="AA81" s="382">
        <v>14</v>
      </c>
      <c r="AB81" s="382">
        <v>84</v>
      </c>
      <c r="AC81" s="382">
        <v>56</v>
      </c>
      <c r="AD81" s="386">
        <v>10302</v>
      </c>
      <c r="AE81" s="386">
        <v>65</v>
      </c>
      <c r="AF81" s="386">
        <v>63</v>
      </c>
      <c r="AG81" s="386">
        <v>128</v>
      </c>
    </row>
    <row r="82" spans="1:33" x14ac:dyDescent="0.25">
      <c r="A82" s="381" t="s">
        <v>224</v>
      </c>
      <c r="B82" s="387" t="s">
        <v>225</v>
      </c>
      <c r="C82" s="383">
        <v>2374</v>
      </c>
      <c r="D82" s="383">
        <v>0</v>
      </c>
      <c r="E82" s="383">
        <v>267</v>
      </c>
      <c r="F82" s="383">
        <v>272</v>
      </c>
      <c r="G82" s="383">
        <v>368</v>
      </c>
      <c r="H82" s="383">
        <v>3281</v>
      </c>
      <c r="I82" s="382">
        <v>2913</v>
      </c>
      <c r="J82" s="382">
        <v>1</v>
      </c>
      <c r="K82" s="384">
        <v>116.99</v>
      </c>
      <c r="L82" s="384">
        <v>116.6</v>
      </c>
      <c r="M82" s="384">
        <v>6</v>
      </c>
      <c r="N82" s="384">
        <v>122.16</v>
      </c>
      <c r="O82" s="385">
        <v>2009</v>
      </c>
      <c r="P82" s="382">
        <v>105.52</v>
      </c>
      <c r="Q82" s="382">
        <v>97.77</v>
      </c>
      <c r="R82" s="382">
        <v>28.9</v>
      </c>
      <c r="S82" s="382">
        <v>134.02000000000001</v>
      </c>
      <c r="T82" s="382">
        <v>425</v>
      </c>
      <c r="U82" s="382">
        <v>146.72</v>
      </c>
      <c r="V82" s="382">
        <v>217</v>
      </c>
      <c r="W82" s="382">
        <v>0</v>
      </c>
      <c r="X82" s="382">
        <v>0</v>
      </c>
      <c r="Y82" s="382">
        <v>0</v>
      </c>
      <c r="Z82" s="382">
        <v>1</v>
      </c>
      <c r="AA82" s="382">
        <v>1</v>
      </c>
      <c r="AB82" s="382">
        <v>18</v>
      </c>
      <c r="AC82" s="382">
        <v>6</v>
      </c>
      <c r="AD82" s="386">
        <v>2341</v>
      </c>
      <c r="AE82" s="386">
        <v>24</v>
      </c>
      <c r="AF82" s="386">
        <v>12</v>
      </c>
      <c r="AG82" s="386">
        <v>36</v>
      </c>
    </row>
    <row r="83" spans="1:33" x14ac:dyDescent="0.25">
      <c r="A83" s="381" t="s">
        <v>226</v>
      </c>
      <c r="B83" s="387" t="s">
        <v>227</v>
      </c>
      <c r="C83" s="383">
        <v>1728</v>
      </c>
      <c r="D83" s="383">
        <v>45</v>
      </c>
      <c r="E83" s="383">
        <v>324</v>
      </c>
      <c r="F83" s="383">
        <v>480</v>
      </c>
      <c r="G83" s="383">
        <v>102</v>
      </c>
      <c r="H83" s="383">
        <v>2679</v>
      </c>
      <c r="I83" s="382">
        <v>2577</v>
      </c>
      <c r="J83" s="382">
        <v>0</v>
      </c>
      <c r="K83" s="384">
        <v>80.72</v>
      </c>
      <c r="L83" s="384">
        <v>78.61</v>
      </c>
      <c r="M83" s="384">
        <v>5.92</v>
      </c>
      <c r="N83" s="384">
        <v>84.47</v>
      </c>
      <c r="O83" s="385">
        <v>1122</v>
      </c>
      <c r="P83" s="382">
        <v>83.23</v>
      </c>
      <c r="Q83" s="382">
        <v>75.16</v>
      </c>
      <c r="R83" s="382">
        <v>36.6</v>
      </c>
      <c r="S83" s="382">
        <v>119.42</v>
      </c>
      <c r="T83" s="382">
        <v>627</v>
      </c>
      <c r="U83" s="382">
        <v>91.13</v>
      </c>
      <c r="V83" s="382">
        <v>243</v>
      </c>
      <c r="W83" s="382">
        <v>0</v>
      </c>
      <c r="X83" s="382">
        <v>0</v>
      </c>
      <c r="Y83" s="382">
        <v>0</v>
      </c>
      <c r="Z83" s="382">
        <v>7</v>
      </c>
      <c r="AA83" s="382">
        <v>4</v>
      </c>
      <c r="AB83" s="382">
        <v>0</v>
      </c>
      <c r="AC83" s="382">
        <v>7</v>
      </c>
      <c r="AD83" s="386">
        <v>1453</v>
      </c>
      <c r="AE83" s="386">
        <v>59</v>
      </c>
      <c r="AF83" s="386">
        <v>57</v>
      </c>
      <c r="AG83" s="386">
        <v>116</v>
      </c>
    </row>
    <row r="84" spans="1:33" x14ac:dyDescent="0.25">
      <c r="A84" s="381" t="s">
        <v>228</v>
      </c>
      <c r="B84" s="387" t="s">
        <v>229</v>
      </c>
      <c r="C84" s="383">
        <v>1461</v>
      </c>
      <c r="D84" s="383">
        <v>12</v>
      </c>
      <c r="E84" s="383">
        <v>158</v>
      </c>
      <c r="F84" s="383">
        <v>67</v>
      </c>
      <c r="G84" s="383">
        <v>561</v>
      </c>
      <c r="H84" s="383">
        <v>2259</v>
      </c>
      <c r="I84" s="382">
        <v>1698</v>
      </c>
      <c r="J84" s="382">
        <v>0</v>
      </c>
      <c r="K84" s="384">
        <v>107.85</v>
      </c>
      <c r="L84" s="384">
        <v>107.8</v>
      </c>
      <c r="M84" s="384">
        <v>5.63</v>
      </c>
      <c r="N84" s="384">
        <v>112.94</v>
      </c>
      <c r="O84" s="385">
        <v>849</v>
      </c>
      <c r="P84" s="382">
        <v>89.36</v>
      </c>
      <c r="Q84" s="382">
        <v>87.36</v>
      </c>
      <c r="R84" s="382">
        <v>30.39</v>
      </c>
      <c r="S84" s="382">
        <v>115.57</v>
      </c>
      <c r="T84" s="382">
        <v>109</v>
      </c>
      <c r="U84" s="382">
        <v>145.19999999999999</v>
      </c>
      <c r="V84" s="382">
        <v>145</v>
      </c>
      <c r="W84" s="382">
        <v>0</v>
      </c>
      <c r="X84" s="382">
        <v>0</v>
      </c>
      <c r="Y84" s="382">
        <v>9</v>
      </c>
      <c r="Z84" s="382">
        <v>0</v>
      </c>
      <c r="AA84" s="382">
        <v>8</v>
      </c>
      <c r="AB84" s="382">
        <v>13</v>
      </c>
      <c r="AC84" s="382">
        <v>32</v>
      </c>
      <c r="AD84" s="386">
        <v>1069</v>
      </c>
      <c r="AE84" s="386">
        <v>4</v>
      </c>
      <c r="AF84" s="386">
        <v>2</v>
      </c>
      <c r="AG84" s="386">
        <v>6</v>
      </c>
    </row>
    <row r="85" spans="1:33" x14ac:dyDescent="0.25">
      <c r="A85" s="381" t="s">
        <v>230</v>
      </c>
      <c r="B85" s="387" t="s">
        <v>231</v>
      </c>
      <c r="C85" s="383">
        <v>5767</v>
      </c>
      <c r="D85" s="383">
        <v>96</v>
      </c>
      <c r="E85" s="383">
        <v>481</v>
      </c>
      <c r="F85" s="383">
        <v>1347</v>
      </c>
      <c r="G85" s="383">
        <v>539</v>
      </c>
      <c r="H85" s="383">
        <v>8230</v>
      </c>
      <c r="I85" s="382">
        <v>7691</v>
      </c>
      <c r="J85" s="382">
        <v>11</v>
      </c>
      <c r="K85" s="384">
        <v>88.19</v>
      </c>
      <c r="L85" s="384">
        <v>90.2</v>
      </c>
      <c r="M85" s="384">
        <v>5.67</v>
      </c>
      <c r="N85" s="384">
        <v>92.21</v>
      </c>
      <c r="O85" s="385">
        <v>5466</v>
      </c>
      <c r="P85" s="382">
        <v>81.819999999999993</v>
      </c>
      <c r="Q85" s="382">
        <v>78.89</v>
      </c>
      <c r="R85" s="382">
        <v>44.61</v>
      </c>
      <c r="S85" s="382">
        <v>123.23</v>
      </c>
      <c r="T85" s="382">
        <v>1452</v>
      </c>
      <c r="U85" s="382">
        <v>100.24</v>
      </c>
      <c r="V85" s="382">
        <v>133</v>
      </c>
      <c r="W85" s="382">
        <v>154.56</v>
      </c>
      <c r="X85" s="382">
        <v>88</v>
      </c>
      <c r="Y85" s="382">
        <v>15</v>
      </c>
      <c r="Z85" s="382">
        <v>3</v>
      </c>
      <c r="AA85" s="382">
        <v>9</v>
      </c>
      <c r="AB85" s="382">
        <v>10</v>
      </c>
      <c r="AC85" s="382">
        <v>19</v>
      </c>
      <c r="AD85" s="386">
        <v>5640</v>
      </c>
      <c r="AE85" s="386">
        <v>53</v>
      </c>
      <c r="AF85" s="386">
        <v>25</v>
      </c>
      <c r="AG85" s="386">
        <v>78</v>
      </c>
    </row>
    <row r="86" spans="1:33" x14ac:dyDescent="0.25">
      <c r="A86" s="381" t="s">
        <v>232</v>
      </c>
      <c r="B86" s="387" t="s">
        <v>233</v>
      </c>
      <c r="C86" s="383">
        <v>3670</v>
      </c>
      <c r="D86" s="383">
        <v>0</v>
      </c>
      <c r="E86" s="383">
        <v>63</v>
      </c>
      <c r="F86" s="383">
        <v>315</v>
      </c>
      <c r="G86" s="383">
        <v>136</v>
      </c>
      <c r="H86" s="383">
        <v>4184</v>
      </c>
      <c r="I86" s="382">
        <v>4048</v>
      </c>
      <c r="J86" s="382">
        <v>0</v>
      </c>
      <c r="K86" s="384">
        <v>91.75</v>
      </c>
      <c r="L86" s="384">
        <v>93.8</v>
      </c>
      <c r="M86" s="384">
        <v>2.5099999999999998</v>
      </c>
      <c r="N86" s="384">
        <v>93.94</v>
      </c>
      <c r="O86" s="385">
        <v>3424</v>
      </c>
      <c r="P86" s="382">
        <v>82.28</v>
      </c>
      <c r="Q86" s="382">
        <v>80.8</v>
      </c>
      <c r="R86" s="382">
        <v>27.24</v>
      </c>
      <c r="S86" s="382">
        <v>106.49</v>
      </c>
      <c r="T86" s="382">
        <v>359</v>
      </c>
      <c r="U86" s="382">
        <v>114.37</v>
      </c>
      <c r="V86" s="382">
        <v>130</v>
      </c>
      <c r="W86" s="382">
        <v>0</v>
      </c>
      <c r="X86" s="382">
        <v>0</v>
      </c>
      <c r="Y86" s="382">
        <v>8</v>
      </c>
      <c r="Z86" s="382">
        <v>11</v>
      </c>
      <c r="AA86" s="382">
        <v>4</v>
      </c>
      <c r="AB86" s="382">
        <v>5</v>
      </c>
      <c r="AC86" s="382">
        <v>3</v>
      </c>
      <c r="AD86" s="386">
        <v>3567</v>
      </c>
      <c r="AE86" s="386">
        <v>28</v>
      </c>
      <c r="AF86" s="386">
        <v>66</v>
      </c>
      <c r="AG86" s="386">
        <v>94</v>
      </c>
    </row>
    <row r="87" spans="1:33" x14ac:dyDescent="0.25">
      <c r="A87" s="381" t="s">
        <v>234</v>
      </c>
      <c r="B87" s="387" t="s">
        <v>235</v>
      </c>
      <c r="C87" s="383">
        <v>2050</v>
      </c>
      <c r="D87" s="383">
        <v>0</v>
      </c>
      <c r="E87" s="383">
        <v>531</v>
      </c>
      <c r="F87" s="383">
        <v>974</v>
      </c>
      <c r="G87" s="383">
        <v>186</v>
      </c>
      <c r="H87" s="383">
        <v>3741</v>
      </c>
      <c r="I87" s="382">
        <v>3555</v>
      </c>
      <c r="J87" s="382">
        <v>0</v>
      </c>
      <c r="K87" s="384">
        <v>81.95</v>
      </c>
      <c r="L87" s="384">
        <v>80.430000000000007</v>
      </c>
      <c r="M87" s="384">
        <v>5.16</v>
      </c>
      <c r="N87" s="384">
        <v>84.97</v>
      </c>
      <c r="O87" s="385">
        <v>1744</v>
      </c>
      <c r="P87" s="382">
        <v>91.27</v>
      </c>
      <c r="Q87" s="382">
        <v>77.86</v>
      </c>
      <c r="R87" s="382">
        <v>21.8</v>
      </c>
      <c r="S87" s="382">
        <v>112.63</v>
      </c>
      <c r="T87" s="382">
        <v>1360</v>
      </c>
      <c r="U87" s="382">
        <v>91.22</v>
      </c>
      <c r="V87" s="382">
        <v>178</v>
      </c>
      <c r="W87" s="382">
        <v>127.5</v>
      </c>
      <c r="X87" s="382">
        <v>19</v>
      </c>
      <c r="Y87" s="382">
        <v>0</v>
      </c>
      <c r="Z87" s="382">
        <v>0</v>
      </c>
      <c r="AA87" s="382">
        <v>10</v>
      </c>
      <c r="AB87" s="382">
        <v>3</v>
      </c>
      <c r="AC87" s="382">
        <v>2</v>
      </c>
      <c r="AD87" s="386">
        <v>1991</v>
      </c>
      <c r="AE87" s="386">
        <v>20</v>
      </c>
      <c r="AF87" s="386">
        <v>5</v>
      </c>
      <c r="AG87" s="386">
        <v>25</v>
      </c>
    </row>
    <row r="88" spans="1:33" x14ac:dyDescent="0.25">
      <c r="A88" s="381" t="s">
        <v>236</v>
      </c>
      <c r="B88" s="387" t="s">
        <v>237</v>
      </c>
      <c r="C88" s="382">
        <v>15364</v>
      </c>
      <c r="D88" s="382">
        <v>62</v>
      </c>
      <c r="E88" s="382">
        <v>559</v>
      </c>
      <c r="F88" s="382">
        <v>4399</v>
      </c>
      <c r="G88" s="382">
        <v>831</v>
      </c>
      <c r="H88" s="382">
        <v>21215</v>
      </c>
      <c r="I88" s="382">
        <v>20384</v>
      </c>
      <c r="J88" s="382">
        <v>7</v>
      </c>
      <c r="K88" s="382">
        <v>98.4</v>
      </c>
      <c r="L88" s="384">
        <v>99.71</v>
      </c>
      <c r="M88" s="384">
        <v>3.42</v>
      </c>
      <c r="N88" s="384">
        <v>100.3</v>
      </c>
      <c r="O88" s="385">
        <v>14604</v>
      </c>
      <c r="P88" s="382">
        <v>86.22</v>
      </c>
      <c r="Q88" s="382">
        <v>86.6</v>
      </c>
      <c r="R88" s="382">
        <v>17.11</v>
      </c>
      <c r="S88" s="382">
        <v>102.37</v>
      </c>
      <c r="T88" s="382">
        <v>4531</v>
      </c>
      <c r="U88" s="382">
        <v>132.6</v>
      </c>
      <c r="V88" s="382">
        <v>721</v>
      </c>
      <c r="W88" s="382">
        <v>139.68</v>
      </c>
      <c r="X88" s="382">
        <v>29</v>
      </c>
      <c r="Y88" s="382">
        <v>11</v>
      </c>
      <c r="Z88" s="382">
        <v>23</v>
      </c>
      <c r="AA88" s="382">
        <v>17</v>
      </c>
      <c r="AB88" s="382">
        <v>47</v>
      </c>
      <c r="AC88" s="382">
        <v>13</v>
      </c>
      <c r="AD88" s="382">
        <v>15327</v>
      </c>
      <c r="AE88" s="382">
        <v>61</v>
      </c>
      <c r="AF88" s="382">
        <v>24</v>
      </c>
      <c r="AG88" s="382">
        <v>85</v>
      </c>
    </row>
    <row r="89" spans="1:33" x14ac:dyDescent="0.25">
      <c r="A89" s="381" t="s">
        <v>238</v>
      </c>
      <c r="B89" s="387" t="s">
        <v>239</v>
      </c>
      <c r="C89" s="383">
        <v>1967</v>
      </c>
      <c r="D89" s="383">
        <v>0</v>
      </c>
      <c r="E89" s="383">
        <v>107</v>
      </c>
      <c r="F89" s="383">
        <v>441</v>
      </c>
      <c r="G89" s="383">
        <v>164</v>
      </c>
      <c r="H89" s="383">
        <v>2679</v>
      </c>
      <c r="I89" s="382">
        <v>2515</v>
      </c>
      <c r="J89" s="382">
        <v>0</v>
      </c>
      <c r="K89" s="384">
        <v>90.91</v>
      </c>
      <c r="L89" s="384">
        <v>90.88</v>
      </c>
      <c r="M89" s="384">
        <v>5.74</v>
      </c>
      <c r="N89" s="384">
        <v>95.36</v>
      </c>
      <c r="O89" s="385">
        <v>1712</v>
      </c>
      <c r="P89" s="382">
        <v>86.29</v>
      </c>
      <c r="Q89" s="382">
        <v>87.2</v>
      </c>
      <c r="R89" s="382">
        <v>32.61</v>
      </c>
      <c r="S89" s="382">
        <v>117.88</v>
      </c>
      <c r="T89" s="382">
        <v>545</v>
      </c>
      <c r="U89" s="382">
        <v>118.7</v>
      </c>
      <c r="V89" s="382">
        <v>90</v>
      </c>
      <c r="W89" s="382">
        <v>0</v>
      </c>
      <c r="X89" s="382">
        <v>0</v>
      </c>
      <c r="Y89" s="382">
        <v>0</v>
      </c>
      <c r="Z89" s="382">
        <v>0</v>
      </c>
      <c r="AA89" s="382">
        <v>0</v>
      </c>
      <c r="AB89" s="382">
        <v>17</v>
      </c>
      <c r="AC89" s="382">
        <v>4</v>
      </c>
      <c r="AD89" s="386">
        <v>1915</v>
      </c>
      <c r="AE89" s="386">
        <v>13</v>
      </c>
      <c r="AF89" s="386">
        <v>11</v>
      </c>
      <c r="AG89" s="386">
        <v>24</v>
      </c>
    </row>
    <row r="90" spans="1:33" x14ac:dyDescent="0.25">
      <c r="A90" s="381" t="s">
        <v>240</v>
      </c>
      <c r="B90" s="387" t="s">
        <v>241</v>
      </c>
      <c r="C90" s="383">
        <v>3439</v>
      </c>
      <c r="D90" s="383">
        <v>0</v>
      </c>
      <c r="E90" s="383">
        <v>376</v>
      </c>
      <c r="F90" s="383">
        <v>907</v>
      </c>
      <c r="G90" s="383">
        <v>739</v>
      </c>
      <c r="H90" s="383">
        <v>5461</v>
      </c>
      <c r="I90" s="382">
        <v>4722</v>
      </c>
      <c r="J90" s="382">
        <v>0</v>
      </c>
      <c r="K90" s="384">
        <v>93.77</v>
      </c>
      <c r="L90" s="384">
        <v>93.6</v>
      </c>
      <c r="M90" s="384">
        <v>6.17</v>
      </c>
      <c r="N90" s="384">
        <v>98.82</v>
      </c>
      <c r="O90" s="385">
        <v>3163</v>
      </c>
      <c r="P90" s="382">
        <v>96.25</v>
      </c>
      <c r="Q90" s="382">
        <v>92.35</v>
      </c>
      <c r="R90" s="382">
        <v>36.08</v>
      </c>
      <c r="S90" s="382">
        <v>127.88</v>
      </c>
      <c r="T90" s="382">
        <v>997</v>
      </c>
      <c r="U90" s="382">
        <v>109.21</v>
      </c>
      <c r="V90" s="382">
        <v>154</v>
      </c>
      <c r="W90" s="382">
        <v>0</v>
      </c>
      <c r="X90" s="382">
        <v>0</v>
      </c>
      <c r="Y90" s="382">
        <v>0</v>
      </c>
      <c r="Z90" s="382">
        <v>10</v>
      </c>
      <c r="AA90" s="382">
        <v>3</v>
      </c>
      <c r="AB90" s="382">
        <v>13</v>
      </c>
      <c r="AC90" s="382">
        <v>12</v>
      </c>
      <c r="AD90" s="386">
        <v>3411</v>
      </c>
      <c r="AE90" s="386">
        <v>21</v>
      </c>
      <c r="AF90" s="386">
        <v>7</v>
      </c>
      <c r="AG90" s="386">
        <v>28</v>
      </c>
    </row>
    <row r="91" spans="1:33" x14ac:dyDescent="0.25">
      <c r="A91" s="381" t="s">
        <v>242</v>
      </c>
      <c r="B91" s="387" t="s">
        <v>243</v>
      </c>
      <c r="C91" s="383">
        <v>8901</v>
      </c>
      <c r="D91" s="383">
        <v>20</v>
      </c>
      <c r="E91" s="383">
        <v>908</v>
      </c>
      <c r="F91" s="383">
        <v>790</v>
      </c>
      <c r="G91" s="383">
        <v>2140</v>
      </c>
      <c r="H91" s="383">
        <v>12759</v>
      </c>
      <c r="I91" s="382">
        <v>10619</v>
      </c>
      <c r="J91" s="382">
        <v>150</v>
      </c>
      <c r="K91" s="384">
        <v>126.1</v>
      </c>
      <c r="L91" s="384">
        <v>128.11000000000001</v>
      </c>
      <c r="M91" s="384">
        <v>9.6999999999999993</v>
      </c>
      <c r="N91" s="384">
        <v>133.07</v>
      </c>
      <c r="O91" s="385">
        <v>7986</v>
      </c>
      <c r="P91" s="382">
        <v>114.23</v>
      </c>
      <c r="Q91" s="382">
        <v>113.62</v>
      </c>
      <c r="R91" s="382">
        <v>40.43</v>
      </c>
      <c r="S91" s="382">
        <v>151.94</v>
      </c>
      <c r="T91" s="382">
        <v>1143</v>
      </c>
      <c r="U91" s="382">
        <v>194.2</v>
      </c>
      <c r="V91" s="382">
        <v>399</v>
      </c>
      <c r="W91" s="382">
        <v>202.2</v>
      </c>
      <c r="X91" s="382">
        <v>17</v>
      </c>
      <c r="Y91" s="382">
        <v>0</v>
      </c>
      <c r="Z91" s="382">
        <v>5</v>
      </c>
      <c r="AA91" s="382">
        <v>29</v>
      </c>
      <c r="AB91" s="382">
        <v>125</v>
      </c>
      <c r="AC91" s="382">
        <v>70</v>
      </c>
      <c r="AD91" s="386">
        <v>8460</v>
      </c>
      <c r="AE91" s="386">
        <v>22</v>
      </c>
      <c r="AF91" s="386">
        <v>73</v>
      </c>
      <c r="AG91" s="386">
        <v>95</v>
      </c>
    </row>
    <row r="92" spans="1:33" x14ac:dyDescent="0.25">
      <c r="A92" s="381" t="s">
        <v>244</v>
      </c>
      <c r="B92" s="387" t="s">
        <v>245</v>
      </c>
      <c r="C92" s="383">
        <v>4002</v>
      </c>
      <c r="D92" s="383">
        <v>7</v>
      </c>
      <c r="E92" s="383">
        <v>114</v>
      </c>
      <c r="F92" s="383">
        <v>1058</v>
      </c>
      <c r="G92" s="383">
        <v>523</v>
      </c>
      <c r="H92" s="383">
        <v>5704</v>
      </c>
      <c r="I92" s="382">
        <v>5181</v>
      </c>
      <c r="J92" s="382">
        <v>0</v>
      </c>
      <c r="K92" s="384">
        <v>101.24</v>
      </c>
      <c r="L92" s="384">
        <v>110.74</v>
      </c>
      <c r="M92" s="384">
        <v>4.3499999999999996</v>
      </c>
      <c r="N92" s="384">
        <v>101.89</v>
      </c>
      <c r="O92" s="385">
        <v>3715</v>
      </c>
      <c r="P92" s="382">
        <v>91</v>
      </c>
      <c r="Q92" s="382">
        <v>98.73</v>
      </c>
      <c r="R92" s="382">
        <v>15.92</v>
      </c>
      <c r="S92" s="382">
        <v>106.31</v>
      </c>
      <c r="T92" s="382">
        <v>1135</v>
      </c>
      <c r="U92" s="382">
        <v>116.27</v>
      </c>
      <c r="V92" s="382">
        <v>245</v>
      </c>
      <c r="W92" s="382">
        <v>0</v>
      </c>
      <c r="X92" s="382">
        <v>0</v>
      </c>
      <c r="Y92" s="382">
        <v>0</v>
      </c>
      <c r="Z92" s="382">
        <v>8</v>
      </c>
      <c r="AA92" s="382">
        <v>0</v>
      </c>
      <c r="AB92" s="382">
        <v>13</v>
      </c>
      <c r="AC92" s="382">
        <v>11</v>
      </c>
      <c r="AD92" s="386">
        <v>3994</v>
      </c>
      <c r="AE92" s="386">
        <v>3</v>
      </c>
      <c r="AF92" s="386">
        <v>12</v>
      </c>
      <c r="AG92" s="386">
        <v>15</v>
      </c>
    </row>
    <row r="93" spans="1:33" x14ac:dyDescent="0.25">
      <c r="A93" s="381" t="s">
        <v>246</v>
      </c>
      <c r="B93" s="387" t="s">
        <v>247</v>
      </c>
      <c r="C93" s="383">
        <v>1738</v>
      </c>
      <c r="D93" s="383">
        <v>0</v>
      </c>
      <c r="E93" s="383">
        <v>157</v>
      </c>
      <c r="F93" s="383">
        <v>152</v>
      </c>
      <c r="G93" s="383">
        <v>359</v>
      </c>
      <c r="H93" s="383">
        <v>2406</v>
      </c>
      <c r="I93" s="382">
        <v>2047</v>
      </c>
      <c r="J93" s="382">
        <v>5</v>
      </c>
      <c r="K93" s="384">
        <v>93.74</v>
      </c>
      <c r="L93" s="384">
        <v>91.45</v>
      </c>
      <c r="M93" s="384">
        <v>3.98</v>
      </c>
      <c r="N93" s="384">
        <v>96.67</v>
      </c>
      <c r="O93" s="385">
        <v>1386</v>
      </c>
      <c r="P93" s="382">
        <v>93.71</v>
      </c>
      <c r="Q93" s="382">
        <v>80.209999999999994</v>
      </c>
      <c r="R93" s="382">
        <v>40.64</v>
      </c>
      <c r="S93" s="382">
        <v>129.22</v>
      </c>
      <c r="T93" s="382">
        <v>222</v>
      </c>
      <c r="U93" s="382">
        <v>126.04</v>
      </c>
      <c r="V93" s="382">
        <v>283</v>
      </c>
      <c r="W93" s="382">
        <v>0</v>
      </c>
      <c r="X93" s="382">
        <v>0</v>
      </c>
      <c r="Y93" s="382">
        <v>9</v>
      </c>
      <c r="Z93" s="382">
        <v>0</v>
      </c>
      <c r="AA93" s="382">
        <v>0</v>
      </c>
      <c r="AB93" s="382">
        <v>40</v>
      </c>
      <c r="AC93" s="382">
        <v>1</v>
      </c>
      <c r="AD93" s="386">
        <v>1691</v>
      </c>
      <c r="AE93" s="386">
        <v>18</v>
      </c>
      <c r="AF93" s="386">
        <v>2</v>
      </c>
      <c r="AG93" s="386">
        <v>20</v>
      </c>
    </row>
    <row r="94" spans="1:33" x14ac:dyDescent="0.25">
      <c r="A94" s="381" t="s">
        <v>248</v>
      </c>
      <c r="B94" s="387" t="s">
        <v>249</v>
      </c>
      <c r="C94" s="383">
        <v>5161</v>
      </c>
      <c r="D94" s="383">
        <v>0</v>
      </c>
      <c r="E94" s="383">
        <v>88</v>
      </c>
      <c r="F94" s="383">
        <v>806</v>
      </c>
      <c r="G94" s="383">
        <v>385</v>
      </c>
      <c r="H94" s="383">
        <v>6440</v>
      </c>
      <c r="I94" s="382">
        <v>6055</v>
      </c>
      <c r="J94" s="382">
        <v>0</v>
      </c>
      <c r="K94" s="384">
        <v>115.88</v>
      </c>
      <c r="L94" s="384">
        <v>117.1</v>
      </c>
      <c r="M94" s="384">
        <v>1.1100000000000001</v>
      </c>
      <c r="N94" s="384">
        <v>116.93</v>
      </c>
      <c r="O94" s="385">
        <v>4294</v>
      </c>
      <c r="P94" s="382">
        <v>92.56</v>
      </c>
      <c r="Q94" s="382">
        <v>93.67</v>
      </c>
      <c r="R94" s="382">
        <v>14.37</v>
      </c>
      <c r="S94" s="382">
        <v>106.61</v>
      </c>
      <c r="T94" s="382">
        <v>865</v>
      </c>
      <c r="U94" s="382">
        <v>142.24</v>
      </c>
      <c r="V94" s="382">
        <v>474</v>
      </c>
      <c r="W94" s="382">
        <v>0</v>
      </c>
      <c r="X94" s="382">
        <v>0</v>
      </c>
      <c r="Y94" s="382">
        <v>0</v>
      </c>
      <c r="Z94" s="382">
        <v>5</v>
      </c>
      <c r="AA94" s="382">
        <v>0</v>
      </c>
      <c r="AB94" s="382">
        <v>27</v>
      </c>
      <c r="AC94" s="382">
        <v>7</v>
      </c>
      <c r="AD94" s="386">
        <v>4896</v>
      </c>
      <c r="AE94" s="386">
        <v>26</v>
      </c>
      <c r="AF94" s="386">
        <v>9</v>
      </c>
      <c r="AG94" s="386">
        <v>35</v>
      </c>
    </row>
    <row r="95" spans="1:33" x14ac:dyDescent="0.25">
      <c r="A95" s="381" t="s">
        <v>250</v>
      </c>
      <c r="B95" s="387" t="s">
        <v>251</v>
      </c>
      <c r="C95" s="383">
        <v>6576</v>
      </c>
      <c r="D95" s="383">
        <v>0</v>
      </c>
      <c r="E95" s="383">
        <v>193</v>
      </c>
      <c r="F95" s="383">
        <v>1068</v>
      </c>
      <c r="G95" s="383">
        <v>598</v>
      </c>
      <c r="H95" s="383">
        <v>8435</v>
      </c>
      <c r="I95" s="382">
        <v>7837</v>
      </c>
      <c r="J95" s="382">
        <v>29</v>
      </c>
      <c r="K95" s="384">
        <v>115.59</v>
      </c>
      <c r="L95" s="384">
        <v>117.51</v>
      </c>
      <c r="M95" s="384">
        <v>2.91</v>
      </c>
      <c r="N95" s="384">
        <v>117.54</v>
      </c>
      <c r="O95" s="385">
        <v>5564</v>
      </c>
      <c r="P95" s="382">
        <v>100.45</v>
      </c>
      <c r="Q95" s="382">
        <v>96.28</v>
      </c>
      <c r="R95" s="382">
        <v>21.88</v>
      </c>
      <c r="S95" s="382">
        <v>121.56</v>
      </c>
      <c r="T95" s="382">
        <v>764</v>
      </c>
      <c r="U95" s="382">
        <v>150.13999999999999</v>
      </c>
      <c r="V95" s="382">
        <v>897</v>
      </c>
      <c r="W95" s="382">
        <v>0</v>
      </c>
      <c r="X95" s="382">
        <v>0</v>
      </c>
      <c r="Y95" s="382">
        <v>0</v>
      </c>
      <c r="Z95" s="382">
        <v>14</v>
      </c>
      <c r="AA95" s="382">
        <v>0</v>
      </c>
      <c r="AB95" s="382">
        <v>23</v>
      </c>
      <c r="AC95" s="382">
        <v>14</v>
      </c>
      <c r="AD95" s="386">
        <v>6576</v>
      </c>
      <c r="AE95" s="386">
        <v>51</v>
      </c>
      <c r="AF95" s="386">
        <v>4</v>
      </c>
      <c r="AG95" s="386">
        <v>55</v>
      </c>
    </row>
    <row r="96" spans="1:33" x14ac:dyDescent="0.25">
      <c r="A96" s="381" t="s">
        <v>252</v>
      </c>
      <c r="B96" s="387" t="s">
        <v>253</v>
      </c>
      <c r="C96" s="383">
        <v>6054</v>
      </c>
      <c r="D96" s="383">
        <v>0</v>
      </c>
      <c r="E96" s="383">
        <v>270</v>
      </c>
      <c r="F96" s="383">
        <v>853</v>
      </c>
      <c r="G96" s="383">
        <v>421</v>
      </c>
      <c r="H96" s="383">
        <v>7598</v>
      </c>
      <c r="I96" s="382">
        <v>7177</v>
      </c>
      <c r="J96" s="382">
        <v>2</v>
      </c>
      <c r="K96" s="384">
        <v>83.43</v>
      </c>
      <c r="L96" s="384">
        <v>83.51</v>
      </c>
      <c r="M96" s="384">
        <v>1.57</v>
      </c>
      <c r="N96" s="384">
        <v>84.69</v>
      </c>
      <c r="O96" s="385">
        <v>5306</v>
      </c>
      <c r="P96" s="382">
        <v>78.48</v>
      </c>
      <c r="Q96" s="382">
        <v>76.78</v>
      </c>
      <c r="R96" s="382">
        <v>24.69</v>
      </c>
      <c r="S96" s="382">
        <v>102.85</v>
      </c>
      <c r="T96" s="382">
        <v>1072</v>
      </c>
      <c r="U96" s="382">
        <v>91.61</v>
      </c>
      <c r="V96" s="382">
        <v>589</v>
      </c>
      <c r="W96" s="382">
        <v>139.62</v>
      </c>
      <c r="X96" s="382">
        <v>40</v>
      </c>
      <c r="Y96" s="382">
        <v>5</v>
      </c>
      <c r="Z96" s="382">
        <v>11</v>
      </c>
      <c r="AA96" s="382">
        <v>3</v>
      </c>
      <c r="AB96" s="382">
        <v>18</v>
      </c>
      <c r="AC96" s="382">
        <v>3</v>
      </c>
      <c r="AD96" s="386">
        <v>5924</v>
      </c>
      <c r="AE96" s="386">
        <v>40</v>
      </c>
      <c r="AF96" s="386">
        <v>23</v>
      </c>
      <c r="AG96" s="386">
        <v>63</v>
      </c>
    </row>
    <row r="97" spans="1:33" x14ac:dyDescent="0.25">
      <c r="A97" s="381" t="s">
        <v>254</v>
      </c>
      <c r="B97" s="387" t="s">
        <v>255</v>
      </c>
      <c r="C97" s="383">
        <v>1663</v>
      </c>
      <c r="D97" s="383">
        <v>0</v>
      </c>
      <c r="E97" s="383">
        <v>167</v>
      </c>
      <c r="F97" s="383">
        <v>683</v>
      </c>
      <c r="G97" s="383">
        <v>157</v>
      </c>
      <c r="H97" s="383">
        <v>2670</v>
      </c>
      <c r="I97" s="382">
        <v>2513</v>
      </c>
      <c r="J97" s="382">
        <v>7</v>
      </c>
      <c r="K97" s="384">
        <v>90.56</v>
      </c>
      <c r="L97" s="384">
        <v>89.86</v>
      </c>
      <c r="M97" s="384">
        <v>4.9000000000000004</v>
      </c>
      <c r="N97" s="384">
        <v>93.41</v>
      </c>
      <c r="O97" s="385">
        <v>1414</v>
      </c>
      <c r="P97" s="382">
        <v>82.54</v>
      </c>
      <c r="Q97" s="382">
        <v>78.84</v>
      </c>
      <c r="R97" s="382">
        <v>33.020000000000003</v>
      </c>
      <c r="S97" s="382">
        <v>114.89</v>
      </c>
      <c r="T97" s="382">
        <v>741</v>
      </c>
      <c r="U97" s="382">
        <v>101.02</v>
      </c>
      <c r="V97" s="382">
        <v>117</v>
      </c>
      <c r="W97" s="382">
        <v>97.07</v>
      </c>
      <c r="X97" s="382">
        <v>3</v>
      </c>
      <c r="Y97" s="382">
        <v>24</v>
      </c>
      <c r="Z97" s="382">
        <v>0</v>
      </c>
      <c r="AA97" s="382">
        <v>1</v>
      </c>
      <c r="AB97" s="382">
        <v>0</v>
      </c>
      <c r="AC97" s="382">
        <v>1</v>
      </c>
      <c r="AD97" s="386">
        <v>1532</v>
      </c>
      <c r="AE97" s="386">
        <v>4</v>
      </c>
      <c r="AF97" s="386">
        <v>3</v>
      </c>
      <c r="AG97" s="386">
        <v>7</v>
      </c>
    </row>
    <row r="98" spans="1:33" x14ac:dyDescent="0.25">
      <c r="A98" s="381" t="s">
        <v>256</v>
      </c>
      <c r="B98" s="387" t="s">
        <v>257</v>
      </c>
      <c r="C98" s="383">
        <v>5434</v>
      </c>
      <c r="D98" s="383">
        <v>0</v>
      </c>
      <c r="E98" s="383">
        <v>177</v>
      </c>
      <c r="F98" s="383">
        <v>1069</v>
      </c>
      <c r="G98" s="383">
        <v>175</v>
      </c>
      <c r="H98" s="383">
        <v>6855</v>
      </c>
      <c r="I98" s="382">
        <v>6680</v>
      </c>
      <c r="J98" s="382">
        <v>0</v>
      </c>
      <c r="K98" s="384">
        <v>82.06</v>
      </c>
      <c r="L98" s="384">
        <v>78.930000000000007</v>
      </c>
      <c r="M98" s="384">
        <v>7.47</v>
      </c>
      <c r="N98" s="384">
        <v>84.64</v>
      </c>
      <c r="O98" s="385">
        <v>4524</v>
      </c>
      <c r="P98" s="382">
        <v>78.97</v>
      </c>
      <c r="Q98" s="382">
        <v>77.239999999999995</v>
      </c>
      <c r="R98" s="382">
        <v>27.32</v>
      </c>
      <c r="S98" s="382">
        <v>101.01</v>
      </c>
      <c r="T98" s="382">
        <v>1190</v>
      </c>
      <c r="U98" s="382">
        <v>91.54</v>
      </c>
      <c r="V98" s="382">
        <v>813</v>
      </c>
      <c r="W98" s="382">
        <v>84.26</v>
      </c>
      <c r="X98" s="382">
        <v>39</v>
      </c>
      <c r="Y98" s="382">
        <v>0</v>
      </c>
      <c r="Z98" s="382">
        <v>16</v>
      </c>
      <c r="AA98" s="382">
        <v>2</v>
      </c>
      <c r="AB98" s="382">
        <v>1</v>
      </c>
      <c r="AC98" s="382">
        <v>1</v>
      </c>
      <c r="AD98" s="386">
        <v>5434</v>
      </c>
      <c r="AE98" s="386">
        <v>37</v>
      </c>
      <c r="AF98" s="386">
        <v>10</v>
      </c>
      <c r="AG98" s="386">
        <v>47</v>
      </c>
    </row>
    <row r="99" spans="1:33" x14ac:dyDescent="0.25">
      <c r="A99" s="381" t="s">
        <v>258</v>
      </c>
      <c r="B99" s="387" t="s">
        <v>259</v>
      </c>
      <c r="C99" s="382">
        <v>7526</v>
      </c>
      <c r="D99" s="382">
        <v>0</v>
      </c>
      <c r="E99" s="382">
        <v>408</v>
      </c>
      <c r="F99" s="382">
        <v>1468</v>
      </c>
      <c r="G99" s="382">
        <v>259</v>
      </c>
      <c r="H99" s="382">
        <v>9661</v>
      </c>
      <c r="I99" s="382">
        <v>9402</v>
      </c>
      <c r="J99" s="382">
        <v>25</v>
      </c>
      <c r="K99" s="382">
        <v>91.85</v>
      </c>
      <c r="L99" s="384">
        <v>91.86</v>
      </c>
      <c r="M99" s="384">
        <v>3.6</v>
      </c>
      <c r="N99" s="384">
        <v>93.14</v>
      </c>
      <c r="O99" s="385">
        <v>7075</v>
      </c>
      <c r="P99" s="382">
        <v>80.260000000000005</v>
      </c>
      <c r="Q99" s="382">
        <v>77.52</v>
      </c>
      <c r="R99" s="382">
        <v>31.82</v>
      </c>
      <c r="S99" s="382">
        <v>110.71</v>
      </c>
      <c r="T99" s="382">
        <v>1741</v>
      </c>
      <c r="U99" s="382">
        <v>101.6</v>
      </c>
      <c r="V99" s="382">
        <v>278</v>
      </c>
      <c r="W99" s="382">
        <v>179.73</v>
      </c>
      <c r="X99" s="382">
        <v>18</v>
      </c>
      <c r="Y99" s="382">
        <v>0</v>
      </c>
      <c r="Z99" s="382">
        <v>19</v>
      </c>
      <c r="AA99" s="382">
        <v>10</v>
      </c>
      <c r="AB99" s="382">
        <v>1</v>
      </c>
      <c r="AC99" s="382">
        <v>1</v>
      </c>
      <c r="AD99" s="382">
        <v>7512</v>
      </c>
      <c r="AE99" s="382">
        <v>57</v>
      </c>
      <c r="AF99" s="382">
        <v>20</v>
      </c>
      <c r="AG99" s="382">
        <v>77</v>
      </c>
    </row>
    <row r="100" spans="1:33" x14ac:dyDescent="0.25">
      <c r="A100" s="381" t="s">
        <v>260</v>
      </c>
      <c r="B100" s="387" t="s">
        <v>261</v>
      </c>
      <c r="C100" s="383">
        <v>1616</v>
      </c>
      <c r="D100" s="383">
        <v>12</v>
      </c>
      <c r="E100" s="383">
        <v>216</v>
      </c>
      <c r="F100" s="383">
        <v>648</v>
      </c>
      <c r="G100" s="383">
        <v>159</v>
      </c>
      <c r="H100" s="383">
        <v>2651</v>
      </c>
      <c r="I100" s="382">
        <v>2492</v>
      </c>
      <c r="J100" s="382">
        <v>1</v>
      </c>
      <c r="K100" s="384">
        <v>96.87</v>
      </c>
      <c r="L100" s="384">
        <v>92.87</v>
      </c>
      <c r="M100" s="384">
        <v>5.94</v>
      </c>
      <c r="N100" s="384">
        <v>101.82</v>
      </c>
      <c r="O100" s="385">
        <v>1451</v>
      </c>
      <c r="P100" s="382">
        <v>76.5</v>
      </c>
      <c r="Q100" s="382">
        <v>72.39</v>
      </c>
      <c r="R100" s="382">
        <v>34.659999999999997</v>
      </c>
      <c r="S100" s="382">
        <v>108.45</v>
      </c>
      <c r="T100" s="382">
        <v>728</v>
      </c>
      <c r="U100" s="382">
        <v>125.92</v>
      </c>
      <c r="V100" s="382">
        <v>158</v>
      </c>
      <c r="W100" s="382">
        <v>122.14</v>
      </c>
      <c r="X100" s="382">
        <v>18</v>
      </c>
      <c r="Y100" s="382">
        <v>0</v>
      </c>
      <c r="Z100" s="382">
        <v>0</v>
      </c>
      <c r="AA100" s="382">
        <v>5</v>
      </c>
      <c r="AB100" s="382">
        <v>0</v>
      </c>
      <c r="AC100" s="382">
        <v>2</v>
      </c>
      <c r="AD100" s="386">
        <v>1616</v>
      </c>
      <c r="AE100" s="386">
        <v>2</v>
      </c>
      <c r="AF100" s="386">
        <v>2</v>
      </c>
      <c r="AG100" s="386">
        <v>4</v>
      </c>
    </row>
    <row r="101" spans="1:33" x14ac:dyDescent="0.25">
      <c r="A101" s="381" t="s">
        <v>262</v>
      </c>
      <c r="B101" s="387" t="s">
        <v>263</v>
      </c>
      <c r="C101" s="383">
        <v>5193</v>
      </c>
      <c r="D101" s="383">
        <v>0</v>
      </c>
      <c r="E101" s="383">
        <v>181</v>
      </c>
      <c r="F101" s="383">
        <v>1197</v>
      </c>
      <c r="G101" s="383">
        <v>501</v>
      </c>
      <c r="H101" s="383">
        <v>7072</v>
      </c>
      <c r="I101" s="382">
        <v>6571</v>
      </c>
      <c r="J101" s="382">
        <v>0</v>
      </c>
      <c r="K101" s="384">
        <v>108.53</v>
      </c>
      <c r="L101" s="384">
        <v>108.85</v>
      </c>
      <c r="M101" s="384">
        <v>4.6100000000000003</v>
      </c>
      <c r="N101" s="384">
        <v>111.01</v>
      </c>
      <c r="O101" s="385">
        <v>4461</v>
      </c>
      <c r="P101" s="382">
        <v>94.74</v>
      </c>
      <c r="Q101" s="382">
        <v>94.12</v>
      </c>
      <c r="R101" s="382">
        <v>21.56</v>
      </c>
      <c r="S101" s="382">
        <v>113.49</v>
      </c>
      <c r="T101" s="382">
        <v>1160</v>
      </c>
      <c r="U101" s="382">
        <v>139.97</v>
      </c>
      <c r="V101" s="382">
        <v>586</v>
      </c>
      <c r="W101" s="382">
        <v>146.03</v>
      </c>
      <c r="X101" s="382">
        <v>163</v>
      </c>
      <c r="Y101" s="382">
        <v>40</v>
      </c>
      <c r="Z101" s="382">
        <v>9</v>
      </c>
      <c r="AA101" s="382">
        <v>6</v>
      </c>
      <c r="AB101" s="382">
        <v>25</v>
      </c>
      <c r="AC101" s="382">
        <v>9</v>
      </c>
      <c r="AD101" s="386">
        <v>5193</v>
      </c>
      <c r="AE101" s="386">
        <v>18</v>
      </c>
      <c r="AF101" s="386">
        <v>8</v>
      </c>
      <c r="AG101" s="386">
        <v>26</v>
      </c>
    </row>
    <row r="102" spans="1:33" x14ac:dyDescent="0.25">
      <c r="A102" s="381" t="s">
        <v>264</v>
      </c>
      <c r="B102" s="387" t="s">
        <v>265</v>
      </c>
      <c r="C102" s="383">
        <v>2114</v>
      </c>
      <c r="D102" s="383">
        <v>0</v>
      </c>
      <c r="E102" s="383">
        <v>167</v>
      </c>
      <c r="F102" s="383">
        <v>184</v>
      </c>
      <c r="G102" s="383">
        <v>176</v>
      </c>
      <c r="H102" s="383">
        <v>2641</v>
      </c>
      <c r="I102" s="382">
        <v>2465</v>
      </c>
      <c r="J102" s="382">
        <v>40</v>
      </c>
      <c r="K102" s="384">
        <v>95.9</v>
      </c>
      <c r="L102" s="384">
        <v>96.19</v>
      </c>
      <c r="M102" s="384">
        <v>4.4000000000000004</v>
      </c>
      <c r="N102" s="384">
        <v>97.5</v>
      </c>
      <c r="O102" s="385">
        <v>1954</v>
      </c>
      <c r="P102" s="382">
        <v>83.63</v>
      </c>
      <c r="Q102" s="382">
        <v>79.930000000000007</v>
      </c>
      <c r="R102" s="382">
        <v>34.270000000000003</v>
      </c>
      <c r="S102" s="382">
        <v>115.73</v>
      </c>
      <c r="T102" s="382">
        <v>348</v>
      </c>
      <c r="U102" s="382">
        <v>109.2</v>
      </c>
      <c r="V102" s="382">
        <v>123</v>
      </c>
      <c r="W102" s="382">
        <v>0</v>
      </c>
      <c r="X102" s="382">
        <v>0</v>
      </c>
      <c r="Y102" s="382">
        <v>0</v>
      </c>
      <c r="Z102" s="382">
        <v>1</v>
      </c>
      <c r="AA102" s="382">
        <v>1</v>
      </c>
      <c r="AB102" s="382">
        <v>4</v>
      </c>
      <c r="AC102" s="382">
        <v>0</v>
      </c>
      <c r="AD102" s="386">
        <v>2077</v>
      </c>
      <c r="AE102" s="386">
        <v>19</v>
      </c>
      <c r="AF102" s="386">
        <v>12</v>
      </c>
      <c r="AG102" s="386">
        <v>31</v>
      </c>
    </row>
    <row r="103" spans="1:33" x14ac:dyDescent="0.25">
      <c r="A103" s="381" t="s">
        <v>266</v>
      </c>
      <c r="B103" s="387" t="s">
        <v>267</v>
      </c>
      <c r="C103" s="383">
        <v>4410</v>
      </c>
      <c r="D103" s="383">
        <v>9</v>
      </c>
      <c r="E103" s="383">
        <v>72</v>
      </c>
      <c r="F103" s="383">
        <v>957</v>
      </c>
      <c r="G103" s="383">
        <v>381</v>
      </c>
      <c r="H103" s="383">
        <v>5829</v>
      </c>
      <c r="I103" s="382">
        <v>5448</v>
      </c>
      <c r="J103" s="382">
        <v>14</v>
      </c>
      <c r="K103" s="384">
        <v>126.07</v>
      </c>
      <c r="L103" s="384">
        <v>129.46</v>
      </c>
      <c r="M103" s="384">
        <v>8.73</v>
      </c>
      <c r="N103" s="384">
        <v>130.06</v>
      </c>
      <c r="O103" s="385">
        <v>3797</v>
      </c>
      <c r="P103" s="382">
        <v>106.77</v>
      </c>
      <c r="Q103" s="382">
        <v>105.5</v>
      </c>
      <c r="R103" s="382">
        <v>26.11</v>
      </c>
      <c r="S103" s="382">
        <v>132.82</v>
      </c>
      <c r="T103" s="382">
        <v>787</v>
      </c>
      <c r="U103" s="382">
        <v>190.72</v>
      </c>
      <c r="V103" s="382">
        <v>377</v>
      </c>
      <c r="W103" s="382">
        <v>146.4</v>
      </c>
      <c r="X103" s="382">
        <v>7</v>
      </c>
      <c r="Y103" s="382">
        <v>0</v>
      </c>
      <c r="Z103" s="382">
        <v>4</v>
      </c>
      <c r="AA103" s="382">
        <v>0</v>
      </c>
      <c r="AB103" s="382">
        <v>28</v>
      </c>
      <c r="AC103" s="382">
        <v>11</v>
      </c>
      <c r="AD103" s="386">
        <v>4285</v>
      </c>
      <c r="AE103" s="386">
        <v>27</v>
      </c>
      <c r="AF103" s="386">
        <v>16</v>
      </c>
      <c r="AG103" s="386">
        <v>43</v>
      </c>
    </row>
    <row r="104" spans="1:33" x14ac:dyDescent="0.25">
      <c r="A104" s="381" t="s">
        <v>268</v>
      </c>
      <c r="B104" s="387" t="s">
        <v>269</v>
      </c>
      <c r="C104" s="383">
        <v>6374</v>
      </c>
      <c r="D104" s="383">
        <v>6</v>
      </c>
      <c r="E104" s="383">
        <v>893</v>
      </c>
      <c r="F104" s="383">
        <v>652</v>
      </c>
      <c r="G104" s="383">
        <v>1191</v>
      </c>
      <c r="H104" s="383">
        <v>9116</v>
      </c>
      <c r="I104" s="382">
        <v>7925</v>
      </c>
      <c r="J104" s="382">
        <v>49</v>
      </c>
      <c r="K104" s="384">
        <v>125.52</v>
      </c>
      <c r="L104" s="384">
        <v>125.57</v>
      </c>
      <c r="M104" s="384">
        <v>9.4600000000000009</v>
      </c>
      <c r="N104" s="384">
        <v>130.66</v>
      </c>
      <c r="O104" s="385">
        <v>5551</v>
      </c>
      <c r="P104" s="382">
        <v>98.03</v>
      </c>
      <c r="Q104" s="382">
        <v>94.41</v>
      </c>
      <c r="R104" s="382">
        <v>48.34</v>
      </c>
      <c r="S104" s="382">
        <v>145.1</v>
      </c>
      <c r="T104" s="382">
        <v>1479</v>
      </c>
      <c r="U104" s="382">
        <v>177.57</v>
      </c>
      <c r="V104" s="382">
        <v>338</v>
      </c>
      <c r="W104" s="382">
        <v>0</v>
      </c>
      <c r="X104" s="382">
        <v>0</v>
      </c>
      <c r="Y104" s="382">
        <v>14</v>
      </c>
      <c r="Z104" s="382">
        <v>9</v>
      </c>
      <c r="AA104" s="382">
        <v>5</v>
      </c>
      <c r="AB104" s="382">
        <v>21</v>
      </c>
      <c r="AC104" s="382">
        <v>38</v>
      </c>
      <c r="AD104" s="386">
        <v>6134</v>
      </c>
      <c r="AE104" s="386">
        <v>31</v>
      </c>
      <c r="AF104" s="386">
        <v>62</v>
      </c>
      <c r="AG104" s="386">
        <v>93</v>
      </c>
    </row>
    <row r="105" spans="1:33" x14ac:dyDescent="0.25">
      <c r="A105" s="381" t="s">
        <v>270</v>
      </c>
      <c r="B105" s="387" t="s">
        <v>271</v>
      </c>
      <c r="C105" s="383">
        <v>1362</v>
      </c>
      <c r="D105" s="383">
        <v>0</v>
      </c>
      <c r="E105" s="383">
        <v>163</v>
      </c>
      <c r="F105" s="383">
        <v>231</v>
      </c>
      <c r="G105" s="383">
        <v>381</v>
      </c>
      <c r="H105" s="383">
        <v>2137</v>
      </c>
      <c r="I105" s="382">
        <v>1756</v>
      </c>
      <c r="J105" s="382">
        <v>4</v>
      </c>
      <c r="K105" s="384">
        <v>120.96</v>
      </c>
      <c r="L105" s="384">
        <v>119.41</v>
      </c>
      <c r="M105" s="384">
        <v>4.54</v>
      </c>
      <c r="N105" s="384">
        <v>124.94</v>
      </c>
      <c r="O105" s="385">
        <v>1254</v>
      </c>
      <c r="P105" s="382">
        <v>95.68</v>
      </c>
      <c r="Q105" s="382">
        <v>90.14</v>
      </c>
      <c r="R105" s="382">
        <v>59.96</v>
      </c>
      <c r="S105" s="382">
        <v>155.43</v>
      </c>
      <c r="T105" s="382">
        <v>284</v>
      </c>
      <c r="U105" s="382">
        <v>168.21</v>
      </c>
      <c r="V105" s="382">
        <v>86</v>
      </c>
      <c r="W105" s="382">
        <v>0</v>
      </c>
      <c r="X105" s="382">
        <v>0</v>
      </c>
      <c r="Y105" s="382">
        <v>0</v>
      </c>
      <c r="Z105" s="382">
        <v>0</v>
      </c>
      <c r="AA105" s="382">
        <v>1</v>
      </c>
      <c r="AB105" s="382">
        <v>25</v>
      </c>
      <c r="AC105" s="382">
        <v>6</v>
      </c>
      <c r="AD105" s="386">
        <v>1360</v>
      </c>
      <c r="AE105" s="386">
        <v>6</v>
      </c>
      <c r="AF105" s="386">
        <v>1</v>
      </c>
      <c r="AG105" s="386">
        <v>7</v>
      </c>
    </row>
    <row r="106" spans="1:33" x14ac:dyDescent="0.25">
      <c r="A106" s="381" t="s">
        <v>272</v>
      </c>
      <c r="B106" s="387" t="s">
        <v>273</v>
      </c>
      <c r="C106" s="383">
        <v>2056</v>
      </c>
      <c r="D106" s="383">
        <v>0</v>
      </c>
      <c r="E106" s="383">
        <v>153</v>
      </c>
      <c r="F106" s="383">
        <v>382</v>
      </c>
      <c r="G106" s="383">
        <v>337</v>
      </c>
      <c r="H106" s="383">
        <v>2928</v>
      </c>
      <c r="I106" s="382">
        <v>2591</v>
      </c>
      <c r="J106" s="382">
        <v>0</v>
      </c>
      <c r="K106" s="384">
        <v>118.14</v>
      </c>
      <c r="L106" s="384">
        <v>115</v>
      </c>
      <c r="M106" s="384">
        <v>7.98</v>
      </c>
      <c r="N106" s="384">
        <v>122.43</v>
      </c>
      <c r="O106" s="385">
        <v>1937</v>
      </c>
      <c r="P106" s="382">
        <v>104.47</v>
      </c>
      <c r="Q106" s="382">
        <v>99.02</v>
      </c>
      <c r="R106" s="382">
        <v>18.989999999999998</v>
      </c>
      <c r="S106" s="382">
        <v>122.32</v>
      </c>
      <c r="T106" s="382">
        <v>384</v>
      </c>
      <c r="U106" s="382">
        <v>181.42</v>
      </c>
      <c r="V106" s="382">
        <v>102</v>
      </c>
      <c r="W106" s="382">
        <v>123.33</v>
      </c>
      <c r="X106" s="382">
        <v>4</v>
      </c>
      <c r="Y106" s="382">
        <v>0</v>
      </c>
      <c r="Z106" s="382">
        <v>1</v>
      </c>
      <c r="AA106" s="382">
        <v>0</v>
      </c>
      <c r="AB106" s="382">
        <v>42</v>
      </c>
      <c r="AC106" s="382">
        <v>17</v>
      </c>
      <c r="AD106" s="386">
        <v>2056</v>
      </c>
      <c r="AE106" s="386">
        <v>2</v>
      </c>
      <c r="AF106" s="386">
        <v>2</v>
      </c>
      <c r="AG106" s="386">
        <v>4</v>
      </c>
    </row>
    <row r="107" spans="1:33" x14ac:dyDescent="0.25">
      <c r="A107" s="381" t="s">
        <v>274</v>
      </c>
      <c r="B107" s="387" t="s">
        <v>275</v>
      </c>
      <c r="C107" s="383">
        <v>4566</v>
      </c>
      <c r="D107" s="383">
        <v>0</v>
      </c>
      <c r="E107" s="383">
        <v>83</v>
      </c>
      <c r="F107" s="383">
        <v>1898</v>
      </c>
      <c r="G107" s="383">
        <v>160</v>
      </c>
      <c r="H107" s="383">
        <v>6707</v>
      </c>
      <c r="I107" s="382">
        <v>6547</v>
      </c>
      <c r="J107" s="382">
        <v>0</v>
      </c>
      <c r="K107" s="384">
        <v>88.35</v>
      </c>
      <c r="L107" s="384">
        <v>90.79</v>
      </c>
      <c r="M107" s="384">
        <v>2.62</v>
      </c>
      <c r="N107" s="384">
        <v>89.81</v>
      </c>
      <c r="O107" s="385">
        <v>4480</v>
      </c>
      <c r="P107" s="382">
        <v>79.209999999999994</v>
      </c>
      <c r="Q107" s="382">
        <v>80.52</v>
      </c>
      <c r="R107" s="382">
        <v>6.07</v>
      </c>
      <c r="S107" s="382">
        <v>84.65</v>
      </c>
      <c r="T107" s="382">
        <v>1966</v>
      </c>
      <c r="U107" s="382">
        <v>101.88</v>
      </c>
      <c r="V107" s="382">
        <v>32</v>
      </c>
      <c r="W107" s="382">
        <v>0</v>
      </c>
      <c r="X107" s="382">
        <v>0</v>
      </c>
      <c r="Y107" s="382">
        <v>0</v>
      </c>
      <c r="Z107" s="382">
        <v>18</v>
      </c>
      <c r="AA107" s="382">
        <v>5</v>
      </c>
      <c r="AB107" s="382">
        <v>0</v>
      </c>
      <c r="AC107" s="382">
        <v>9</v>
      </c>
      <c r="AD107" s="386">
        <v>4566</v>
      </c>
      <c r="AE107" s="386">
        <v>30</v>
      </c>
      <c r="AF107" s="386">
        <v>21</v>
      </c>
      <c r="AG107" s="386">
        <v>51</v>
      </c>
    </row>
    <row r="108" spans="1:33" x14ac:dyDescent="0.25">
      <c r="A108" s="381" t="s">
        <v>276</v>
      </c>
      <c r="B108" s="387" t="s">
        <v>277</v>
      </c>
      <c r="C108" s="383">
        <v>3416</v>
      </c>
      <c r="D108" s="383">
        <v>0</v>
      </c>
      <c r="E108" s="383">
        <v>573</v>
      </c>
      <c r="F108" s="383">
        <v>243</v>
      </c>
      <c r="G108" s="383">
        <v>389</v>
      </c>
      <c r="H108" s="383">
        <v>4621</v>
      </c>
      <c r="I108" s="382">
        <v>4232</v>
      </c>
      <c r="J108" s="382">
        <v>11</v>
      </c>
      <c r="K108" s="384">
        <v>86.53</v>
      </c>
      <c r="L108" s="384">
        <v>85.63</v>
      </c>
      <c r="M108" s="384">
        <v>6.64</v>
      </c>
      <c r="N108" s="384">
        <v>91.46</v>
      </c>
      <c r="O108" s="385">
        <v>3074</v>
      </c>
      <c r="P108" s="382">
        <v>74.459999999999994</v>
      </c>
      <c r="Q108" s="382">
        <v>67.47</v>
      </c>
      <c r="R108" s="382">
        <v>58.17</v>
      </c>
      <c r="S108" s="382">
        <v>127.24</v>
      </c>
      <c r="T108" s="382">
        <v>507</v>
      </c>
      <c r="U108" s="382">
        <v>118.49</v>
      </c>
      <c r="V108" s="382">
        <v>165</v>
      </c>
      <c r="W108" s="382">
        <v>0</v>
      </c>
      <c r="X108" s="382">
        <v>0</v>
      </c>
      <c r="Y108" s="382">
        <v>0</v>
      </c>
      <c r="Z108" s="382">
        <v>2</v>
      </c>
      <c r="AA108" s="382">
        <v>3</v>
      </c>
      <c r="AB108" s="382">
        <v>27</v>
      </c>
      <c r="AC108" s="382">
        <v>3</v>
      </c>
      <c r="AD108" s="386">
        <v>3242</v>
      </c>
      <c r="AE108" s="386">
        <v>12</v>
      </c>
      <c r="AF108" s="386">
        <v>42</v>
      </c>
      <c r="AG108" s="386">
        <v>54</v>
      </c>
    </row>
    <row r="109" spans="1:33" x14ac:dyDescent="0.25">
      <c r="A109" s="381" t="s">
        <v>278</v>
      </c>
      <c r="B109" s="387" t="s">
        <v>279</v>
      </c>
      <c r="C109" s="383">
        <v>1375</v>
      </c>
      <c r="D109" s="383">
        <v>0</v>
      </c>
      <c r="E109" s="383">
        <v>197</v>
      </c>
      <c r="F109" s="383">
        <v>182</v>
      </c>
      <c r="G109" s="383">
        <v>233</v>
      </c>
      <c r="H109" s="383">
        <v>1987</v>
      </c>
      <c r="I109" s="382">
        <v>1754</v>
      </c>
      <c r="J109" s="382">
        <v>1</v>
      </c>
      <c r="K109" s="384">
        <v>107.75</v>
      </c>
      <c r="L109" s="384">
        <v>109.28</v>
      </c>
      <c r="M109" s="384">
        <v>7.16</v>
      </c>
      <c r="N109" s="384">
        <v>113</v>
      </c>
      <c r="O109" s="385">
        <v>1089</v>
      </c>
      <c r="P109" s="382">
        <v>88.57</v>
      </c>
      <c r="Q109" s="382">
        <v>83.34</v>
      </c>
      <c r="R109" s="382">
        <v>35.909999999999997</v>
      </c>
      <c r="S109" s="382">
        <v>120.27</v>
      </c>
      <c r="T109" s="382">
        <v>256</v>
      </c>
      <c r="U109" s="382">
        <v>140.66</v>
      </c>
      <c r="V109" s="382">
        <v>147</v>
      </c>
      <c r="W109" s="382">
        <v>0</v>
      </c>
      <c r="X109" s="382">
        <v>0</v>
      </c>
      <c r="Y109" s="382">
        <v>15</v>
      </c>
      <c r="Z109" s="382">
        <v>1</v>
      </c>
      <c r="AA109" s="382">
        <v>1</v>
      </c>
      <c r="AB109" s="382">
        <v>4</v>
      </c>
      <c r="AC109" s="382">
        <v>4</v>
      </c>
      <c r="AD109" s="386">
        <v>1363</v>
      </c>
      <c r="AE109" s="386">
        <v>28</v>
      </c>
      <c r="AF109" s="386">
        <v>16</v>
      </c>
      <c r="AG109" s="386">
        <v>44</v>
      </c>
    </row>
    <row r="110" spans="1:33" x14ac:dyDescent="0.25">
      <c r="A110" s="381" t="s">
        <v>280</v>
      </c>
      <c r="B110" s="387" t="s">
        <v>281</v>
      </c>
      <c r="C110" s="383">
        <v>4604</v>
      </c>
      <c r="D110" s="383">
        <v>0</v>
      </c>
      <c r="E110" s="383">
        <v>216</v>
      </c>
      <c r="F110" s="383">
        <v>687</v>
      </c>
      <c r="G110" s="383">
        <v>164</v>
      </c>
      <c r="H110" s="383">
        <v>5671</v>
      </c>
      <c r="I110" s="382">
        <v>5507</v>
      </c>
      <c r="J110" s="382">
        <v>14</v>
      </c>
      <c r="K110" s="384">
        <v>95.54</v>
      </c>
      <c r="L110" s="384">
        <v>92.73</v>
      </c>
      <c r="M110" s="384">
        <v>3.15</v>
      </c>
      <c r="N110" s="384">
        <v>96.55</v>
      </c>
      <c r="O110" s="385">
        <v>4471</v>
      </c>
      <c r="P110" s="382">
        <v>87.28</v>
      </c>
      <c r="Q110" s="382">
        <v>84.02</v>
      </c>
      <c r="R110" s="382">
        <v>35.090000000000003</v>
      </c>
      <c r="S110" s="382">
        <v>122.24</v>
      </c>
      <c r="T110" s="382">
        <v>832</v>
      </c>
      <c r="U110" s="382">
        <v>118.69</v>
      </c>
      <c r="V110" s="382">
        <v>118</v>
      </c>
      <c r="W110" s="382">
        <v>0</v>
      </c>
      <c r="X110" s="382">
        <v>0</v>
      </c>
      <c r="Y110" s="382">
        <v>0</v>
      </c>
      <c r="Z110" s="382">
        <v>5</v>
      </c>
      <c r="AA110" s="382">
        <v>0</v>
      </c>
      <c r="AB110" s="382">
        <v>24</v>
      </c>
      <c r="AC110" s="382">
        <v>8</v>
      </c>
      <c r="AD110" s="386">
        <v>4595</v>
      </c>
      <c r="AE110" s="386">
        <v>20</v>
      </c>
      <c r="AF110" s="386">
        <v>12</v>
      </c>
      <c r="AG110" s="386">
        <v>32</v>
      </c>
    </row>
    <row r="111" spans="1:33" x14ac:dyDescent="0.25">
      <c r="A111" s="381" t="s">
        <v>282</v>
      </c>
      <c r="B111" s="387" t="s">
        <v>283</v>
      </c>
      <c r="C111" s="383">
        <v>1529</v>
      </c>
      <c r="D111" s="383">
        <v>1</v>
      </c>
      <c r="E111" s="383">
        <v>90</v>
      </c>
      <c r="F111" s="383">
        <v>312</v>
      </c>
      <c r="G111" s="383">
        <v>212</v>
      </c>
      <c r="H111" s="383">
        <v>2144</v>
      </c>
      <c r="I111" s="382">
        <v>1932</v>
      </c>
      <c r="J111" s="382">
        <v>0</v>
      </c>
      <c r="K111" s="384">
        <v>94.9</v>
      </c>
      <c r="L111" s="384">
        <v>93.78</v>
      </c>
      <c r="M111" s="384">
        <v>6.3</v>
      </c>
      <c r="N111" s="384">
        <v>99.51</v>
      </c>
      <c r="O111" s="385">
        <v>1233</v>
      </c>
      <c r="P111" s="382">
        <v>85.65</v>
      </c>
      <c r="Q111" s="382">
        <v>81.239999999999995</v>
      </c>
      <c r="R111" s="382">
        <v>33.61</v>
      </c>
      <c r="S111" s="382">
        <v>115.06</v>
      </c>
      <c r="T111" s="382">
        <v>368</v>
      </c>
      <c r="U111" s="382">
        <v>141.79</v>
      </c>
      <c r="V111" s="382">
        <v>111</v>
      </c>
      <c r="W111" s="382">
        <v>0</v>
      </c>
      <c r="X111" s="382">
        <v>0</v>
      </c>
      <c r="Y111" s="382">
        <v>0</v>
      </c>
      <c r="Z111" s="382">
        <v>1</v>
      </c>
      <c r="AA111" s="382">
        <v>3</v>
      </c>
      <c r="AB111" s="382">
        <v>10</v>
      </c>
      <c r="AC111" s="382">
        <v>2</v>
      </c>
      <c r="AD111" s="386">
        <v>1370</v>
      </c>
      <c r="AE111" s="386">
        <v>5</v>
      </c>
      <c r="AF111" s="386">
        <v>47</v>
      </c>
      <c r="AG111" s="386">
        <v>52</v>
      </c>
    </row>
    <row r="112" spans="1:33" x14ac:dyDescent="0.25">
      <c r="A112" s="381" t="s">
        <v>284</v>
      </c>
      <c r="B112" s="387" t="s">
        <v>285</v>
      </c>
      <c r="C112" s="383">
        <v>3735</v>
      </c>
      <c r="D112" s="383">
        <v>15</v>
      </c>
      <c r="E112" s="383">
        <v>53</v>
      </c>
      <c r="F112" s="383">
        <v>1062</v>
      </c>
      <c r="G112" s="383">
        <v>180</v>
      </c>
      <c r="H112" s="383">
        <v>5045</v>
      </c>
      <c r="I112" s="382">
        <v>4865</v>
      </c>
      <c r="J112" s="382">
        <v>11</v>
      </c>
      <c r="K112" s="384">
        <v>94.84</v>
      </c>
      <c r="L112" s="384">
        <v>91.5</v>
      </c>
      <c r="M112" s="384">
        <v>1.33</v>
      </c>
      <c r="N112" s="384">
        <v>95.92</v>
      </c>
      <c r="O112" s="385">
        <v>3085</v>
      </c>
      <c r="P112" s="382">
        <v>87.98</v>
      </c>
      <c r="Q112" s="382">
        <v>81.459999999999994</v>
      </c>
      <c r="R112" s="382">
        <v>15.84</v>
      </c>
      <c r="S112" s="382">
        <v>103.36</v>
      </c>
      <c r="T112" s="382">
        <v>1093</v>
      </c>
      <c r="U112" s="382">
        <v>110.5</v>
      </c>
      <c r="V112" s="382">
        <v>253</v>
      </c>
      <c r="W112" s="382">
        <v>0</v>
      </c>
      <c r="X112" s="382">
        <v>0</v>
      </c>
      <c r="Y112" s="382">
        <v>0</v>
      </c>
      <c r="Z112" s="382">
        <v>20</v>
      </c>
      <c r="AA112" s="382">
        <v>15</v>
      </c>
      <c r="AB112" s="382">
        <v>19</v>
      </c>
      <c r="AC112" s="382">
        <v>4</v>
      </c>
      <c r="AD112" s="386">
        <v>3333</v>
      </c>
      <c r="AE112" s="386">
        <v>1</v>
      </c>
      <c r="AF112" s="386">
        <v>20</v>
      </c>
      <c r="AG112" s="386">
        <v>21</v>
      </c>
    </row>
    <row r="113" spans="1:33" x14ac:dyDescent="0.25">
      <c r="A113" s="381" t="s">
        <v>286</v>
      </c>
      <c r="B113" s="387" t="s">
        <v>287</v>
      </c>
      <c r="C113" s="383">
        <v>1943</v>
      </c>
      <c r="D113" s="383">
        <v>0</v>
      </c>
      <c r="E113" s="383">
        <v>129</v>
      </c>
      <c r="F113" s="383">
        <v>546</v>
      </c>
      <c r="G113" s="383">
        <v>74</v>
      </c>
      <c r="H113" s="383">
        <v>2692</v>
      </c>
      <c r="I113" s="382">
        <v>2618</v>
      </c>
      <c r="J113" s="382">
        <v>11</v>
      </c>
      <c r="K113" s="384">
        <v>87.43</v>
      </c>
      <c r="L113" s="384">
        <v>87.73</v>
      </c>
      <c r="M113" s="384">
        <v>3.46</v>
      </c>
      <c r="N113" s="384">
        <v>90.45</v>
      </c>
      <c r="O113" s="385">
        <v>1765</v>
      </c>
      <c r="P113" s="382">
        <v>90.13</v>
      </c>
      <c r="Q113" s="382">
        <v>77.16</v>
      </c>
      <c r="R113" s="382">
        <v>20.83</v>
      </c>
      <c r="S113" s="382">
        <v>110.36</v>
      </c>
      <c r="T113" s="382">
        <v>531</v>
      </c>
      <c r="U113" s="382">
        <v>107.02</v>
      </c>
      <c r="V113" s="382">
        <v>157</v>
      </c>
      <c r="W113" s="382">
        <v>0</v>
      </c>
      <c r="X113" s="382">
        <v>0</v>
      </c>
      <c r="Y113" s="382">
        <v>1</v>
      </c>
      <c r="Z113" s="382">
        <v>8</v>
      </c>
      <c r="AA113" s="382">
        <v>0</v>
      </c>
      <c r="AB113" s="382">
        <v>3</v>
      </c>
      <c r="AC113" s="382">
        <v>1</v>
      </c>
      <c r="AD113" s="386">
        <v>1941</v>
      </c>
      <c r="AE113" s="386">
        <v>6</v>
      </c>
      <c r="AF113" s="386">
        <v>2</v>
      </c>
      <c r="AG113" s="386">
        <v>8</v>
      </c>
    </row>
    <row r="114" spans="1:33" x14ac:dyDescent="0.25">
      <c r="A114" s="381" t="s">
        <v>288</v>
      </c>
      <c r="B114" s="387" t="s">
        <v>289</v>
      </c>
      <c r="C114" s="383">
        <v>3696</v>
      </c>
      <c r="D114" s="383">
        <v>46</v>
      </c>
      <c r="E114" s="383">
        <v>276</v>
      </c>
      <c r="F114" s="383">
        <v>1045</v>
      </c>
      <c r="G114" s="383">
        <v>208</v>
      </c>
      <c r="H114" s="383">
        <v>5271</v>
      </c>
      <c r="I114" s="382">
        <v>5063</v>
      </c>
      <c r="J114" s="382">
        <v>5</v>
      </c>
      <c r="K114" s="384">
        <v>80.22</v>
      </c>
      <c r="L114" s="384">
        <v>77.44</v>
      </c>
      <c r="M114" s="384">
        <v>6.4</v>
      </c>
      <c r="N114" s="384">
        <v>83.46</v>
      </c>
      <c r="O114" s="385">
        <v>3146</v>
      </c>
      <c r="P114" s="382">
        <v>86.88</v>
      </c>
      <c r="Q114" s="382">
        <v>76.53</v>
      </c>
      <c r="R114" s="382">
        <v>38.89</v>
      </c>
      <c r="S114" s="382">
        <v>124.16</v>
      </c>
      <c r="T114" s="382">
        <v>1159</v>
      </c>
      <c r="U114" s="382">
        <v>91.47</v>
      </c>
      <c r="V114" s="382">
        <v>579</v>
      </c>
      <c r="W114" s="382">
        <v>146.55000000000001</v>
      </c>
      <c r="X114" s="382">
        <v>148</v>
      </c>
      <c r="Y114" s="382">
        <v>0</v>
      </c>
      <c r="Z114" s="382">
        <v>2</v>
      </c>
      <c r="AA114" s="382">
        <v>4</v>
      </c>
      <c r="AB114" s="382">
        <v>4</v>
      </c>
      <c r="AC114" s="382">
        <v>3</v>
      </c>
      <c r="AD114" s="386">
        <v>3592</v>
      </c>
      <c r="AE114" s="386">
        <v>45</v>
      </c>
      <c r="AF114" s="386">
        <v>11</v>
      </c>
      <c r="AG114" s="386">
        <v>56</v>
      </c>
    </row>
    <row r="115" spans="1:33" x14ac:dyDescent="0.25">
      <c r="A115" s="381" t="s">
        <v>290</v>
      </c>
      <c r="B115" s="387" t="s">
        <v>291</v>
      </c>
      <c r="C115" s="383">
        <v>3752</v>
      </c>
      <c r="D115" s="383">
        <v>0</v>
      </c>
      <c r="E115" s="383">
        <v>133</v>
      </c>
      <c r="F115" s="383">
        <v>1243</v>
      </c>
      <c r="G115" s="383">
        <v>218</v>
      </c>
      <c r="H115" s="383">
        <v>5346</v>
      </c>
      <c r="I115" s="382">
        <v>5128</v>
      </c>
      <c r="J115" s="382">
        <v>102</v>
      </c>
      <c r="K115" s="384">
        <v>82.99</v>
      </c>
      <c r="L115" s="384">
        <v>82.94</v>
      </c>
      <c r="M115" s="384">
        <v>4.71</v>
      </c>
      <c r="N115" s="384">
        <v>84.73</v>
      </c>
      <c r="O115" s="385">
        <v>3689</v>
      </c>
      <c r="P115" s="382">
        <v>77.930000000000007</v>
      </c>
      <c r="Q115" s="382">
        <v>73.099999999999994</v>
      </c>
      <c r="R115" s="382">
        <v>17.899999999999999</v>
      </c>
      <c r="S115" s="382">
        <v>95.25</v>
      </c>
      <c r="T115" s="382">
        <v>1321</v>
      </c>
      <c r="U115" s="382">
        <v>114.32</v>
      </c>
      <c r="V115" s="382">
        <v>46</v>
      </c>
      <c r="W115" s="382">
        <v>0</v>
      </c>
      <c r="X115" s="382">
        <v>0</v>
      </c>
      <c r="Y115" s="382">
        <v>0</v>
      </c>
      <c r="Z115" s="382">
        <v>21</v>
      </c>
      <c r="AA115" s="382">
        <v>4</v>
      </c>
      <c r="AB115" s="382">
        <v>15</v>
      </c>
      <c r="AC115" s="382">
        <v>6</v>
      </c>
      <c r="AD115" s="386">
        <v>3752</v>
      </c>
      <c r="AE115" s="386">
        <v>28</v>
      </c>
      <c r="AF115" s="386">
        <v>6</v>
      </c>
      <c r="AG115" s="386">
        <v>34</v>
      </c>
    </row>
    <row r="116" spans="1:33" x14ac:dyDescent="0.25">
      <c r="A116" s="381" t="s">
        <v>292</v>
      </c>
      <c r="B116" s="387" t="s">
        <v>293</v>
      </c>
      <c r="C116" s="383">
        <v>6518</v>
      </c>
      <c r="D116" s="383">
        <v>14</v>
      </c>
      <c r="E116" s="383">
        <v>331</v>
      </c>
      <c r="F116" s="383">
        <v>943</v>
      </c>
      <c r="G116" s="383">
        <v>459</v>
      </c>
      <c r="H116" s="383">
        <v>8265</v>
      </c>
      <c r="I116" s="382">
        <v>7806</v>
      </c>
      <c r="J116" s="382">
        <v>441</v>
      </c>
      <c r="K116" s="384">
        <v>84.56</v>
      </c>
      <c r="L116" s="384">
        <v>83.28</v>
      </c>
      <c r="M116" s="384">
        <v>6.06</v>
      </c>
      <c r="N116" s="384">
        <v>87.28</v>
      </c>
      <c r="O116" s="385">
        <v>5862</v>
      </c>
      <c r="P116" s="382">
        <v>85.38</v>
      </c>
      <c r="Q116" s="382">
        <v>77.39</v>
      </c>
      <c r="R116" s="382">
        <v>39.270000000000003</v>
      </c>
      <c r="S116" s="382">
        <v>123.62</v>
      </c>
      <c r="T116" s="382">
        <v>1108</v>
      </c>
      <c r="U116" s="382">
        <v>116.9</v>
      </c>
      <c r="V116" s="382">
        <v>126</v>
      </c>
      <c r="W116" s="382">
        <v>119.23</v>
      </c>
      <c r="X116" s="382">
        <v>3</v>
      </c>
      <c r="Y116" s="382">
        <v>0</v>
      </c>
      <c r="Z116" s="382">
        <v>31</v>
      </c>
      <c r="AA116" s="382">
        <v>14</v>
      </c>
      <c r="AB116" s="382">
        <v>14</v>
      </c>
      <c r="AC116" s="382">
        <v>16</v>
      </c>
      <c r="AD116" s="386">
        <v>6018</v>
      </c>
      <c r="AE116" s="386">
        <v>25</v>
      </c>
      <c r="AF116" s="386">
        <v>8</v>
      </c>
      <c r="AG116" s="386">
        <v>33</v>
      </c>
    </row>
    <row r="117" spans="1:33" x14ac:dyDescent="0.25">
      <c r="A117" s="381" t="s">
        <v>294</v>
      </c>
      <c r="B117" s="387" t="s">
        <v>295</v>
      </c>
      <c r="C117" s="383">
        <v>2237</v>
      </c>
      <c r="D117" s="383">
        <v>1</v>
      </c>
      <c r="E117" s="383">
        <v>103</v>
      </c>
      <c r="F117" s="383">
        <v>569</v>
      </c>
      <c r="G117" s="383">
        <v>337</v>
      </c>
      <c r="H117" s="383">
        <v>3247</v>
      </c>
      <c r="I117" s="382">
        <v>2910</v>
      </c>
      <c r="J117" s="382">
        <v>0</v>
      </c>
      <c r="K117" s="384">
        <v>99.96</v>
      </c>
      <c r="L117" s="384">
        <v>99.5</v>
      </c>
      <c r="M117" s="384">
        <v>7.17</v>
      </c>
      <c r="N117" s="384">
        <v>106.04</v>
      </c>
      <c r="O117" s="385">
        <v>1915</v>
      </c>
      <c r="P117" s="382">
        <v>89.35</v>
      </c>
      <c r="Q117" s="382">
        <v>85.22</v>
      </c>
      <c r="R117" s="382">
        <v>26.14</v>
      </c>
      <c r="S117" s="382">
        <v>114.44</v>
      </c>
      <c r="T117" s="382">
        <v>398</v>
      </c>
      <c r="U117" s="382">
        <v>124.33</v>
      </c>
      <c r="V117" s="382">
        <v>151</v>
      </c>
      <c r="W117" s="382">
        <v>89.72</v>
      </c>
      <c r="X117" s="382">
        <v>12</v>
      </c>
      <c r="Y117" s="382">
        <v>0</v>
      </c>
      <c r="Z117" s="382">
        <v>1</v>
      </c>
      <c r="AA117" s="382">
        <v>0</v>
      </c>
      <c r="AB117" s="382">
        <v>6</v>
      </c>
      <c r="AC117" s="382">
        <v>5</v>
      </c>
      <c r="AD117" s="386">
        <v>2204</v>
      </c>
      <c r="AE117" s="386">
        <v>30</v>
      </c>
      <c r="AF117" s="386">
        <v>12</v>
      </c>
      <c r="AG117" s="386">
        <v>42</v>
      </c>
    </row>
    <row r="118" spans="1:33" x14ac:dyDescent="0.25">
      <c r="A118" s="381" t="s">
        <v>296</v>
      </c>
      <c r="B118" s="387" t="s">
        <v>297</v>
      </c>
      <c r="C118" s="383">
        <v>1367</v>
      </c>
      <c r="D118" s="383">
        <v>0</v>
      </c>
      <c r="E118" s="383">
        <v>71</v>
      </c>
      <c r="F118" s="383">
        <v>170</v>
      </c>
      <c r="G118" s="383">
        <v>249</v>
      </c>
      <c r="H118" s="383">
        <v>1857</v>
      </c>
      <c r="I118" s="382">
        <v>1608</v>
      </c>
      <c r="J118" s="382">
        <v>0</v>
      </c>
      <c r="K118" s="384">
        <v>106.05</v>
      </c>
      <c r="L118" s="384">
        <v>106.1</v>
      </c>
      <c r="M118" s="384">
        <v>5.33</v>
      </c>
      <c r="N118" s="384">
        <v>110.15</v>
      </c>
      <c r="O118" s="385">
        <v>737</v>
      </c>
      <c r="P118" s="382">
        <v>93.34</v>
      </c>
      <c r="Q118" s="382">
        <v>94.37</v>
      </c>
      <c r="R118" s="382">
        <v>47.94</v>
      </c>
      <c r="S118" s="382">
        <v>138.83000000000001</v>
      </c>
      <c r="T118" s="382">
        <v>78</v>
      </c>
      <c r="U118" s="382">
        <v>137.80000000000001</v>
      </c>
      <c r="V118" s="382">
        <v>199</v>
      </c>
      <c r="W118" s="382">
        <v>0</v>
      </c>
      <c r="X118" s="382">
        <v>0</v>
      </c>
      <c r="Y118" s="382">
        <v>0</v>
      </c>
      <c r="Z118" s="382">
        <v>0</v>
      </c>
      <c r="AA118" s="382">
        <v>12</v>
      </c>
      <c r="AB118" s="382">
        <v>17</v>
      </c>
      <c r="AC118" s="382">
        <v>14</v>
      </c>
      <c r="AD118" s="386">
        <v>962</v>
      </c>
      <c r="AE118" s="386">
        <v>15</v>
      </c>
      <c r="AF118" s="386">
        <v>5</v>
      </c>
      <c r="AG118" s="386">
        <v>20</v>
      </c>
    </row>
    <row r="119" spans="1:33" x14ac:dyDescent="0.25">
      <c r="A119" s="381" t="s">
        <v>298</v>
      </c>
      <c r="B119" s="387" t="s">
        <v>299</v>
      </c>
      <c r="C119" s="383">
        <v>1404</v>
      </c>
      <c r="D119" s="383">
        <v>0</v>
      </c>
      <c r="E119" s="383">
        <v>258</v>
      </c>
      <c r="F119" s="383">
        <v>139</v>
      </c>
      <c r="G119" s="383">
        <v>111</v>
      </c>
      <c r="H119" s="383">
        <v>1912</v>
      </c>
      <c r="I119" s="382">
        <v>1801</v>
      </c>
      <c r="J119" s="382">
        <v>11</v>
      </c>
      <c r="K119" s="384">
        <v>87.95</v>
      </c>
      <c r="L119" s="384">
        <v>86.45</v>
      </c>
      <c r="M119" s="384">
        <v>5.0999999999999996</v>
      </c>
      <c r="N119" s="384">
        <v>91.06</v>
      </c>
      <c r="O119" s="385">
        <v>1277</v>
      </c>
      <c r="P119" s="382">
        <v>93.78</v>
      </c>
      <c r="Q119" s="382">
        <v>83.12</v>
      </c>
      <c r="R119" s="382">
        <v>52.1</v>
      </c>
      <c r="S119" s="382">
        <v>145.69999999999999</v>
      </c>
      <c r="T119" s="382">
        <v>284</v>
      </c>
      <c r="U119" s="382">
        <v>99.34</v>
      </c>
      <c r="V119" s="382">
        <v>106</v>
      </c>
      <c r="W119" s="382">
        <v>0</v>
      </c>
      <c r="X119" s="382">
        <v>0</v>
      </c>
      <c r="Y119" s="382">
        <v>0</v>
      </c>
      <c r="Z119" s="382">
        <v>1</v>
      </c>
      <c r="AA119" s="382">
        <v>24</v>
      </c>
      <c r="AB119" s="382">
        <v>7</v>
      </c>
      <c r="AC119" s="382">
        <v>4</v>
      </c>
      <c r="AD119" s="386">
        <v>1404</v>
      </c>
      <c r="AE119" s="386">
        <v>8</v>
      </c>
      <c r="AF119" s="386">
        <v>22</v>
      </c>
      <c r="AG119" s="386">
        <v>30</v>
      </c>
    </row>
    <row r="120" spans="1:33" x14ac:dyDescent="0.25">
      <c r="A120" s="381" t="s">
        <v>300</v>
      </c>
      <c r="B120" s="387" t="s">
        <v>301</v>
      </c>
      <c r="C120" s="383">
        <v>11555</v>
      </c>
      <c r="D120" s="383">
        <v>68</v>
      </c>
      <c r="E120" s="383">
        <v>490</v>
      </c>
      <c r="F120" s="383">
        <v>785</v>
      </c>
      <c r="G120" s="383">
        <v>1815</v>
      </c>
      <c r="H120" s="383">
        <v>14713</v>
      </c>
      <c r="I120" s="382">
        <v>12898</v>
      </c>
      <c r="J120" s="382">
        <v>568</v>
      </c>
      <c r="K120" s="384">
        <v>116.02</v>
      </c>
      <c r="L120" s="384">
        <v>117.19</v>
      </c>
      <c r="M120" s="384">
        <v>10.56</v>
      </c>
      <c r="N120" s="384">
        <v>123.07</v>
      </c>
      <c r="O120" s="385">
        <v>10120</v>
      </c>
      <c r="P120" s="382">
        <v>106.66</v>
      </c>
      <c r="Q120" s="382">
        <v>102.93</v>
      </c>
      <c r="R120" s="382">
        <v>47.29</v>
      </c>
      <c r="S120" s="382">
        <v>151.85</v>
      </c>
      <c r="T120" s="382">
        <v>946</v>
      </c>
      <c r="U120" s="382">
        <v>163.08000000000001</v>
      </c>
      <c r="V120" s="382">
        <v>732</v>
      </c>
      <c r="W120" s="382">
        <v>0</v>
      </c>
      <c r="X120" s="382">
        <v>0</v>
      </c>
      <c r="Y120" s="382">
        <v>65</v>
      </c>
      <c r="Z120" s="382">
        <v>6</v>
      </c>
      <c r="AA120" s="382">
        <v>1</v>
      </c>
      <c r="AB120" s="382">
        <v>253</v>
      </c>
      <c r="AC120" s="382">
        <v>72</v>
      </c>
      <c r="AD120" s="386">
        <v>11280</v>
      </c>
      <c r="AE120" s="386">
        <v>71</v>
      </c>
      <c r="AF120" s="386">
        <v>37</v>
      </c>
      <c r="AG120" s="386">
        <v>108</v>
      </c>
    </row>
    <row r="121" spans="1:33" x14ac:dyDescent="0.25">
      <c r="A121" s="381" t="s">
        <v>302</v>
      </c>
      <c r="B121" s="387" t="s">
        <v>303</v>
      </c>
      <c r="C121" s="383">
        <v>1947</v>
      </c>
      <c r="D121" s="383">
        <v>10</v>
      </c>
      <c r="E121" s="383">
        <v>354</v>
      </c>
      <c r="F121" s="383">
        <v>223</v>
      </c>
      <c r="G121" s="383">
        <v>372</v>
      </c>
      <c r="H121" s="383">
        <v>2906</v>
      </c>
      <c r="I121" s="382">
        <v>2534</v>
      </c>
      <c r="J121" s="382">
        <v>51</v>
      </c>
      <c r="K121" s="384">
        <v>125.92</v>
      </c>
      <c r="L121" s="384">
        <v>124.72</v>
      </c>
      <c r="M121" s="384">
        <v>7.37</v>
      </c>
      <c r="N121" s="384">
        <v>132.18</v>
      </c>
      <c r="O121" s="385">
        <v>1384</v>
      </c>
      <c r="P121" s="382">
        <v>94.68</v>
      </c>
      <c r="Q121" s="382">
        <v>92.86</v>
      </c>
      <c r="R121" s="382">
        <v>67.92</v>
      </c>
      <c r="S121" s="382">
        <v>161.99</v>
      </c>
      <c r="T121" s="382">
        <v>223</v>
      </c>
      <c r="U121" s="382">
        <v>157.69999999999999</v>
      </c>
      <c r="V121" s="382">
        <v>119</v>
      </c>
      <c r="W121" s="382">
        <v>131.65</v>
      </c>
      <c r="X121" s="382">
        <v>6</v>
      </c>
      <c r="Y121" s="382">
        <v>6</v>
      </c>
      <c r="Z121" s="382">
        <v>0</v>
      </c>
      <c r="AA121" s="382">
        <v>0</v>
      </c>
      <c r="AB121" s="382">
        <v>9</v>
      </c>
      <c r="AC121" s="382">
        <v>18</v>
      </c>
      <c r="AD121" s="386">
        <v>1767</v>
      </c>
      <c r="AE121" s="386">
        <v>7</v>
      </c>
      <c r="AF121" s="386">
        <v>1</v>
      </c>
      <c r="AG121" s="386">
        <v>8</v>
      </c>
    </row>
    <row r="122" spans="1:33" x14ac:dyDescent="0.25">
      <c r="A122" s="381" t="s">
        <v>304</v>
      </c>
      <c r="B122" s="387" t="s">
        <v>305</v>
      </c>
      <c r="C122" s="383">
        <v>19891</v>
      </c>
      <c r="D122" s="383">
        <v>507</v>
      </c>
      <c r="E122" s="383">
        <v>1657</v>
      </c>
      <c r="F122" s="383">
        <v>1681</v>
      </c>
      <c r="G122" s="383">
        <v>2839</v>
      </c>
      <c r="H122" s="383">
        <v>26575</v>
      </c>
      <c r="I122" s="382">
        <v>23736</v>
      </c>
      <c r="J122" s="382">
        <v>350</v>
      </c>
      <c r="K122" s="384">
        <v>120.22</v>
      </c>
      <c r="L122" s="384">
        <v>125.87</v>
      </c>
      <c r="M122" s="384">
        <v>11.73</v>
      </c>
      <c r="N122" s="384">
        <v>128.53</v>
      </c>
      <c r="O122" s="385">
        <v>17226</v>
      </c>
      <c r="P122" s="382">
        <v>108.68</v>
      </c>
      <c r="Q122" s="382">
        <v>107.21</v>
      </c>
      <c r="R122" s="382">
        <v>38.71</v>
      </c>
      <c r="S122" s="382">
        <v>146.13</v>
      </c>
      <c r="T122" s="382">
        <v>2836</v>
      </c>
      <c r="U122" s="382">
        <v>195.08</v>
      </c>
      <c r="V122" s="382">
        <v>643</v>
      </c>
      <c r="W122" s="382">
        <v>198.08</v>
      </c>
      <c r="X122" s="382">
        <v>5</v>
      </c>
      <c r="Y122" s="382">
        <v>0</v>
      </c>
      <c r="Z122" s="382">
        <v>35</v>
      </c>
      <c r="AA122" s="382">
        <v>1</v>
      </c>
      <c r="AB122" s="382">
        <v>151</v>
      </c>
      <c r="AC122" s="382">
        <v>141</v>
      </c>
      <c r="AD122" s="386">
        <v>18415</v>
      </c>
      <c r="AE122" s="386">
        <v>161</v>
      </c>
      <c r="AF122" s="386">
        <v>80</v>
      </c>
      <c r="AG122" s="386">
        <v>241</v>
      </c>
    </row>
    <row r="123" spans="1:33" x14ac:dyDescent="0.25">
      <c r="A123" s="381" t="s">
        <v>306</v>
      </c>
      <c r="B123" s="387" t="s">
        <v>307</v>
      </c>
      <c r="C123" s="383">
        <v>13091</v>
      </c>
      <c r="D123" s="383">
        <v>0</v>
      </c>
      <c r="E123" s="383">
        <v>484</v>
      </c>
      <c r="F123" s="383">
        <v>501</v>
      </c>
      <c r="G123" s="383">
        <v>321</v>
      </c>
      <c r="H123" s="383">
        <v>14397</v>
      </c>
      <c r="I123" s="382">
        <v>14076</v>
      </c>
      <c r="J123" s="382">
        <v>2</v>
      </c>
      <c r="K123" s="384">
        <v>83.3</v>
      </c>
      <c r="L123" s="384">
        <v>84.13</v>
      </c>
      <c r="M123" s="384">
        <v>3.45</v>
      </c>
      <c r="N123" s="384">
        <v>86.58</v>
      </c>
      <c r="O123" s="385">
        <v>12311</v>
      </c>
      <c r="P123" s="382">
        <v>84.97</v>
      </c>
      <c r="Q123" s="382">
        <v>81.2</v>
      </c>
      <c r="R123" s="382">
        <v>33.83</v>
      </c>
      <c r="S123" s="382">
        <v>118.43</v>
      </c>
      <c r="T123" s="382">
        <v>839</v>
      </c>
      <c r="U123" s="382">
        <v>99.64</v>
      </c>
      <c r="V123" s="382">
        <v>748</v>
      </c>
      <c r="W123" s="382">
        <v>108.97</v>
      </c>
      <c r="X123" s="382">
        <v>43</v>
      </c>
      <c r="Y123" s="382">
        <v>228</v>
      </c>
      <c r="Z123" s="382">
        <v>32</v>
      </c>
      <c r="AA123" s="382">
        <v>2</v>
      </c>
      <c r="AB123" s="382">
        <v>4</v>
      </c>
      <c r="AC123" s="382">
        <v>6</v>
      </c>
      <c r="AD123" s="386">
        <v>13091</v>
      </c>
      <c r="AE123" s="386">
        <v>75</v>
      </c>
      <c r="AF123" s="386">
        <v>56</v>
      </c>
      <c r="AG123" s="386">
        <v>131</v>
      </c>
    </row>
    <row r="124" spans="1:33" x14ac:dyDescent="0.25">
      <c r="A124" s="381" t="s">
        <v>308</v>
      </c>
      <c r="B124" s="387" t="s">
        <v>309</v>
      </c>
      <c r="C124" s="383">
        <v>4832</v>
      </c>
      <c r="D124" s="383">
        <v>0</v>
      </c>
      <c r="E124" s="383">
        <v>150</v>
      </c>
      <c r="F124" s="383">
        <v>292</v>
      </c>
      <c r="G124" s="383">
        <v>87</v>
      </c>
      <c r="H124" s="383">
        <v>5361</v>
      </c>
      <c r="I124" s="382">
        <v>5274</v>
      </c>
      <c r="J124" s="382">
        <v>2</v>
      </c>
      <c r="K124" s="384">
        <v>91.05</v>
      </c>
      <c r="L124" s="384">
        <v>94.1</v>
      </c>
      <c r="M124" s="384">
        <v>1.61</v>
      </c>
      <c r="N124" s="384">
        <v>92.47</v>
      </c>
      <c r="O124" s="385">
        <v>4678</v>
      </c>
      <c r="P124" s="382">
        <v>100.33</v>
      </c>
      <c r="Q124" s="382">
        <v>86.72</v>
      </c>
      <c r="R124" s="382">
        <v>58.57</v>
      </c>
      <c r="S124" s="382">
        <v>158.4</v>
      </c>
      <c r="T124" s="382">
        <v>349</v>
      </c>
      <c r="U124" s="382">
        <v>104.63</v>
      </c>
      <c r="V124" s="382">
        <v>75</v>
      </c>
      <c r="W124" s="382">
        <v>164.56</v>
      </c>
      <c r="X124" s="382">
        <v>44</v>
      </c>
      <c r="Y124" s="382">
        <v>0</v>
      </c>
      <c r="Z124" s="382">
        <v>7</v>
      </c>
      <c r="AA124" s="382">
        <v>1</v>
      </c>
      <c r="AB124" s="382">
        <v>0</v>
      </c>
      <c r="AC124" s="382">
        <v>0</v>
      </c>
      <c r="AD124" s="386">
        <v>4817</v>
      </c>
      <c r="AE124" s="386">
        <v>8</v>
      </c>
      <c r="AF124" s="386">
        <v>43</v>
      </c>
      <c r="AG124" s="386">
        <v>51</v>
      </c>
    </row>
    <row r="125" spans="1:33" x14ac:dyDescent="0.25">
      <c r="A125" s="381" t="s">
        <v>310</v>
      </c>
      <c r="B125" s="387" t="s">
        <v>311</v>
      </c>
      <c r="C125" s="383">
        <v>11333</v>
      </c>
      <c r="D125" s="383">
        <v>37</v>
      </c>
      <c r="E125" s="383">
        <v>1184</v>
      </c>
      <c r="F125" s="383">
        <v>629</v>
      </c>
      <c r="G125" s="383">
        <v>1224</v>
      </c>
      <c r="H125" s="383">
        <v>14407</v>
      </c>
      <c r="I125" s="382">
        <v>13183</v>
      </c>
      <c r="J125" s="382">
        <v>172</v>
      </c>
      <c r="K125" s="384">
        <v>128.15</v>
      </c>
      <c r="L125" s="384">
        <v>139.24</v>
      </c>
      <c r="M125" s="384">
        <v>9.7200000000000006</v>
      </c>
      <c r="N125" s="384">
        <v>132.85</v>
      </c>
      <c r="O125" s="385">
        <v>10042</v>
      </c>
      <c r="P125" s="382">
        <v>109.24</v>
      </c>
      <c r="Q125" s="382">
        <v>114.4</v>
      </c>
      <c r="R125" s="382">
        <v>47.17</v>
      </c>
      <c r="S125" s="382">
        <v>152.36000000000001</v>
      </c>
      <c r="T125" s="382">
        <v>1361</v>
      </c>
      <c r="U125" s="382">
        <v>206.75</v>
      </c>
      <c r="V125" s="382">
        <v>517</v>
      </c>
      <c r="W125" s="382">
        <v>214.27</v>
      </c>
      <c r="X125" s="382">
        <v>40</v>
      </c>
      <c r="Y125" s="382">
        <v>0</v>
      </c>
      <c r="Z125" s="382">
        <v>3</v>
      </c>
      <c r="AA125" s="382">
        <v>38</v>
      </c>
      <c r="AB125" s="382">
        <v>150</v>
      </c>
      <c r="AC125" s="382">
        <v>37</v>
      </c>
      <c r="AD125" s="386">
        <v>10884</v>
      </c>
      <c r="AE125" s="386">
        <v>41</v>
      </c>
      <c r="AF125" s="386">
        <v>46</v>
      </c>
      <c r="AG125" s="386">
        <v>87</v>
      </c>
    </row>
    <row r="126" spans="1:33" x14ac:dyDescent="0.25">
      <c r="A126" s="381" t="s">
        <v>312</v>
      </c>
      <c r="B126" s="387" t="s">
        <v>313</v>
      </c>
      <c r="C126" s="383">
        <v>2105</v>
      </c>
      <c r="D126" s="383">
        <v>0</v>
      </c>
      <c r="E126" s="383">
        <v>514</v>
      </c>
      <c r="F126" s="383">
        <v>444</v>
      </c>
      <c r="G126" s="383">
        <v>376</v>
      </c>
      <c r="H126" s="383">
        <v>3439</v>
      </c>
      <c r="I126" s="382">
        <v>3063</v>
      </c>
      <c r="J126" s="382">
        <v>0</v>
      </c>
      <c r="K126" s="384">
        <v>89.72</v>
      </c>
      <c r="L126" s="384">
        <v>90.95</v>
      </c>
      <c r="M126" s="384">
        <v>2.66</v>
      </c>
      <c r="N126" s="384">
        <v>91.36</v>
      </c>
      <c r="O126" s="385">
        <v>2025</v>
      </c>
      <c r="P126" s="382">
        <v>81.99</v>
      </c>
      <c r="Q126" s="382">
        <v>83.9</v>
      </c>
      <c r="R126" s="382">
        <v>15.34</v>
      </c>
      <c r="S126" s="382">
        <v>95.53</v>
      </c>
      <c r="T126" s="382">
        <v>934</v>
      </c>
      <c r="U126" s="382">
        <v>107.49</v>
      </c>
      <c r="V126" s="382">
        <v>63</v>
      </c>
      <c r="W126" s="382">
        <v>0</v>
      </c>
      <c r="X126" s="382">
        <v>0</v>
      </c>
      <c r="Y126" s="382">
        <v>0</v>
      </c>
      <c r="Z126" s="382">
        <v>11</v>
      </c>
      <c r="AA126" s="382">
        <v>0</v>
      </c>
      <c r="AB126" s="382">
        <v>24</v>
      </c>
      <c r="AC126" s="382">
        <v>14</v>
      </c>
      <c r="AD126" s="386">
        <v>2105</v>
      </c>
      <c r="AE126" s="386">
        <v>18</v>
      </c>
      <c r="AF126" s="386">
        <v>25</v>
      </c>
      <c r="AG126" s="386">
        <v>43</v>
      </c>
    </row>
    <row r="127" spans="1:33" x14ac:dyDescent="0.25">
      <c r="A127" s="381" t="s">
        <v>314</v>
      </c>
      <c r="B127" s="387" t="s">
        <v>315</v>
      </c>
      <c r="C127" s="383">
        <v>9565</v>
      </c>
      <c r="D127" s="383">
        <v>314</v>
      </c>
      <c r="E127" s="383">
        <v>892</v>
      </c>
      <c r="F127" s="383">
        <v>787</v>
      </c>
      <c r="G127" s="383">
        <v>1694</v>
      </c>
      <c r="H127" s="383">
        <v>13252</v>
      </c>
      <c r="I127" s="382">
        <v>11558</v>
      </c>
      <c r="J127" s="382">
        <v>205</v>
      </c>
      <c r="K127" s="384">
        <v>118.74</v>
      </c>
      <c r="L127" s="384">
        <v>120.63</v>
      </c>
      <c r="M127" s="384">
        <v>10.14</v>
      </c>
      <c r="N127" s="384">
        <v>124.4</v>
      </c>
      <c r="O127" s="385">
        <v>8135</v>
      </c>
      <c r="P127" s="382">
        <v>103.7</v>
      </c>
      <c r="Q127" s="382">
        <v>101.29</v>
      </c>
      <c r="R127" s="382">
        <v>49.6</v>
      </c>
      <c r="S127" s="382">
        <v>148.97</v>
      </c>
      <c r="T127" s="382">
        <v>1180</v>
      </c>
      <c r="U127" s="382">
        <v>161.43</v>
      </c>
      <c r="V127" s="382">
        <v>363</v>
      </c>
      <c r="W127" s="382">
        <v>176.58</v>
      </c>
      <c r="X127" s="382">
        <v>1</v>
      </c>
      <c r="Y127" s="382">
        <v>62</v>
      </c>
      <c r="Z127" s="382">
        <v>4</v>
      </c>
      <c r="AA127" s="382">
        <v>6</v>
      </c>
      <c r="AB127" s="382">
        <v>80</v>
      </c>
      <c r="AC127" s="382">
        <v>95</v>
      </c>
      <c r="AD127" s="386">
        <v>8795</v>
      </c>
      <c r="AE127" s="386">
        <v>50</v>
      </c>
      <c r="AF127" s="386">
        <v>44</v>
      </c>
      <c r="AG127" s="386">
        <v>94</v>
      </c>
    </row>
    <row r="128" spans="1:33" x14ac:dyDescent="0.25">
      <c r="A128" s="381" t="s">
        <v>316</v>
      </c>
      <c r="B128" s="387" t="s">
        <v>317</v>
      </c>
      <c r="C128" s="383">
        <v>1120</v>
      </c>
      <c r="D128" s="383">
        <v>57</v>
      </c>
      <c r="E128" s="383">
        <v>309</v>
      </c>
      <c r="F128" s="383">
        <v>258</v>
      </c>
      <c r="G128" s="383">
        <v>280</v>
      </c>
      <c r="H128" s="383">
        <v>2024</v>
      </c>
      <c r="I128" s="382">
        <v>1744</v>
      </c>
      <c r="J128" s="382">
        <v>2</v>
      </c>
      <c r="K128" s="384">
        <v>105.43</v>
      </c>
      <c r="L128" s="384">
        <v>102.95</v>
      </c>
      <c r="M128" s="384">
        <v>7.23</v>
      </c>
      <c r="N128" s="384">
        <v>111.91</v>
      </c>
      <c r="O128" s="385">
        <v>1021</v>
      </c>
      <c r="P128" s="382">
        <v>90.13</v>
      </c>
      <c r="Q128" s="382">
        <v>87.08</v>
      </c>
      <c r="R128" s="382">
        <v>38.49</v>
      </c>
      <c r="S128" s="382">
        <v>128</v>
      </c>
      <c r="T128" s="382">
        <v>496</v>
      </c>
      <c r="U128" s="382">
        <v>143.81</v>
      </c>
      <c r="V128" s="382">
        <v>107</v>
      </c>
      <c r="W128" s="382">
        <v>0</v>
      </c>
      <c r="X128" s="382">
        <v>0</v>
      </c>
      <c r="Y128" s="382">
        <v>0</v>
      </c>
      <c r="Z128" s="382">
        <v>1</v>
      </c>
      <c r="AA128" s="382">
        <v>0</v>
      </c>
      <c r="AB128" s="382">
        <v>26</v>
      </c>
      <c r="AC128" s="382">
        <v>3</v>
      </c>
      <c r="AD128" s="386">
        <v>1117</v>
      </c>
      <c r="AE128" s="386">
        <v>6</v>
      </c>
      <c r="AF128" s="386">
        <v>0</v>
      </c>
      <c r="AG128" s="386">
        <v>6</v>
      </c>
    </row>
    <row r="129" spans="1:33" x14ac:dyDescent="0.25">
      <c r="A129" s="381" t="s">
        <v>318</v>
      </c>
      <c r="B129" s="387" t="s">
        <v>319</v>
      </c>
      <c r="C129" s="383">
        <v>2099</v>
      </c>
      <c r="D129" s="383">
        <v>15</v>
      </c>
      <c r="E129" s="383">
        <v>248</v>
      </c>
      <c r="F129" s="383">
        <v>367</v>
      </c>
      <c r="G129" s="383">
        <v>251</v>
      </c>
      <c r="H129" s="383">
        <v>2980</v>
      </c>
      <c r="I129" s="382">
        <v>2729</v>
      </c>
      <c r="J129" s="382">
        <v>10</v>
      </c>
      <c r="K129" s="384">
        <v>94.96</v>
      </c>
      <c r="L129" s="384">
        <v>94.24</v>
      </c>
      <c r="M129" s="384">
        <v>6.57</v>
      </c>
      <c r="N129" s="384">
        <v>99.31</v>
      </c>
      <c r="O129" s="385">
        <v>1693</v>
      </c>
      <c r="P129" s="382">
        <v>97.69</v>
      </c>
      <c r="Q129" s="382">
        <v>82.61</v>
      </c>
      <c r="R129" s="382">
        <v>34.06</v>
      </c>
      <c r="S129" s="382">
        <v>131</v>
      </c>
      <c r="T129" s="382">
        <v>452</v>
      </c>
      <c r="U129" s="382">
        <v>110.82</v>
      </c>
      <c r="V129" s="382">
        <v>226</v>
      </c>
      <c r="W129" s="382">
        <v>219.4</v>
      </c>
      <c r="X129" s="382">
        <v>9</v>
      </c>
      <c r="Y129" s="382">
        <v>0</v>
      </c>
      <c r="Z129" s="382">
        <v>4</v>
      </c>
      <c r="AA129" s="382">
        <v>7</v>
      </c>
      <c r="AB129" s="382">
        <v>6</v>
      </c>
      <c r="AC129" s="382">
        <v>3</v>
      </c>
      <c r="AD129" s="386">
        <v>1905</v>
      </c>
      <c r="AE129" s="386">
        <v>12</v>
      </c>
      <c r="AF129" s="386">
        <v>20</v>
      </c>
      <c r="AG129" s="386">
        <v>32</v>
      </c>
    </row>
    <row r="130" spans="1:33" x14ac:dyDescent="0.25">
      <c r="A130" s="381" t="s">
        <v>320</v>
      </c>
      <c r="B130" s="387" t="s">
        <v>321</v>
      </c>
      <c r="C130" s="383">
        <v>3097</v>
      </c>
      <c r="D130" s="383">
        <v>2</v>
      </c>
      <c r="E130" s="383">
        <v>403</v>
      </c>
      <c r="F130" s="383">
        <v>568</v>
      </c>
      <c r="G130" s="383">
        <v>1023</v>
      </c>
      <c r="H130" s="383">
        <v>5093</v>
      </c>
      <c r="I130" s="382">
        <v>4070</v>
      </c>
      <c r="J130" s="382">
        <v>28</v>
      </c>
      <c r="K130" s="384">
        <v>130.62</v>
      </c>
      <c r="L130" s="384">
        <v>131.51</v>
      </c>
      <c r="M130" s="384">
        <v>10.19</v>
      </c>
      <c r="N130" s="384">
        <v>136.74</v>
      </c>
      <c r="O130" s="385">
        <v>2719</v>
      </c>
      <c r="P130" s="382">
        <v>100.19</v>
      </c>
      <c r="Q130" s="382">
        <v>96.05</v>
      </c>
      <c r="R130" s="382">
        <v>23.36</v>
      </c>
      <c r="S130" s="382">
        <v>122.54</v>
      </c>
      <c r="T130" s="382">
        <v>507</v>
      </c>
      <c r="U130" s="382">
        <v>167.28</v>
      </c>
      <c r="V130" s="382">
        <v>142</v>
      </c>
      <c r="W130" s="382">
        <v>0</v>
      </c>
      <c r="X130" s="382">
        <v>0</v>
      </c>
      <c r="Y130" s="382">
        <v>0</v>
      </c>
      <c r="Z130" s="382">
        <v>6</v>
      </c>
      <c r="AA130" s="382">
        <v>0</v>
      </c>
      <c r="AB130" s="382">
        <v>13</v>
      </c>
      <c r="AC130" s="382">
        <v>44</v>
      </c>
      <c r="AD130" s="386">
        <v>3017</v>
      </c>
      <c r="AE130" s="386">
        <v>9</v>
      </c>
      <c r="AF130" s="386">
        <v>8</v>
      </c>
      <c r="AG130" s="386">
        <v>17</v>
      </c>
    </row>
    <row r="131" spans="1:33" x14ac:dyDescent="0.25">
      <c r="A131" s="381" t="s">
        <v>322</v>
      </c>
      <c r="B131" s="387" t="s">
        <v>323</v>
      </c>
      <c r="C131" s="383">
        <v>2467</v>
      </c>
      <c r="D131" s="383">
        <v>0</v>
      </c>
      <c r="E131" s="383">
        <v>49</v>
      </c>
      <c r="F131" s="383">
        <v>425</v>
      </c>
      <c r="G131" s="383">
        <v>469</v>
      </c>
      <c r="H131" s="383">
        <v>3410</v>
      </c>
      <c r="I131" s="382">
        <v>2941</v>
      </c>
      <c r="J131" s="382">
        <v>3</v>
      </c>
      <c r="K131" s="384">
        <v>117.66</v>
      </c>
      <c r="L131" s="384">
        <v>118.95</v>
      </c>
      <c r="M131" s="384">
        <v>4.5199999999999996</v>
      </c>
      <c r="N131" s="384">
        <v>119.37</v>
      </c>
      <c r="O131" s="385">
        <v>2260</v>
      </c>
      <c r="P131" s="382">
        <v>99.28</v>
      </c>
      <c r="Q131" s="382">
        <v>99.75</v>
      </c>
      <c r="R131" s="382">
        <v>27.1</v>
      </c>
      <c r="S131" s="382">
        <v>126.06</v>
      </c>
      <c r="T131" s="382">
        <v>421</v>
      </c>
      <c r="U131" s="382">
        <v>153.76</v>
      </c>
      <c r="V131" s="382">
        <v>171</v>
      </c>
      <c r="W131" s="382">
        <v>0</v>
      </c>
      <c r="X131" s="382">
        <v>0</v>
      </c>
      <c r="Y131" s="382">
        <v>0</v>
      </c>
      <c r="Z131" s="382">
        <v>2</v>
      </c>
      <c r="AA131" s="382">
        <v>0</v>
      </c>
      <c r="AB131" s="382">
        <v>21</v>
      </c>
      <c r="AC131" s="382">
        <v>23</v>
      </c>
      <c r="AD131" s="386">
        <v>2467</v>
      </c>
      <c r="AE131" s="386">
        <v>45</v>
      </c>
      <c r="AF131" s="386">
        <v>1</v>
      </c>
      <c r="AG131" s="386">
        <v>46</v>
      </c>
    </row>
    <row r="132" spans="1:33" x14ac:dyDescent="0.25">
      <c r="A132" s="381" t="s">
        <v>324</v>
      </c>
      <c r="B132" s="387" t="s">
        <v>325</v>
      </c>
      <c r="C132" s="383">
        <v>7602</v>
      </c>
      <c r="D132" s="383">
        <v>0</v>
      </c>
      <c r="E132" s="383">
        <v>338</v>
      </c>
      <c r="F132" s="383">
        <v>1986</v>
      </c>
      <c r="G132" s="383">
        <v>214</v>
      </c>
      <c r="H132" s="383">
        <v>10140</v>
      </c>
      <c r="I132" s="382">
        <v>9926</v>
      </c>
      <c r="J132" s="382">
        <v>50</v>
      </c>
      <c r="K132" s="384">
        <v>81.94</v>
      </c>
      <c r="L132" s="384">
        <v>81.58</v>
      </c>
      <c r="M132" s="384">
        <v>4.68</v>
      </c>
      <c r="N132" s="384">
        <v>83.76</v>
      </c>
      <c r="O132" s="385">
        <v>6704</v>
      </c>
      <c r="P132" s="382">
        <v>78.819999999999993</v>
      </c>
      <c r="Q132" s="382">
        <v>78.34</v>
      </c>
      <c r="R132" s="382">
        <v>27.73</v>
      </c>
      <c r="S132" s="382">
        <v>95.23</v>
      </c>
      <c r="T132" s="382">
        <v>2244</v>
      </c>
      <c r="U132" s="382">
        <v>92.5</v>
      </c>
      <c r="V132" s="382">
        <v>837</v>
      </c>
      <c r="W132" s="382">
        <v>93.97</v>
      </c>
      <c r="X132" s="382">
        <v>43</v>
      </c>
      <c r="Y132" s="382">
        <v>0</v>
      </c>
      <c r="Z132" s="382">
        <v>26</v>
      </c>
      <c r="AA132" s="382">
        <v>2</v>
      </c>
      <c r="AB132" s="382">
        <v>5</v>
      </c>
      <c r="AC132" s="382">
        <v>1</v>
      </c>
      <c r="AD132" s="386">
        <v>7578</v>
      </c>
      <c r="AE132" s="386">
        <v>155</v>
      </c>
      <c r="AF132" s="386">
        <v>59</v>
      </c>
      <c r="AG132" s="386">
        <v>214</v>
      </c>
    </row>
    <row r="133" spans="1:33" x14ac:dyDescent="0.25">
      <c r="A133" s="381" t="s">
        <v>326</v>
      </c>
      <c r="B133" s="387" t="s">
        <v>327</v>
      </c>
      <c r="C133" s="383">
        <v>5018</v>
      </c>
      <c r="D133" s="383">
        <v>0</v>
      </c>
      <c r="E133" s="383">
        <v>272</v>
      </c>
      <c r="F133" s="383">
        <v>716</v>
      </c>
      <c r="G133" s="383">
        <v>158</v>
      </c>
      <c r="H133" s="383">
        <v>6164</v>
      </c>
      <c r="I133" s="382">
        <v>6006</v>
      </c>
      <c r="J133" s="382">
        <v>1</v>
      </c>
      <c r="K133" s="384">
        <v>90.55</v>
      </c>
      <c r="L133" s="384">
        <v>84.42</v>
      </c>
      <c r="M133" s="384">
        <v>6.65</v>
      </c>
      <c r="N133" s="384">
        <v>95.94</v>
      </c>
      <c r="O133" s="385">
        <v>4534</v>
      </c>
      <c r="P133" s="382">
        <v>71.8</v>
      </c>
      <c r="Q133" s="382">
        <v>68.989999999999995</v>
      </c>
      <c r="R133" s="382">
        <v>31.43</v>
      </c>
      <c r="S133" s="382">
        <v>101.71</v>
      </c>
      <c r="T133" s="382">
        <v>827</v>
      </c>
      <c r="U133" s="382">
        <v>112.29</v>
      </c>
      <c r="V133" s="382">
        <v>394</v>
      </c>
      <c r="W133" s="382">
        <v>0</v>
      </c>
      <c r="X133" s="382">
        <v>0</v>
      </c>
      <c r="Y133" s="382">
        <v>168</v>
      </c>
      <c r="Z133" s="382">
        <v>11</v>
      </c>
      <c r="AA133" s="382">
        <v>11</v>
      </c>
      <c r="AB133" s="382">
        <v>2</v>
      </c>
      <c r="AC133" s="382">
        <v>7</v>
      </c>
      <c r="AD133" s="386">
        <v>4935</v>
      </c>
      <c r="AE133" s="386">
        <v>20</v>
      </c>
      <c r="AF133" s="386">
        <v>12</v>
      </c>
      <c r="AG133" s="386">
        <v>32</v>
      </c>
    </row>
    <row r="134" spans="1:33" x14ac:dyDescent="0.25">
      <c r="A134" s="381" t="s">
        <v>328</v>
      </c>
      <c r="B134" s="387" t="s">
        <v>329</v>
      </c>
      <c r="C134" s="383">
        <v>4069</v>
      </c>
      <c r="D134" s="383">
        <v>0</v>
      </c>
      <c r="E134" s="383">
        <v>240</v>
      </c>
      <c r="F134" s="383">
        <v>1068</v>
      </c>
      <c r="G134" s="383">
        <v>299</v>
      </c>
      <c r="H134" s="383">
        <v>5676</v>
      </c>
      <c r="I134" s="382">
        <v>5377</v>
      </c>
      <c r="J134" s="382">
        <v>0</v>
      </c>
      <c r="K134" s="384">
        <v>105.79</v>
      </c>
      <c r="L134" s="384">
        <v>102.12</v>
      </c>
      <c r="M134" s="384">
        <v>8.43</v>
      </c>
      <c r="N134" s="384">
        <v>109.86</v>
      </c>
      <c r="O134" s="385">
        <v>3673</v>
      </c>
      <c r="P134" s="382">
        <v>95.46</v>
      </c>
      <c r="Q134" s="382">
        <v>88.31</v>
      </c>
      <c r="R134" s="382">
        <v>17.68</v>
      </c>
      <c r="S134" s="382">
        <v>113.03</v>
      </c>
      <c r="T134" s="382">
        <v>1134</v>
      </c>
      <c r="U134" s="382">
        <v>143.4</v>
      </c>
      <c r="V134" s="382">
        <v>289</v>
      </c>
      <c r="W134" s="382">
        <v>145.34</v>
      </c>
      <c r="X134" s="382">
        <v>14</v>
      </c>
      <c r="Y134" s="382">
        <v>0</v>
      </c>
      <c r="Z134" s="382">
        <v>3</v>
      </c>
      <c r="AA134" s="382">
        <v>4</v>
      </c>
      <c r="AB134" s="382">
        <v>31</v>
      </c>
      <c r="AC134" s="382">
        <v>6</v>
      </c>
      <c r="AD134" s="386">
        <v>4061</v>
      </c>
      <c r="AE134" s="386">
        <v>34</v>
      </c>
      <c r="AF134" s="386">
        <v>24</v>
      </c>
      <c r="AG134" s="386">
        <v>58</v>
      </c>
    </row>
    <row r="135" spans="1:33" x14ac:dyDescent="0.25">
      <c r="A135" s="381" t="s">
        <v>330</v>
      </c>
      <c r="B135" s="387" t="s">
        <v>331</v>
      </c>
      <c r="C135" s="383">
        <v>3504</v>
      </c>
      <c r="D135" s="383">
        <v>354</v>
      </c>
      <c r="E135" s="383">
        <v>178</v>
      </c>
      <c r="F135" s="383">
        <v>514</v>
      </c>
      <c r="G135" s="383">
        <v>647</v>
      </c>
      <c r="H135" s="383">
        <v>5197</v>
      </c>
      <c r="I135" s="382">
        <v>4550</v>
      </c>
      <c r="J135" s="382">
        <v>11</v>
      </c>
      <c r="K135" s="384">
        <v>118.4</v>
      </c>
      <c r="L135" s="384">
        <v>117.02</v>
      </c>
      <c r="M135" s="384">
        <v>8.15</v>
      </c>
      <c r="N135" s="384">
        <v>124.81</v>
      </c>
      <c r="O135" s="385">
        <v>2610</v>
      </c>
      <c r="P135" s="382">
        <v>102.7</v>
      </c>
      <c r="Q135" s="382">
        <v>98.88</v>
      </c>
      <c r="R135" s="382">
        <v>32.44</v>
      </c>
      <c r="S135" s="382">
        <v>133.47999999999999</v>
      </c>
      <c r="T135" s="382">
        <v>646</v>
      </c>
      <c r="U135" s="382">
        <v>175.4</v>
      </c>
      <c r="V135" s="382">
        <v>705</v>
      </c>
      <c r="W135" s="382">
        <v>192.44</v>
      </c>
      <c r="X135" s="382">
        <v>23</v>
      </c>
      <c r="Y135" s="382">
        <v>12</v>
      </c>
      <c r="Z135" s="382">
        <v>4</v>
      </c>
      <c r="AA135" s="382">
        <v>0</v>
      </c>
      <c r="AB135" s="382">
        <v>167</v>
      </c>
      <c r="AC135" s="382">
        <v>23</v>
      </c>
      <c r="AD135" s="386">
        <v>3474</v>
      </c>
      <c r="AE135" s="386">
        <v>18</v>
      </c>
      <c r="AF135" s="386">
        <v>88</v>
      </c>
      <c r="AG135" s="386">
        <v>106</v>
      </c>
    </row>
    <row r="136" spans="1:33" x14ac:dyDescent="0.25">
      <c r="A136" s="381" t="s">
        <v>332</v>
      </c>
      <c r="B136" s="387" t="s">
        <v>333</v>
      </c>
      <c r="C136" s="383">
        <v>8831</v>
      </c>
      <c r="D136" s="383">
        <v>0</v>
      </c>
      <c r="E136" s="383">
        <v>288</v>
      </c>
      <c r="F136" s="383">
        <v>1987</v>
      </c>
      <c r="G136" s="383">
        <v>700</v>
      </c>
      <c r="H136" s="383">
        <v>11806</v>
      </c>
      <c r="I136" s="382">
        <v>11106</v>
      </c>
      <c r="J136" s="382">
        <v>36</v>
      </c>
      <c r="K136" s="384">
        <v>89.85</v>
      </c>
      <c r="L136" s="384">
        <v>90.17</v>
      </c>
      <c r="M136" s="384">
        <v>3.44</v>
      </c>
      <c r="N136" s="384">
        <v>91.53</v>
      </c>
      <c r="O136" s="385">
        <v>8245</v>
      </c>
      <c r="P136" s="382">
        <v>81.09</v>
      </c>
      <c r="Q136" s="382">
        <v>82.18</v>
      </c>
      <c r="R136" s="382">
        <v>24.61</v>
      </c>
      <c r="S136" s="382">
        <v>100.25</v>
      </c>
      <c r="T136" s="382">
        <v>2188</v>
      </c>
      <c r="U136" s="382">
        <v>101.63</v>
      </c>
      <c r="V136" s="382">
        <v>461</v>
      </c>
      <c r="W136" s="382">
        <v>178.65</v>
      </c>
      <c r="X136" s="382">
        <v>30</v>
      </c>
      <c r="Y136" s="382">
        <v>1</v>
      </c>
      <c r="Z136" s="382">
        <v>24</v>
      </c>
      <c r="AA136" s="382">
        <v>9</v>
      </c>
      <c r="AB136" s="382">
        <v>14</v>
      </c>
      <c r="AC136" s="382">
        <v>6</v>
      </c>
      <c r="AD136" s="386">
        <v>8803</v>
      </c>
      <c r="AE136" s="386">
        <v>41</v>
      </c>
      <c r="AF136" s="386">
        <v>12</v>
      </c>
      <c r="AG136" s="386">
        <v>53</v>
      </c>
    </row>
    <row r="137" spans="1:33" x14ac:dyDescent="0.25">
      <c r="A137" s="381" t="s">
        <v>334</v>
      </c>
      <c r="B137" s="387" t="s">
        <v>335</v>
      </c>
      <c r="C137" s="383">
        <v>6192</v>
      </c>
      <c r="D137" s="383">
        <v>24</v>
      </c>
      <c r="E137" s="383">
        <v>166</v>
      </c>
      <c r="F137" s="383">
        <v>865</v>
      </c>
      <c r="G137" s="383">
        <v>479</v>
      </c>
      <c r="H137" s="383">
        <v>7726</v>
      </c>
      <c r="I137" s="382">
        <v>7247</v>
      </c>
      <c r="J137" s="382">
        <v>1</v>
      </c>
      <c r="K137" s="384">
        <v>120.33</v>
      </c>
      <c r="L137" s="384">
        <v>124.82</v>
      </c>
      <c r="M137" s="384">
        <v>9.5299999999999994</v>
      </c>
      <c r="N137" s="384">
        <v>124.84</v>
      </c>
      <c r="O137" s="385">
        <v>5481</v>
      </c>
      <c r="P137" s="382">
        <v>106.42</v>
      </c>
      <c r="Q137" s="382">
        <v>108.22</v>
      </c>
      <c r="R137" s="382">
        <v>29.98</v>
      </c>
      <c r="S137" s="382">
        <v>135.69</v>
      </c>
      <c r="T137" s="382">
        <v>966</v>
      </c>
      <c r="U137" s="382">
        <v>172.49</v>
      </c>
      <c r="V137" s="382">
        <v>538</v>
      </c>
      <c r="W137" s="382">
        <v>0</v>
      </c>
      <c r="X137" s="382">
        <v>0</v>
      </c>
      <c r="Y137" s="382">
        <v>0</v>
      </c>
      <c r="Z137" s="382">
        <v>9</v>
      </c>
      <c r="AA137" s="382">
        <v>0</v>
      </c>
      <c r="AB137" s="382">
        <v>11</v>
      </c>
      <c r="AC137" s="382">
        <v>15</v>
      </c>
      <c r="AD137" s="386">
        <v>6080</v>
      </c>
      <c r="AE137" s="386">
        <v>52</v>
      </c>
      <c r="AF137" s="386">
        <v>11</v>
      </c>
      <c r="AG137" s="386">
        <v>63</v>
      </c>
    </row>
    <row r="138" spans="1:33" x14ac:dyDescent="0.25">
      <c r="A138" s="381" t="s">
        <v>336</v>
      </c>
      <c r="B138" s="387" t="s">
        <v>337</v>
      </c>
      <c r="C138" s="383">
        <v>754</v>
      </c>
      <c r="D138" s="383">
        <v>0</v>
      </c>
      <c r="E138" s="383">
        <v>48</v>
      </c>
      <c r="F138" s="383">
        <v>338</v>
      </c>
      <c r="G138" s="383">
        <v>103</v>
      </c>
      <c r="H138" s="383">
        <v>1243</v>
      </c>
      <c r="I138" s="382">
        <v>1140</v>
      </c>
      <c r="J138" s="382">
        <v>9</v>
      </c>
      <c r="K138" s="384">
        <v>96.6</v>
      </c>
      <c r="L138" s="384">
        <v>95.41</v>
      </c>
      <c r="M138" s="384">
        <v>7.15</v>
      </c>
      <c r="N138" s="384">
        <v>100.59</v>
      </c>
      <c r="O138" s="385">
        <v>693</v>
      </c>
      <c r="P138" s="382">
        <v>83.07</v>
      </c>
      <c r="Q138" s="382">
        <v>78.44</v>
      </c>
      <c r="R138" s="382">
        <v>36.36</v>
      </c>
      <c r="S138" s="382">
        <v>119.33</v>
      </c>
      <c r="T138" s="382">
        <v>366</v>
      </c>
      <c r="U138" s="382">
        <v>106.89</v>
      </c>
      <c r="V138" s="382">
        <v>40</v>
      </c>
      <c r="W138" s="382">
        <v>0</v>
      </c>
      <c r="X138" s="382">
        <v>0</v>
      </c>
      <c r="Y138" s="382">
        <v>0</v>
      </c>
      <c r="Z138" s="382">
        <v>0</v>
      </c>
      <c r="AA138" s="382">
        <v>0</v>
      </c>
      <c r="AB138" s="382">
        <v>10</v>
      </c>
      <c r="AC138" s="382">
        <v>2</v>
      </c>
      <c r="AD138" s="386">
        <v>732</v>
      </c>
      <c r="AE138" s="386">
        <v>7</v>
      </c>
      <c r="AF138" s="386">
        <v>0</v>
      </c>
      <c r="AG138" s="386">
        <v>7</v>
      </c>
    </row>
    <row r="139" spans="1:33" x14ac:dyDescent="0.25">
      <c r="A139" s="381" t="s">
        <v>338</v>
      </c>
      <c r="B139" s="387" t="s">
        <v>339</v>
      </c>
      <c r="C139" s="383">
        <v>6312</v>
      </c>
      <c r="D139" s="383">
        <v>0</v>
      </c>
      <c r="E139" s="383">
        <v>542</v>
      </c>
      <c r="F139" s="383">
        <v>539</v>
      </c>
      <c r="G139" s="383">
        <v>1231</v>
      </c>
      <c r="H139" s="383">
        <v>8624</v>
      </c>
      <c r="I139" s="382">
        <v>7393</v>
      </c>
      <c r="J139" s="382">
        <v>43</v>
      </c>
      <c r="K139" s="384">
        <v>123.78</v>
      </c>
      <c r="L139" s="384">
        <v>123.62</v>
      </c>
      <c r="M139" s="384">
        <v>10.050000000000001</v>
      </c>
      <c r="N139" s="384">
        <v>130.65</v>
      </c>
      <c r="O139" s="385">
        <v>5550</v>
      </c>
      <c r="P139" s="382">
        <v>101.38</v>
      </c>
      <c r="Q139" s="382">
        <v>103.34</v>
      </c>
      <c r="R139" s="382">
        <v>41.52</v>
      </c>
      <c r="S139" s="382">
        <v>142.41999999999999</v>
      </c>
      <c r="T139" s="382">
        <v>854</v>
      </c>
      <c r="U139" s="382">
        <v>181.98</v>
      </c>
      <c r="V139" s="382">
        <v>401</v>
      </c>
      <c r="W139" s="382">
        <v>155.34</v>
      </c>
      <c r="X139" s="382">
        <v>44</v>
      </c>
      <c r="Y139" s="382">
        <v>0</v>
      </c>
      <c r="Z139" s="382">
        <v>11</v>
      </c>
      <c r="AA139" s="382">
        <v>1</v>
      </c>
      <c r="AB139" s="382">
        <v>4</v>
      </c>
      <c r="AC139" s="382">
        <v>36</v>
      </c>
      <c r="AD139" s="386">
        <v>5983</v>
      </c>
      <c r="AE139" s="386">
        <v>21</v>
      </c>
      <c r="AF139" s="386">
        <v>17</v>
      </c>
      <c r="AG139" s="386">
        <v>38</v>
      </c>
    </row>
    <row r="140" spans="1:33" x14ac:dyDescent="0.25">
      <c r="A140" s="381" t="s">
        <v>340</v>
      </c>
      <c r="B140" s="387" t="s">
        <v>341</v>
      </c>
      <c r="C140" s="383">
        <v>1595</v>
      </c>
      <c r="D140" s="383">
        <v>0</v>
      </c>
      <c r="E140" s="383">
        <v>73</v>
      </c>
      <c r="F140" s="383">
        <v>125</v>
      </c>
      <c r="G140" s="383">
        <v>300</v>
      </c>
      <c r="H140" s="383">
        <v>2093</v>
      </c>
      <c r="I140" s="382">
        <v>1793</v>
      </c>
      <c r="J140" s="382">
        <v>3</v>
      </c>
      <c r="K140" s="384">
        <v>91.75</v>
      </c>
      <c r="L140" s="384">
        <v>89.24</v>
      </c>
      <c r="M140" s="384">
        <v>4.83</v>
      </c>
      <c r="N140" s="384">
        <v>94.22</v>
      </c>
      <c r="O140" s="385">
        <v>1431</v>
      </c>
      <c r="P140" s="382">
        <v>91.15</v>
      </c>
      <c r="Q140" s="382">
        <v>76.78</v>
      </c>
      <c r="R140" s="382">
        <v>27.83</v>
      </c>
      <c r="S140" s="382">
        <v>118.41</v>
      </c>
      <c r="T140" s="382">
        <v>194</v>
      </c>
      <c r="U140" s="382">
        <v>105.17</v>
      </c>
      <c r="V140" s="382">
        <v>155</v>
      </c>
      <c r="W140" s="382">
        <v>0</v>
      </c>
      <c r="X140" s="382">
        <v>0</v>
      </c>
      <c r="Y140" s="382">
        <v>0</v>
      </c>
      <c r="Z140" s="382">
        <v>0</v>
      </c>
      <c r="AA140" s="382">
        <v>3</v>
      </c>
      <c r="AB140" s="382">
        <v>34</v>
      </c>
      <c r="AC140" s="382">
        <v>14</v>
      </c>
      <c r="AD140" s="386">
        <v>1595</v>
      </c>
      <c r="AE140" s="386">
        <v>21</v>
      </c>
      <c r="AF140" s="386">
        <v>22</v>
      </c>
      <c r="AG140" s="386">
        <v>43</v>
      </c>
    </row>
    <row r="141" spans="1:33" x14ac:dyDescent="0.25">
      <c r="A141" s="381" t="s">
        <v>342</v>
      </c>
      <c r="B141" s="387" t="s">
        <v>343</v>
      </c>
      <c r="C141" s="383">
        <v>5359</v>
      </c>
      <c r="D141" s="383">
        <v>0</v>
      </c>
      <c r="E141" s="383">
        <v>157</v>
      </c>
      <c r="F141" s="383">
        <v>1100</v>
      </c>
      <c r="G141" s="383">
        <v>515</v>
      </c>
      <c r="H141" s="383">
        <v>7131</v>
      </c>
      <c r="I141" s="382">
        <v>6616</v>
      </c>
      <c r="J141" s="382">
        <v>9</v>
      </c>
      <c r="K141" s="384">
        <v>111.84</v>
      </c>
      <c r="L141" s="384">
        <v>111.06</v>
      </c>
      <c r="M141" s="384">
        <v>3.62</v>
      </c>
      <c r="N141" s="384">
        <v>114.02</v>
      </c>
      <c r="O141" s="385">
        <v>4647</v>
      </c>
      <c r="P141" s="382">
        <v>94.92</v>
      </c>
      <c r="Q141" s="382">
        <v>93.7</v>
      </c>
      <c r="R141" s="382">
        <v>22.21</v>
      </c>
      <c r="S141" s="382">
        <v>116.86</v>
      </c>
      <c r="T141" s="382">
        <v>1068</v>
      </c>
      <c r="U141" s="382">
        <v>151.13</v>
      </c>
      <c r="V141" s="382">
        <v>651</v>
      </c>
      <c r="W141" s="382">
        <v>137.21</v>
      </c>
      <c r="X141" s="382">
        <v>38</v>
      </c>
      <c r="Y141" s="382">
        <v>0</v>
      </c>
      <c r="Z141" s="382">
        <v>7</v>
      </c>
      <c r="AA141" s="382">
        <v>1</v>
      </c>
      <c r="AB141" s="382">
        <v>83</v>
      </c>
      <c r="AC141" s="382">
        <v>9</v>
      </c>
      <c r="AD141" s="386">
        <v>5326</v>
      </c>
      <c r="AE141" s="386">
        <v>23</v>
      </c>
      <c r="AF141" s="386">
        <v>16</v>
      </c>
      <c r="AG141" s="386">
        <v>39</v>
      </c>
    </row>
    <row r="142" spans="1:33" x14ac:dyDescent="0.25">
      <c r="A142" s="381" t="s">
        <v>344</v>
      </c>
      <c r="B142" s="387" t="s">
        <v>345</v>
      </c>
      <c r="C142" s="383">
        <v>7239</v>
      </c>
      <c r="D142" s="383">
        <v>9</v>
      </c>
      <c r="E142" s="383">
        <v>364</v>
      </c>
      <c r="F142" s="383">
        <v>210</v>
      </c>
      <c r="G142" s="383">
        <v>1979</v>
      </c>
      <c r="H142" s="383">
        <v>9801</v>
      </c>
      <c r="I142" s="382">
        <v>7822</v>
      </c>
      <c r="J142" s="382">
        <v>148</v>
      </c>
      <c r="K142" s="384">
        <v>123.21</v>
      </c>
      <c r="L142" s="384">
        <v>125.26</v>
      </c>
      <c r="M142" s="384">
        <v>9.93</v>
      </c>
      <c r="N142" s="384">
        <v>130.81</v>
      </c>
      <c r="O142" s="385">
        <v>6017</v>
      </c>
      <c r="P142" s="382">
        <v>103.93</v>
      </c>
      <c r="Q142" s="382">
        <v>112.73</v>
      </c>
      <c r="R142" s="382">
        <v>63.11</v>
      </c>
      <c r="S142" s="382">
        <v>152.97999999999999</v>
      </c>
      <c r="T142" s="382">
        <v>323</v>
      </c>
      <c r="U142" s="382">
        <v>190.23</v>
      </c>
      <c r="V142" s="382">
        <v>402</v>
      </c>
      <c r="W142" s="382">
        <v>216.64</v>
      </c>
      <c r="X142" s="382">
        <v>59</v>
      </c>
      <c r="Y142" s="382">
        <v>32</v>
      </c>
      <c r="Z142" s="382">
        <v>9</v>
      </c>
      <c r="AA142" s="382">
        <v>2</v>
      </c>
      <c r="AB142" s="382">
        <v>64</v>
      </c>
      <c r="AC142" s="382">
        <v>77</v>
      </c>
      <c r="AD142" s="386">
        <v>6702</v>
      </c>
      <c r="AE142" s="386">
        <v>20</v>
      </c>
      <c r="AF142" s="386">
        <v>40</v>
      </c>
      <c r="AG142" s="386">
        <v>60</v>
      </c>
    </row>
    <row r="143" spans="1:33" x14ac:dyDescent="0.25">
      <c r="A143" s="381" t="s">
        <v>346</v>
      </c>
      <c r="B143" s="387" t="s">
        <v>347</v>
      </c>
      <c r="C143" s="383">
        <v>8210</v>
      </c>
      <c r="D143" s="383">
        <v>0</v>
      </c>
      <c r="E143" s="383">
        <v>351</v>
      </c>
      <c r="F143" s="383">
        <v>993</v>
      </c>
      <c r="G143" s="383">
        <v>651</v>
      </c>
      <c r="H143" s="383">
        <v>10205</v>
      </c>
      <c r="I143" s="382">
        <v>9554</v>
      </c>
      <c r="J143" s="382">
        <v>20</v>
      </c>
      <c r="K143" s="384">
        <v>95.47</v>
      </c>
      <c r="L143" s="384">
        <v>95.77</v>
      </c>
      <c r="M143" s="384">
        <v>3.53</v>
      </c>
      <c r="N143" s="384">
        <v>96.75</v>
      </c>
      <c r="O143" s="385">
        <v>7921</v>
      </c>
      <c r="P143" s="382">
        <v>86.87</v>
      </c>
      <c r="Q143" s="382">
        <v>86.8</v>
      </c>
      <c r="R143" s="382">
        <v>38.35</v>
      </c>
      <c r="S143" s="382">
        <v>124.28</v>
      </c>
      <c r="T143" s="382">
        <v>735</v>
      </c>
      <c r="U143" s="382">
        <v>116.73</v>
      </c>
      <c r="V143" s="382">
        <v>108</v>
      </c>
      <c r="W143" s="382">
        <v>0</v>
      </c>
      <c r="X143" s="382">
        <v>0</v>
      </c>
      <c r="Y143" s="382">
        <v>0</v>
      </c>
      <c r="Z143" s="382">
        <v>19</v>
      </c>
      <c r="AA143" s="382">
        <v>17</v>
      </c>
      <c r="AB143" s="382">
        <v>29</v>
      </c>
      <c r="AC143" s="382">
        <v>28</v>
      </c>
      <c r="AD143" s="386">
        <v>8207</v>
      </c>
      <c r="AE143" s="386">
        <v>32</v>
      </c>
      <c r="AF143" s="386">
        <v>41</v>
      </c>
      <c r="AG143" s="386">
        <v>73</v>
      </c>
    </row>
    <row r="144" spans="1:33" x14ac:dyDescent="0.25">
      <c r="A144" s="381" t="s">
        <v>348</v>
      </c>
      <c r="B144" s="387" t="s">
        <v>349</v>
      </c>
      <c r="C144" s="383">
        <v>2926</v>
      </c>
      <c r="D144" s="383">
        <v>0</v>
      </c>
      <c r="E144" s="383">
        <v>221</v>
      </c>
      <c r="F144" s="383">
        <v>1759</v>
      </c>
      <c r="G144" s="383">
        <v>69</v>
      </c>
      <c r="H144" s="383">
        <v>4975</v>
      </c>
      <c r="I144" s="382">
        <v>4906</v>
      </c>
      <c r="J144" s="382">
        <v>14</v>
      </c>
      <c r="K144" s="384">
        <v>77.81</v>
      </c>
      <c r="L144" s="384">
        <v>78.81</v>
      </c>
      <c r="M144" s="384">
        <v>2.77</v>
      </c>
      <c r="N144" s="384">
        <v>79.209999999999994</v>
      </c>
      <c r="O144" s="385">
        <v>2835</v>
      </c>
      <c r="P144" s="382">
        <v>73.86</v>
      </c>
      <c r="Q144" s="382">
        <v>70.41</v>
      </c>
      <c r="R144" s="382">
        <v>15.31</v>
      </c>
      <c r="S144" s="382">
        <v>89.05</v>
      </c>
      <c r="T144" s="382">
        <v>1942</v>
      </c>
      <c r="U144" s="382">
        <v>73.91</v>
      </c>
      <c r="V144" s="382">
        <v>90</v>
      </c>
      <c r="W144" s="382">
        <v>0</v>
      </c>
      <c r="X144" s="382">
        <v>0</v>
      </c>
      <c r="Y144" s="382">
        <v>0</v>
      </c>
      <c r="Z144" s="382">
        <v>13</v>
      </c>
      <c r="AA144" s="382">
        <v>2</v>
      </c>
      <c r="AB144" s="382">
        <v>0</v>
      </c>
      <c r="AC144" s="382">
        <v>1</v>
      </c>
      <c r="AD144" s="386">
        <v>2926</v>
      </c>
      <c r="AE144" s="386">
        <v>55</v>
      </c>
      <c r="AF144" s="386">
        <v>52</v>
      </c>
      <c r="AG144" s="386">
        <v>107</v>
      </c>
    </row>
    <row r="145" spans="1:33" x14ac:dyDescent="0.25">
      <c r="A145" s="381" t="s">
        <v>350</v>
      </c>
      <c r="B145" s="387" t="s">
        <v>351</v>
      </c>
      <c r="C145" s="383">
        <v>3676</v>
      </c>
      <c r="D145" s="383">
        <v>2</v>
      </c>
      <c r="E145" s="383">
        <v>635</v>
      </c>
      <c r="F145" s="383">
        <v>734</v>
      </c>
      <c r="G145" s="383">
        <v>351</v>
      </c>
      <c r="H145" s="383">
        <v>5398</v>
      </c>
      <c r="I145" s="382">
        <v>5047</v>
      </c>
      <c r="J145" s="382">
        <v>80</v>
      </c>
      <c r="K145" s="384">
        <v>88.28</v>
      </c>
      <c r="L145" s="384">
        <v>88.28</v>
      </c>
      <c r="M145" s="384">
        <v>6.54</v>
      </c>
      <c r="N145" s="384">
        <v>92.93</v>
      </c>
      <c r="O145" s="385">
        <v>3312</v>
      </c>
      <c r="P145" s="382">
        <v>78.900000000000006</v>
      </c>
      <c r="Q145" s="382">
        <v>72.02</v>
      </c>
      <c r="R145" s="382">
        <v>49.28</v>
      </c>
      <c r="S145" s="382">
        <v>125.44</v>
      </c>
      <c r="T145" s="382">
        <v>1131</v>
      </c>
      <c r="U145" s="382">
        <v>94.21</v>
      </c>
      <c r="V145" s="382">
        <v>321</v>
      </c>
      <c r="W145" s="382">
        <v>87.36</v>
      </c>
      <c r="X145" s="382">
        <v>1</v>
      </c>
      <c r="Y145" s="382">
        <v>174</v>
      </c>
      <c r="Z145" s="382">
        <v>8</v>
      </c>
      <c r="AA145" s="382">
        <v>1</v>
      </c>
      <c r="AB145" s="382">
        <v>1</v>
      </c>
      <c r="AC145" s="382">
        <v>3</v>
      </c>
      <c r="AD145" s="386">
        <v>3676</v>
      </c>
      <c r="AE145" s="386">
        <v>36</v>
      </c>
      <c r="AF145" s="386">
        <v>17</v>
      </c>
      <c r="AG145" s="386">
        <v>53</v>
      </c>
    </row>
    <row r="146" spans="1:33" x14ac:dyDescent="0.25">
      <c r="A146" s="381" t="s">
        <v>352</v>
      </c>
      <c r="B146" s="387" t="s">
        <v>353</v>
      </c>
      <c r="C146" s="383">
        <v>6195</v>
      </c>
      <c r="D146" s="383">
        <v>3</v>
      </c>
      <c r="E146" s="383">
        <v>299</v>
      </c>
      <c r="F146" s="383">
        <v>621</v>
      </c>
      <c r="G146" s="383">
        <v>270</v>
      </c>
      <c r="H146" s="383">
        <v>7388</v>
      </c>
      <c r="I146" s="382">
        <v>7118</v>
      </c>
      <c r="J146" s="382">
        <v>4</v>
      </c>
      <c r="K146" s="384">
        <v>90.14</v>
      </c>
      <c r="L146" s="384">
        <v>88.14</v>
      </c>
      <c r="M146" s="384">
        <v>5.2</v>
      </c>
      <c r="N146" s="384">
        <v>93.21</v>
      </c>
      <c r="O146" s="385">
        <v>5575</v>
      </c>
      <c r="P146" s="382">
        <v>77.09</v>
      </c>
      <c r="Q146" s="382">
        <v>74.05</v>
      </c>
      <c r="R146" s="382">
        <v>33.369999999999997</v>
      </c>
      <c r="S146" s="382">
        <v>105.16</v>
      </c>
      <c r="T146" s="382">
        <v>882</v>
      </c>
      <c r="U146" s="382">
        <v>116.35</v>
      </c>
      <c r="V146" s="382">
        <v>104</v>
      </c>
      <c r="W146" s="382">
        <v>76.25</v>
      </c>
      <c r="X146" s="382">
        <v>1</v>
      </c>
      <c r="Y146" s="382">
        <v>6</v>
      </c>
      <c r="Z146" s="382">
        <v>11</v>
      </c>
      <c r="AA146" s="382">
        <v>1</v>
      </c>
      <c r="AB146" s="382">
        <v>15</v>
      </c>
      <c r="AC146" s="382">
        <v>0</v>
      </c>
      <c r="AD146" s="386">
        <v>5773</v>
      </c>
      <c r="AE146" s="386">
        <v>21</v>
      </c>
      <c r="AF146" s="386">
        <v>7</v>
      </c>
      <c r="AG146" s="386">
        <v>28</v>
      </c>
    </row>
    <row r="147" spans="1:33" x14ac:dyDescent="0.25">
      <c r="A147" s="381" t="s">
        <v>354</v>
      </c>
      <c r="B147" s="387" t="s">
        <v>355</v>
      </c>
      <c r="C147" s="383">
        <v>52</v>
      </c>
      <c r="D147" s="383">
        <v>0</v>
      </c>
      <c r="E147" s="383">
        <v>0</v>
      </c>
      <c r="F147" s="383">
        <v>7</v>
      </c>
      <c r="G147" s="383">
        <v>0</v>
      </c>
      <c r="H147" s="383">
        <v>59</v>
      </c>
      <c r="I147" s="382">
        <v>59</v>
      </c>
      <c r="J147" s="382">
        <v>0</v>
      </c>
      <c r="K147" s="384">
        <v>100.82</v>
      </c>
      <c r="L147" s="384">
        <v>104.07</v>
      </c>
      <c r="M147" s="384">
        <v>0.99</v>
      </c>
      <c r="N147" s="384">
        <v>101.15</v>
      </c>
      <c r="O147" s="385">
        <v>27</v>
      </c>
      <c r="P147" s="382">
        <v>94.38</v>
      </c>
      <c r="Q147" s="382">
        <v>87.44</v>
      </c>
      <c r="R147" s="382">
        <v>17.68</v>
      </c>
      <c r="S147" s="382">
        <v>112.06</v>
      </c>
      <c r="T147" s="382">
        <v>7</v>
      </c>
      <c r="U147" s="382">
        <v>0</v>
      </c>
      <c r="V147" s="382">
        <v>0</v>
      </c>
      <c r="W147" s="382">
        <v>0</v>
      </c>
      <c r="X147" s="382">
        <v>0</v>
      </c>
      <c r="Y147" s="382">
        <v>0</v>
      </c>
      <c r="Z147" s="382">
        <v>0</v>
      </c>
      <c r="AA147" s="382">
        <v>0</v>
      </c>
      <c r="AB147" s="382">
        <v>0</v>
      </c>
      <c r="AC147" s="382">
        <v>0</v>
      </c>
      <c r="AD147" s="386">
        <v>27</v>
      </c>
      <c r="AE147" s="386">
        <v>0</v>
      </c>
      <c r="AF147" s="386">
        <v>0</v>
      </c>
      <c r="AG147" s="386">
        <v>0</v>
      </c>
    </row>
    <row r="148" spans="1:33" x14ac:dyDescent="0.25">
      <c r="A148" s="381" t="s">
        <v>356</v>
      </c>
      <c r="B148" s="387" t="s">
        <v>357</v>
      </c>
      <c r="C148" s="383">
        <v>13310</v>
      </c>
      <c r="D148" s="383">
        <v>240</v>
      </c>
      <c r="E148" s="383">
        <v>1285</v>
      </c>
      <c r="F148" s="383">
        <v>788</v>
      </c>
      <c r="G148" s="383">
        <v>1472</v>
      </c>
      <c r="H148" s="383">
        <v>17095</v>
      </c>
      <c r="I148" s="382">
        <v>15623</v>
      </c>
      <c r="J148" s="382">
        <v>195</v>
      </c>
      <c r="K148" s="384">
        <v>124.51</v>
      </c>
      <c r="L148" s="384">
        <v>134.47999999999999</v>
      </c>
      <c r="M148" s="384">
        <v>11.25</v>
      </c>
      <c r="N148" s="384">
        <v>132.5</v>
      </c>
      <c r="O148" s="385">
        <v>11529</v>
      </c>
      <c r="P148" s="382">
        <v>112.07</v>
      </c>
      <c r="Q148" s="382">
        <v>113.61</v>
      </c>
      <c r="R148" s="382">
        <v>40.340000000000003</v>
      </c>
      <c r="S148" s="382">
        <v>147.85</v>
      </c>
      <c r="T148" s="382">
        <v>1583</v>
      </c>
      <c r="U148" s="382">
        <v>177.19</v>
      </c>
      <c r="V148" s="382">
        <v>374</v>
      </c>
      <c r="W148" s="382">
        <v>235.8</v>
      </c>
      <c r="X148" s="382">
        <v>1</v>
      </c>
      <c r="Y148" s="382">
        <v>51</v>
      </c>
      <c r="Z148" s="382">
        <v>15</v>
      </c>
      <c r="AA148" s="382">
        <v>5</v>
      </c>
      <c r="AB148" s="382">
        <v>49</v>
      </c>
      <c r="AC148" s="382">
        <v>75</v>
      </c>
      <c r="AD148" s="386">
        <v>12314</v>
      </c>
      <c r="AE148" s="386">
        <v>71</v>
      </c>
      <c r="AF148" s="386">
        <v>44</v>
      </c>
      <c r="AG148" s="386">
        <v>115</v>
      </c>
    </row>
    <row r="149" spans="1:33" x14ac:dyDescent="0.25">
      <c r="A149" s="381" t="s">
        <v>358</v>
      </c>
      <c r="B149" s="387" t="s">
        <v>359</v>
      </c>
      <c r="C149" s="383">
        <v>10685</v>
      </c>
      <c r="D149" s="383">
        <v>328</v>
      </c>
      <c r="E149" s="383">
        <v>972</v>
      </c>
      <c r="F149" s="383">
        <v>979</v>
      </c>
      <c r="G149" s="383">
        <v>569</v>
      </c>
      <c r="H149" s="383">
        <v>13533</v>
      </c>
      <c r="I149" s="382">
        <v>12964</v>
      </c>
      <c r="J149" s="382">
        <v>84</v>
      </c>
      <c r="K149" s="384">
        <v>123.34</v>
      </c>
      <c r="L149" s="384">
        <v>144.36000000000001</v>
      </c>
      <c r="M149" s="384">
        <v>11.37</v>
      </c>
      <c r="N149" s="384">
        <v>130.81</v>
      </c>
      <c r="O149" s="385">
        <v>9496</v>
      </c>
      <c r="P149" s="382">
        <v>113.06</v>
      </c>
      <c r="Q149" s="382">
        <v>122.41</v>
      </c>
      <c r="R149" s="382">
        <v>50.09</v>
      </c>
      <c r="S149" s="382">
        <v>162.59</v>
      </c>
      <c r="T149" s="382">
        <v>1516</v>
      </c>
      <c r="U149" s="382">
        <v>220.96</v>
      </c>
      <c r="V149" s="382">
        <v>336</v>
      </c>
      <c r="W149" s="382">
        <v>214.98</v>
      </c>
      <c r="X149" s="382">
        <v>17</v>
      </c>
      <c r="Y149" s="382">
        <v>0</v>
      </c>
      <c r="Z149" s="382">
        <v>2</v>
      </c>
      <c r="AA149" s="382">
        <v>0</v>
      </c>
      <c r="AB149" s="382">
        <v>12</v>
      </c>
      <c r="AC149" s="382">
        <v>22</v>
      </c>
      <c r="AD149" s="386">
        <v>9904</v>
      </c>
      <c r="AE149" s="386">
        <v>45</v>
      </c>
      <c r="AF149" s="386">
        <v>160</v>
      </c>
      <c r="AG149" s="386">
        <v>205</v>
      </c>
    </row>
    <row r="150" spans="1:33" x14ac:dyDescent="0.25">
      <c r="A150" s="381" t="s">
        <v>360</v>
      </c>
      <c r="B150" s="387" t="s">
        <v>361</v>
      </c>
      <c r="C150" s="383">
        <v>8353</v>
      </c>
      <c r="D150" s="383">
        <v>13</v>
      </c>
      <c r="E150" s="383">
        <v>366</v>
      </c>
      <c r="F150" s="383">
        <v>939</v>
      </c>
      <c r="G150" s="383">
        <v>221</v>
      </c>
      <c r="H150" s="383">
        <v>9892</v>
      </c>
      <c r="I150" s="382">
        <v>9671</v>
      </c>
      <c r="J150" s="382">
        <v>7</v>
      </c>
      <c r="K150" s="384">
        <v>83.89</v>
      </c>
      <c r="L150" s="384">
        <v>88.98</v>
      </c>
      <c r="M150" s="384">
        <v>3.83</v>
      </c>
      <c r="N150" s="384">
        <v>84.66</v>
      </c>
      <c r="O150" s="385">
        <v>7939</v>
      </c>
      <c r="P150" s="382">
        <v>80.67</v>
      </c>
      <c r="Q150" s="382">
        <v>80.069999999999993</v>
      </c>
      <c r="R150" s="382">
        <v>24.54</v>
      </c>
      <c r="S150" s="382">
        <v>103.21</v>
      </c>
      <c r="T150" s="382">
        <v>1270</v>
      </c>
      <c r="U150" s="382">
        <v>99.45</v>
      </c>
      <c r="V150" s="382">
        <v>365</v>
      </c>
      <c r="W150" s="382">
        <v>0</v>
      </c>
      <c r="X150" s="382">
        <v>0</v>
      </c>
      <c r="Y150" s="382">
        <v>0</v>
      </c>
      <c r="Z150" s="382">
        <v>16</v>
      </c>
      <c r="AA150" s="382">
        <v>1</v>
      </c>
      <c r="AB150" s="382">
        <v>5</v>
      </c>
      <c r="AC150" s="382">
        <v>7</v>
      </c>
      <c r="AD150" s="386">
        <v>8345</v>
      </c>
      <c r="AE150" s="386">
        <v>50</v>
      </c>
      <c r="AF150" s="386">
        <v>123</v>
      </c>
      <c r="AG150" s="386">
        <v>173</v>
      </c>
    </row>
    <row r="151" spans="1:33" x14ac:dyDescent="0.25">
      <c r="A151" s="381" t="s">
        <v>362</v>
      </c>
      <c r="B151" s="387" t="s">
        <v>363</v>
      </c>
      <c r="C151" s="383">
        <v>5676</v>
      </c>
      <c r="D151" s="383">
        <v>0</v>
      </c>
      <c r="E151" s="383">
        <v>579</v>
      </c>
      <c r="F151" s="383">
        <v>2409</v>
      </c>
      <c r="G151" s="383">
        <v>404</v>
      </c>
      <c r="H151" s="383">
        <v>9068</v>
      </c>
      <c r="I151" s="382">
        <v>8664</v>
      </c>
      <c r="J151" s="382">
        <v>2</v>
      </c>
      <c r="K151" s="384">
        <v>79.849999999999994</v>
      </c>
      <c r="L151" s="384">
        <v>79.84</v>
      </c>
      <c r="M151" s="384">
        <v>6.35</v>
      </c>
      <c r="N151" s="384">
        <v>82.96</v>
      </c>
      <c r="O151" s="385">
        <v>5112</v>
      </c>
      <c r="P151" s="382">
        <v>79.81</v>
      </c>
      <c r="Q151" s="382">
        <v>78.95</v>
      </c>
      <c r="R151" s="382">
        <v>31.84</v>
      </c>
      <c r="S151" s="382">
        <v>111.52</v>
      </c>
      <c r="T151" s="382">
        <v>2639</v>
      </c>
      <c r="U151" s="382">
        <v>98.59</v>
      </c>
      <c r="V151" s="382">
        <v>339</v>
      </c>
      <c r="W151" s="382">
        <v>0</v>
      </c>
      <c r="X151" s="382">
        <v>0</v>
      </c>
      <c r="Y151" s="382">
        <v>0</v>
      </c>
      <c r="Z151" s="382">
        <v>6</v>
      </c>
      <c r="AA151" s="382">
        <v>63</v>
      </c>
      <c r="AB151" s="382">
        <v>1</v>
      </c>
      <c r="AC151" s="382">
        <v>2</v>
      </c>
      <c r="AD151" s="386">
        <v>5489</v>
      </c>
      <c r="AE151" s="386">
        <v>54</v>
      </c>
      <c r="AF151" s="386">
        <v>32</v>
      </c>
      <c r="AG151" s="386">
        <v>86</v>
      </c>
    </row>
    <row r="152" spans="1:33" x14ac:dyDescent="0.25">
      <c r="A152" s="381" t="s">
        <v>364</v>
      </c>
      <c r="B152" s="387" t="s">
        <v>365</v>
      </c>
      <c r="C152" s="383">
        <v>2079</v>
      </c>
      <c r="D152" s="383">
        <v>13</v>
      </c>
      <c r="E152" s="383">
        <v>299</v>
      </c>
      <c r="F152" s="383">
        <v>218</v>
      </c>
      <c r="G152" s="383">
        <v>283</v>
      </c>
      <c r="H152" s="383">
        <v>2892</v>
      </c>
      <c r="I152" s="382">
        <v>2609</v>
      </c>
      <c r="J152" s="382">
        <v>13</v>
      </c>
      <c r="K152" s="384">
        <v>129.21</v>
      </c>
      <c r="L152" s="384">
        <v>130.94999999999999</v>
      </c>
      <c r="M152" s="384">
        <v>9.1300000000000008</v>
      </c>
      <c r="N152" s="384">
        <v>136.97</v>
      </c>
      <c r="O152" s="385">
        <v>1581</v>
      </c>
      <c r="P152" s="382">
        <v>101.68</v>
      </c>
      <c r="Q152" s="382">
        <v>103.55</v>
      </c>
      <c r="R152" s="382">
        <v>31.28</v>
      </c>
      <c r="S152" s="382">
        <v>132.65</v>
      </c>
      <c r="T152" s="382">
        <v>303</v>
      </c>
      <c r="U152" s="382">
        <v>219.34</v>
      </c>
      <c r="V152" s="382">
        <v>234</v>
      </c>
      <c r="W152" s="382">
        <v>0</v>
      </c>
      <c r="X152" s="382">
        <v>0</v>
      </c>
      <c r="Y152" s="382">
        <v>0</v>
      </c>
      <c r="Z152" s="382">
        <v>1</v>
      </c>
      <c r="AA152" s="382">
        <v>0</v>
      </c>
      <c r="AB152" s="382">
        <v>37</v>
      </c>
      <c r="AC152" s="382">
        <v>15</v>
      </c>
      <c r="AD152" s="386">
        <v>1818</v>
      </c>
      <c r="AE152" s="386">
        <v>4</v>
      </c>
      <c r="AF152" s="386">
        <v>12</v>
      </c>
      <c r="AG152" s="386">
        <v>16</v>
      </c>
    </row>
    <row r="153" spans="1:33" x14ac:dyDescent="0.25">
      <c r="A153" s="381" t="s">
        <v>366</v>
      </c>
      <c r="B153" s="387" t="s">
        <v>367</v>
      </c>
      <c r="C153" s="383">
        <v>3786</v>
      </c>
      <c r="D153" s="383">
        <v>14</v>
      </c>
      <c r="E153" s="383">
        <v>360</v>
      </c>
      <c r="F153" s="383">
        <v>1515</v>
      </c>
      <c r="G153" s="383">
        <v>355</v>
      </c>
      <c r="H153" s="383">
        <v>6030</v>
      </c>
      <c r="I153" s="382">
        <v>5675</v>
      </c>
      <c r="J153" s="382">
        <v>26</v>
      </c>
      <c r="K153" s="384">
        <v>86.25</v>
      </c>
      <c r="L153" s="384">
        <v>85.18</v>
      </c>
      <c r="M153" s="384">
        <v>4.9800000000000004</v>
      </c>
      <c r="N153" s="384">
        <v>89.98</v>
      </c>
      <c r="O153" s="385">
        <v>3346</v>
      </c>
      <c r="P153" s="382">
        <v>76.66</v>
      </c>
      <c r="Q153" s="382">
        <v>73.95</v>
      </c>
      <c r="R153" s="382">
        <v>20.82</v>
      </c>
      <c r="S153" s="382">
        <v>96.63</v>
      </c>
      <c r="T153" s="382">
        <v>1704</v>
      </c>
      <c r="U153" s="382">
        <v>95.41</v>
      </c>
      <c r="V153" s="382">
        <v>257</v>
      </c>
      <c r="W153" s="382">
        <v>100.86</v>
      </c>
      <c r="X153" s="382">
        <v>18</v>
      </c>
      <c r="Y153" s="382">
        <v>29</v>
      </c>
      <c r="Z153" s="382">
        <v>6</v>
      </c>
      <c r="AA153" s="382">
        <v>9</v>
      </c>
      <c r="AB153" s="382">
        <v>3</v>
      </c>
      <c r="AC153" s="382">
        <v>6</v>
      </c>
      <c r="AD153" s="386">
        <v>3777</v>
      </c>
      <c r="AE153" s="386">
        <v>29</v>
      </c>
      <c r="AF153" s="386">
        <v>24</v>
      </c>
      <c r="AG153" s="386">
        <v>53</v>
      </c>
    </row>
    <row r="154" spans="1:33" x14ac:dyDescent="0.25">
      <c r="A154" s="381" t="s">
        <v>368</v>
      </c>
      <c r="B154" s="387" t="s">
        <v>369</v>
      </c>
      <c r="C154" s="383">
        <v>16351</v>
      </c>
      <c r="D154" s="383">
        <v>3</v>
      </c>
      <c r="E154" s="383">
        <v>675</v>
      </c>
      <c r="F154" s="383">
        <v>1370</v>
      </c>
      <c r="G154" s="383">
        <v>288</v>
      </c>
      <c r="H154" s="383">
        <v>18687</v>
      </c>
      <c r="I154" s="382">
        <v>18399</v>
      </c>
      <c r="J154" s="382">
        <v>1</v>
      </c>
      <c r="K154" s="384">
        <v>83.99</v>
      </c>
      <c r="L154" s="384">
        <v>82.11</v>
      </c>
      <c r="M154" s="384">
        <v>9.84</v>
      </c>
      <c r="N154" s="384">
        <v>86.5</v>
      </c>
      <c r="O154" s="385">
        <v>15405</v>
      </c>
      <c r="P154" s="382">
        <v>80.83</v>
      </c>
      <c r="Q154" s="382">
        <v>77.33</v>
      </c>
      <c r="R154" s="382">
        <v>23.75</v>
      </c>
      <c r="S154" s="382">
        <v>99.69</v>
      </c>
      <c r="T154" s="382">
        <v>1835</v>
      </c>
      <c r="U154" s="382">
        <v>109.4</v>
      </c>
      <c r="V154" s="382">
        <v>650</v>
      </c>
      <c r="W154" s="382">
        <v>144.01</v>
      </c>
      <c r="X154" s="382">
        <v>41</v>
      </c>
      <c r="Y154" s="382">
        <v>0</v>
      </c>
      <c r="Z154" s="382">
        <v>64</v>
      </c>
      <c r="AA154" s="382">
        <v>55</v>
      </c>
      <c r="AB154" s="382">
        <v>12</v>
      </c>
      <c r="AC154" s="382">
        <v>1</v>
      </c>
      <c r="AD154" s="386">
        <v>16101</v>
      </c>
      <c r="AE154" s="386">
        <v>213</v>
      </c>
      <c r="AF154" s="386">
        <v>127</v>
      </c>
      <c r="AG154" s="386">
        <v>340</v>
      </c>
    </row>
    <row r="155" spans="1:33" x14ac:dyDescent="0.25">
      <c r="A155" s="381" t="s">
        <v>370</v>
      </c>
      <c r="B155" s="387" t="s">
        <v>371</v>
      </c>
      <c r="C155" s="383">
        <v>20864</v>
      </c>
      <c r="D155" s="383">
        <v>53</v>
      </c>
      <c r="E155" s="383">
        <v>1794</v>
      </c>
      <c r="F155" s="383">
        <v>1344</v>
      </c>
      <c r="G155" s="383">
        <v>2047</v>
      </c>
      <c r="H155" s="383">
        <v>26102</v>
      </c>
      <c r="I155" s="382">
        <v>24055</v>
      </c>
      <c r="J155" s="382">
        <v>698</v>
      </c>
      <c r="K155" s="384">
        <v>116.9</v>
      </c>
      <c r="L155" s="384">
        <v>125.89</v>
      </c>
      <c r="M155" s="384">
        <v>12</v>
      </c>
      <c r="N155" s="384">
        <v>125.77</v>
      </c>
      <c r="O155" s="385">
        <v>17985</v>
      </c>
      <c r="P155" s="382">
        <v>107</v>
      </c>
      <c r="Q155" s="382">
        <v>108.88</v>
      </c>
      <c r="R155" s="382">
        <v>49.29</v>
      </c>
      <c r="S155" s="382">
        <v>153.22999999999999</v>
      </c>
      <c r="T155" s="382">
        <v>2697</v>
      </c>
      <c r="U155" s="382">
        <v>177.64</v>
      </c>
      <c r="V155" s="382">
        <v>669</v>
      </c>
      <c r="W155" s="382">
        <v>219.02</v>
      </c>
      <c r="X155" s="382">
        <v>6</v>
      </c>
      <c r="Y155" s="382">
        <v>6</v>
      </c>
      <c r="Z155" s="382">
        <v>35</v>
      </c>
      <c r="AA155" s="382">
        <v>15</v>
      </c>
      <c r="AB155" s="382">
        <v>169</v>
      </c>
      <c r="AC155" s="382">
        <v>109</v>
      </c>
      <c r="AD155" s="386">
        <v>18892</v>
      </c>
      <c r="AE155" s="386">
        <v>127</v>
      </c>
      <c r="AF155" s="386">
        <v>318</v>
      </c>
      <c r="AG155" s="386">
        <v>445</v>
      </c>
    </row>
    <row r="156" spans="1:33" x14ac:dyDescent="0.25">
      <c r="A156" s="381" t="s">
        <v>372</v>
      </c>
      <c r="B156" s="387" t="s">
        <v>373</v>
      </c>
      <c r="C156" s="383">
        <v>1645</v>
      </c>
      <c r="D156" s="383">
        <v>2</v>
      </c>
      <c r="E156" s="383">
        <v>304</v>
      </c>
      <c r="F156" s="383">
        <v>485</v>
      </c>
      <c r="G156" s="383">
        <v>314</v>
      </c>
      <c r="H156" s="383">
        <v>2750</v>
      </c>
      <c r="I156" s="382">
        <v>2436</v>
      </c>
      <c r="J156" s="382">
        <v>10</v>
      </c>
      <c r="K156" s="384">
        <v>83.88</v>
      </c>
      <c r="L156" s="384">
        <v>80.77</v>
      </c>
      <c r="M156" s="384">
        <v>5.1100000000000003</v>
      </c>
      <c r="N156" s="384">
        <v>88.2</v>
      </c>
      <c r="O156" s="385">
        <v>1353</v>
      </c>
      <c r="P156" s="382">
        <v>81.599999999999994</v>
      </c>
      <c r="Q156" s="382">
        <v>70.349999999999994</v>
      </c>
      <c r="R156" s="382">
        <v>42.42</v>
      </c>
      <c r="S156" s="382">
        <v>124.02</v>
      </c>
      <c r="T156" s="382">
        <v>709</v>
      </c>
      <c r="U156" s="382">
        <v>102.07</v>
      </c>
      <c r="V156" s="382">
        <v>242</v>
      </c>
      <c r="W156" s="382">
        <v>0</v>
      </c>
      <c r="X156" s="382">
        <v>0</v>
      </c>
      <c r="Y156" s="382">
        <v>0</v>
      </c>
      <c r="Z156" s="382">
        <v>0</v>
      </c>
      <c r="AA156" s="382">
        <v>8</v>
      </c>
      <c r="AB156" s="382">
        <v>9</v>
      </c>
      <c r="AC156" s="382">
        <v>6</v>
      </c>
      <c r="AD156" s="386">
        <v>1613</v>
      </c>
      <c r="AE156" s="386">
        <v>14</v>
      </c>
      <c r="AF156" s="386">
        <v>5</v>
      </c>
      <c r="AG156" s="386">
        <v>19</v>
      </c>
    </row>
    <row r="157" spans="1:33" x14ac:dyDescent="0.25">
      <c r="A157" s="381" t="s">
        <v>374</v>
      </c>
      <c r="B157" s="387" t="s">
        <v>375</v>
      </c>
      <c r="C157" s="383">
        <v>11945</v>
      </c>
      <c r="D157" s="383">
        <v>60</v>
      </c>
      <c r="E157" s="383">
        <v>1462</v>
      </c>
      <c r="F157" s="383">
        <v>3366</v>
      </c>
      <c r="G157" s="383">
        <v>1050</v>
      </c>
      <c r="H157" s="383">
        <v>17883</v>
      </c>
      <c r="I157" s="382">
        <v>16833</v>
      </c>
      <c r="J157" s="382">
        <v>15</v>
      </c>
      <c r="K157" s="384">
        <v>83.59</v>
      </c>
      <c r="L157" s="384">
        <v>84.89</v>
      </c>
      <c r="M157" s="384">
        <v>7.02</v>
      </c>
      <c r="N157" s="384">
        <v>87.84</v>
      </c>
      <c r="O157" s="385">
        <v>10460</v>
      </c>
      <c r="P157" s="382">
        <v>85.84</v>
      </c>
      <c r="Q157" s="382">
        <v>74.900000000000006</v>
      </c>
      <c r="R157" s="382">
        <v>37.36</v>
      </c>
      <c r="S157" s="382">
        <v>122.15</v>
      </c>
      <c r="T157" s="382">
        <v>3893</v>
      </c>
      <c r="U157" s="382">
        <v>103.65</v>
      </c>
      <c r="V157" s="382">
        <v>684</v>
      </c>
      <c r="W157" s="382">
        <v>89.08</v>
      </c>
      <c r="X157" s="382">
        <v>31</v>
      </c>
      <c r="Y157" s="382">
        <v>0</v>
      </c>
      <c r="Z157" s="382">
        <v>11</v>
      </c>
      <c r="AA157" s="382">
        <v>8</v>
      </c>
      <c r="AB157" s="382">
        <v>41</v>
      </c>
      <c r="AC157" s="382">
        <v>18</v>
      </c>
      <c r="AD157" s="386">
        <v>11566</v>
      </c>
      <c r="AE157" s="386">
        <v>96</v>
      </c>
      <c r="AF157" s="386">
        <v>42</v>
      </c>
      <c r="AG157" s="386">
        <v>138</v>
      </c>
    </row>
    <row r="158" spans="1:33" x14ac:dyDescent="0.25">
      <c r="A158" s="381" t="s">
        <v>376</v>
      </c>
      <c r="B158" s="387" t="s">
        <v>377</v>
      </c>
      <c r="C158" s="383">
        <v>8811</v>
      </c>
      <c r="D158" s="383">
        <v>0</v>
      </c>
      <c r="E158" s="383">
        <v>819</v>
      </c>
      <c r="F158" s="383">
        <v>977</v>
      </c>
      <c r="G158" s="383">
        <v>597</v>
      </c>
      <c r="H158" s="383">
        <v>11204</v>
      </c>
      <c r="I158" s="382">
        <v>10607</v>
      </c>
      <c r="J158" s="382">
        <v>107</v>
      </c>
      <c r="K158" s="384">
        <v>83.48</v>
      </c>
      <c r="L158" s="384">
        <v>82.77</v>
      </c>
      <c r="M158" s="384">
        <v>7.94</v>
      </c>
      <c r="N158" s="384">
        <v>88.47</v>
      </c>
      <c r="O158" s="385">
        <v>7608</v>
      </c>
      <c r="P158" s="382">
        <v>80.02</v>
      </c>
      <c r="Q158" s="382">
        <v>74.03</v>
      </c>
      <c r="R158" s="382">
        <v>52.42</v>
      </c>
      <c r="S158" s="382">
        <v>131.29</v>
      </c>
      <c r="T158" s="382">
        <v>1457</v>
      </c>
      <c r="U158" s="382">
        <v>107.19</v>
      </c>
      <c r="V158" s="382">
        <v>347</v>
      </c>
      <c r="W158" s="382">
        <v>123.98</v>
      </c>
      <c r="X158" s="382">
        <v>62</v>
      </c>
      <c r="Y158" s="382">
        <v>1</v>
      </c>
      <c r="Z158" s="382">
        <v>2</v>
      </c>
      <c r="AA158" s="382">
        <v>20</v>
      </c>
      <c r="AB158" s="382">
        <v>5</v>
      </c>
      <c r="AC158" s="382">
        <v>27</v>
      </c>
      <c r="AD158" s="386">
        <v>8081</v>
      </c>
      <c r="AE158" s="386">
        <v>69</v>
      </c>
      <c r="AF158" s="386">
        <v>52</v>
      </c>
      <c r="AG158" s="386">
        <v>121</v>
      </c>
    </row>
    <row r="159" spans="1:33" x14ac:dyDescent="0.25">
      <c r="A159" s="381" t="s">
        <v>378</v>
      </c>
      <c r="B159" s="387" t="s">
        <v>379</v>
      </c>
      <c r="C159" s="383">
        <v>993</v>
      </c>
      <c r="D159" s="383">
        <v>0</v>
      </c>
      <c r="E159" s="383">
        <v>152</v>
      </c>
      <c r="F159" s="383">
        <v>432</v>
      </c>
      <c r="G159" s="383">
        <v>263</v>
      </c>
      <c r="H159" s="383">
        <v>1840</v>
      </c>
      <c r="I159" s="382">
        <v>1577</v>
      </c>
      <c r="J159" s="382">
        <v>0</v>
      </c>
      <c r="K159" s="384">
        <v>94.56</v>
      </c>
      <c r="L159" s="384">
        <v>94.74</v>
      </c>
      <c r="M159" s="384">
        <v>7.22</v>
      </c>
      <c r="N159" s="384">
        <v>100.96</v>
      </c>
      <c r="O159" s="385">
        <v>881</v>
      </c>
      <c r="P159" s="382">
        <v>79.78</v>
      </c>
      <c r="Q159" s="382">
        <v>76.760000000000005</v>
      </c>
      <c r="R159" s="382">
        <v>37.49</v>
      </c>
      <c r="S159" s="382">
        <v>116.89</v>
      </c>
      <c r="T159" s="382">
        <v>292</v>
      </c>
      <c r="U159" s="382">
        <v>148.96</v>
      </c>
      <c r="V159" s="382">
        <v>88</v>
      </c>
      <c r="W159" s="382">
        <v>131.30000000000001</v>
      </c>
      <c r="X159" s="382">
        <v>9</v>
      </c>
      <c r="Y159" s="382">
        <v>0</v>
      </c>
      <c r="Z159" s="382">
        <v>0</v>
      </c>
      <c r="AA159" s="382">
        <v>1</v>
      </c>
      <c r="AB159" s="382">
        <v>5</v>
      </c>
      <c r="AC159" s="382">
        <v>2</v>
      </c>
      <c r="AD159" s="386">
        <v>981</v>
      </c>
      <c r="AE159" s="386">
        <v>4</v>
      </c>
      <c r="AF159" s="386">
        <v>3</v>
      </c>
      <c r="AG159" s="386">
        <v>7</v>
      </c>
    </row>
    <row r="160" spans="1:33" x14ac:dyDescent="0.25">
      <c r="A160" s="381" t="s">
        <v>380</v>
      </c>
      <c r="B160" s="387" t="s">
        <v>381</v>
      </c>
      <c r="C160" s="383">
        <v>20364</v>
      </c>
      <c r="D160" s="383">
        <v>175</v>
      </c>
      <c r="E160" s="383">
        <v>1288</v>
      </c>
      <c r="F160" s="383">
        <v>681</v>
      </c>
      <c r="G160" s="383">
        <v>1381</v>
      </c>
      <c r="H160" s="383">
        <v>23889</v>
      </c>
      <c r="I160" s="382">
        <v>22508</v>
      </c>
      <c r="J160" s="382">
        <v>23</v>
      </c>
      <c r="K160" s="384">
        <v>109.01</v>
      </c>
      <c r="L160" s="384">
        <v>112.13</v>
      </c>
      <c r="M160" s="384">
        <v>6.92</v>
      </c>
      <c r="N160" s="384">
        <v>112.69</v>
      </c>
      <c r="O160" s="385">
        <v>18421</v>
      </c>
      <c r="P160" s="382">
        <v>106.35</v>
      </c>
      <c r="Q160" s="382">
        <v>108.19</v>
      </c>
      <c r="R160" s="382">
        <v>53.48</v>
      </c>
      <c r="S160" s="382">
        <v>155.19</v>
      </c>
      <c r="T160" s="382">
        <v>1669</v>
      </c>
      <c r="U160" s="382">
        <v>158.22</v>
      </c>
      <c r="V160" s="382">
        <v>787</v>
      </c>
      <c r="W160" s="382">
        <v>267.32</v>
      </c>
      <c r="X160" s="382">
        <v>44</v>
      </c>
      <c r="Y160" s="382">
        <v>7</v>
      </c>
      <c r="Z160" s="382">
        <v>80</v>
      </c>
      <c r="AA160" s="382">
        <v>17</v>
      </c>
      <c r="AB160" s="382">
        <v>99</v>
      </c>
      <c r="AC160" s="382">
        <v>69</v>
      </c>
      <c r="AD160" s="386">
        <v>19436</v>
      </c>
      <c r="AE160" s="386">
        <v>75</v>
      </c>
      <c r="AF160" s="386">
        <v>64</v>
      </c>
      <c r="AG160" s="386">
        <v>139</v>
      </c>
    </row>
    <row r="161" spans="1:33" x14ac:dyDescent="0.25">
      <c r="A161" s="381" t="s">
        <v>382</v>
      </c>
      <c r="B161" s="387" t="s">
        <v>383</v>
      </c>
      <c r="C161" s="383">
        <v>5271</v>
      </c>
      <c r="D161" s="383">
        <v>17</v>
      </c>
      <c r="E161" s="383">
        <v>148</v>
      </c>
      <c r="F161" s="383">
        <v>269</v>
      </c>
      <c r="G161" s="383">
        <v>194</v>
      </c>
      <c r="H161" s="383">
        <v>5899</v>
      </c>
      <c r="I161" s="382">
        <v>5705</v>
      </c>
      <c r="J161" s="382">
        <v>0</v>
      </c>
      <c r="K161" s="384">
        <v>88.43</v>
      </c>
      <c r="L161" s="384">
        <v>85.17</v>
      </c>
      <c r="M161" s="384">
        <v>2.74</v>
      </c>
      <c r="N161" s="384">
        <v>90.51</v>
      </c>
      <c r="O161" s="385">
        <v>4986</v>
      </c>
      <c r="P161" s="382">
        <v>90.68</v>
      </c>
      <c r="Q161" s="382">
        <v>89.63</v>
      </c>
      <c r="R161" s="382">
        <v>35</v>
      </c>
      <c r="S161" s="382">
        <v>124.5</v>
      </c>
      <c r="T161" s="382">
        <v>417</v>
      </c>
      <c r="U161" s="382">
        <v>108.59</v>
      </c>
      <c r="V161" s="382">
        <v>273</v>
      </c>
      <c r="W161" s="382">
        <v>0</v>
      </c>
      <c r="X161" s="382">
        <v>0</v>
      </c>
      <c r="Y161" s="382">
        <v>0</v>
      </c>
      <c r="Z161" s="382">
        <v>14</v>
      </c>
      <c r="AA161" s="382">
        <v>15</v>
      </c>
      <c r="AB161" s="382">
        <v>4</v>
      </c>
      <c r="AC161" s="382">
        <v>8</v>
      </c>
      <c r="AD161" s="386">
        <v>5269</v>
      </c>
      <c r="AE161" s="386">
        <v>11</v>
      </c>
      <c r="AF161" s="386">
        <v>4</v>
      </c>
      <c r="AG161" s="386">
        <v>15</v>
      </c>
    </row>
    <row r="162" spans="1:33" x14ac:dyDescent="0.25">
      <c r="A162" s="381" t="s">
        <v>384</v>
      </c>
      <c r="B162" s="387" t="s">
        <v>385</v>
      </c>
      <c r="C162" s="383">
        <v>1233</v>
      </c>
      <c r="D162" s="383">
        <v>0</v>
      </c>
      <c r="E162" s="383">
        <v>432</v>
      </c>
      <c r="F162" s="383">
        <v>182</v>
      </c>
      <c r="G162" s="383">
        <v>220</v>
      </c>
      <c r="H162" s="383">
        <v>2067</v>
      </c>
      <c r="I162" s="382">
        <v>1847</v>
      </c>
      <c r="J162" s="382">
        <v>0</v>
      </c>
      <c r="K162" s="384">
        <v>80.930000000000007</v>
      </c>
      <c r="L162" s="384">
        <v>80.099999999999994</v>
      </c>
      <c r="M162" s="384">
        <v>6.34</v>
      </c>
      <c r="N162" s="384">
        <v>86.33</v>
      </c>
      <c r="O162" s="385">
        <v>1058</v>
      </c>
      <c r="P162" s="382">
        <v>87.21</v>
      </c>
      <c r="Q162" s="382">
        <v>81.83</v>
      </c>
      <c r="R162" s="382">
        <v>46.32</v>
      </c>
      <c r="S162" s="382">
        <v>133.53</v>
      </c>
      <c r="T162" s="382">
        <v>202</v>
      </c>
      <c r="U162" s="382">
        <v>98.15</v>
      </c>
      <c r="V162" s="382">
        <v>97</v>
      </c>
      <c r="W162" s="382">
        <v>0</v>
      </c>
      <c r="X162" s="382">
        <v>0</v>
      </c>
      <c r="Y162" s="382">
        <v>0</v>
      </c>
      <c r="Z162" s="382">
        <v>1</v>
      </c>
      <c r="AA162" s="382">
        <v>9</v>
      </c>
      <c r="AB162" s="382">
        <v>11</v>
      </c>
      <c r="AC162" s="382">
        <v>5</v>
      </c>
      <c r="AD162" s="386">
        <v>1204</v>
      </c>
      <c r="AE162" s="386">
        <v>7</v>
      </c>
      <c r="AF162" s="386">
        <v>8</v>
      </c>
      <c r="AG162" s="386">
        <v>15</v>
      </c>
    </row>
    <row r="163" spans="1:33" x14ac:dyDescent="0.25">
      <c r="A163" s="381" t="s">
        <v>386</v>
      </c>
      <c r="B163" s="387" t="s">
        <v>387</v>
      </c>
      <c r="C163" s="383">
        <v>52560</v>
      </c>
      <c r="D163" s="383">
        <v>2</v>
      </c>
      <c r="E163" s="383">
        <v>2178</v>
      </c>
      <c r="F163" s="383">
        <v>3816</v>
      </c>
      <c r="G163" s="383">
        <v>707</v>
      </c>
      <c r="H163" s="383">
        <v>59263</v>
      </c>
      <c r="I163" s="382">
        <v>58556</v>
      </c>
      <c r="J163" s="382">
        <v>88</v>
      </c>
      <c r="K163" s="384">
        <v>83.7</v>
      </c>
      <c r="L163" s="384">
        <v>84.82</v>
      </c>
      <c r="M163" s="384">
        <v>7.87</v>
      </c>
      <c r="N163" s="384">
        <v>85.74</v>
      </c>
      <c r="O163" s="385">
        <v>46525</v>
      </c>
      <c r="P163" s="382">
        <v>79.75</v>
      </c>
      <c r="Q163" s="382">
        <v>77.569999999999993</v>
      </c>
      <c r="R163" s="382">
        <v>39.369999999999997</v>
      </c>
      <c r="S163" s="382">
        <v>116.5</v>
      </c>
      <c r="T163" s="382">
        <v>5132</v>
      </c>
      <c r="U163" s="382">
        <v>101.06</v>
      </c>
      <c r="V163" s="382">
        <v>3340</v>
      </c>
      <c r="W163" s="382">
        <v>141.74</v>
      </c>
      <c r="X163" s="382">
        <v>22</v>
      </c>
      <c r="Y163" s="382">
        <v>30</v>
      </c>
      <c r="Z163" s="382">
        <v>237</v>
      </c>
      <c r="AA163" s="382">
        <v>168</v>
      </c>
      <c r="AB163" s="382">
        <v>47</v>
      </c>
      <c r="AC163" s="382">
        <v>13</v>
      </c>
      <c r="AD163" s="386">
        <v>50095</v>
      </c>
      <c r="AE163" s="386">
        <v>373</v>
      </c>
      <c r="AF163" s="386">
        <v>631</v>
      </c>
      <c r="AG163" s="386">
        <v>1004</v>
      </c>
    </row>
    <row r="164" spans="1:33" x14ac:dyDescent="0.25">
      <c r="A164" s="381" t="s">
        <v>388</v>
      </c>
      <c r="B164" s="387" t="s">
        <v>389</v>
      </c>
      <c r="C164" s="383">
        <v>3483</v>
      </c>
      <c r="D164" s="383">
        <v>0</v>
      </c>
      <c r="E164" s="383">
        <v>326</v>
      </c>
      <c r="F164" s="383">
        <v>342</v>
      </c>
      <c r="G164" s="383">
        <v>313</v>
      </c>
      <c r="H164" s="383">
        <v>4464</v>
      </c>
      <c r="I164" s="382">
        <v>4151</v>
      </c>
      <c r="J164" s="382">
        <v>4</v>
      </c>
      <c r="K164" s="384">
        <v>101.04</v>
      </c>
      <c r="L164" s="384">
        <v>100.05</v>
      </c>
      <c r="M164" s="384">
        <v>6.46</v>
      </c>
      <c r="N164" s="384">
        <v>105.7</v>
      </c>
      <c r="O164" s="385">
        <v>2868</v>
      </c>
      <c r="P164" s="382">
        <v>97.19</v>
      </c>
      <c r="Q164" s="382">
        <v>93.2</v>
      </c>
      <c r="R164" s="382">
        <v>38.729999999999997</v>
      </c>
      <c r="S164" s="382">
        <v>134.87</v>
      </c>
      <c r="T164" s="382">
        <v>441</v>
      </c>
      <c r="U164" s="382">
        <v>122.16</v>
      </c>
      <c r="V164" s="382">
        <v>189</v>
      </c>
      <c r="W164" s="382">
        <v>0</v>
      </c>
      <c r="X164" s="382">
        <v>0</v>
      </c>
      <c r="Y164" s="382">
        <v>0</v>
      </c>
      <c r="Z164" s="382">
        <v>3</v>
      </c>
      <c r="AA164" s="382">
        <v>0</v>
      </c>
      <c r="AB164" s="382">
        <v>30</v>
      </c>
      <c r="AC164" s="382">
        <v>13</v>
      </c>
      <c r="AD164" s="386">
        <v>3122</v>
      </c>
      <c r="AE164" s="386">
        <v>3</v>
      </c>
      <c r="AF164" s="386">
        <v>1</v>
      </c>
      <c r="AG164" s="386">
        <v>4</v>
      </c>
    </row>
    <row r="165" spans="1:33" x14ac:dyDescent="0.25">
      <c r="A165" s="381" t="s">
        <v>390</v>
      </c>
      <c r="B165" s="387" t="s">
        <v>391</v>
      </c>
      <c r="C165" s="383">
        <v>7272</v>
      </c>
      <c r="D165" s="383">
        <v>0</v>
      </c>
      <c r="E165" s="383">
        <v>222</v>
      </c>
      <c r="F165" s="383">
        <v>1147</v>
      </c>
      <c r="G165" s="383">
        <v>663</v>
      </c>
      <c r="H165" s="383">
        <v>9304</v>
      </c>
      <c r="I165" s="382">
        <v>8641</v>
      </c>
      <c r="J165" s="382">
        <v>3</v>
      </c>
      <c r="K165" s="384">
        <v>95.96</v>
      </c>
      <c r="L165" s="384">
        <v>95.93</v>
      </c>
      <c r="M165" s="384">
        <v>4.3499999999999996</v>
      </c>
      <c r="N165" s="384">
        <v>99.33</v>
      </c>
      <c r="O165" s="385">
        <v>6177</v>
      </c>
      <c r="P165" s="382">
        <v>84.89</v>
      </c>
      <c r="Q165" s="382">
        <v>84.28</v>
      </c>
      <c r="R165" s="382">
        <v>14.14</v>
      </c>
      <c r="S165" s="382">
        <v>98.83</v>
      </c>
      <c r="T165" s="382">
        <v>1230</v>
      </c>
      <c r="U165" s="382">
        <v>152.68</v>
      </c>
      <c r="V165" s="382">
        <v>680</v>
      </c>
      <c r="W165" s="382">
        <v>208.1</v>
      </c>
      <c r="X165" s="382">
        <v>63</v>
      </c>
      <c r="Y165" s="382">
        <v>0</v>
      </c>
      <c r="Z165" s="382">
        <v>14</v>
      </c>
      <c r="AA165" s="382">
        <v>4</v>
      </c>
      <c r="AB165" s="382">
        <v>40</v>
      </c>
      <c r="AC165" s="382">
        <v>29</v>
      </c>
      <c r="AD165" s="386">
        <v>6993</v>
      </c>
      <c r="AE165" s="386">
        <v>32</v>
      </c>
      <c r="AF165" s="386">
        <v>21</v>
      </c>
      <c r="AG165" s="386">
        <v>53</v>
      </c>
    </row>
    <row r="166" spans="1:33" x14ac:dyDescent="0.25">
      <c r="A166" s="381" t="s">
        <v>392</v>
      </c>
      <c r="B166" s="387" t="s">
        <v>393</v>
      </c>
      <c r="C166" s="383">
        <v>2122</v>
      </c>
      <c r="D166" s="383">
        <v>0</v>
      </c>
      <c r="E166" s="383">
        <v>34</v>
      </c>
      <c r="F166" s="383">
        <v>811</v>
      </c>
      <c r="G166" s="383">
        <v>54</v>
      </c>
      <c r="H166" s="383">
        <v>3021</v>
      </c>
      <c r="I166" s="382">
        <v>2967</v>
      </c>
      <c r="J166" s="382">
        <v>0</v>
      </c>
      <c r="K166" s="384">
        <v>103.37</v>
      </c>
      <c r="L166" s="384">
        <v>102.59</v>
      </c>
      <c r="M166" s="384">
        <v>4.32</v>
      </c>
      <c r="N166" s="384">
        <v>106.31</v>
      </c>
      <c r="O166" s="385">
        <v>1981</v>
      </c>
      <c r="P166" s="382">
        <v>85.82</v>
      </c>
      <c r="Q166" s="382">
        <v>85.45</v>
      </c>
      <c r="R166" s="382">
        <v>12.14</v>
      </c>
      <c r="S166" s="382">
        <v>97.88</v>
      </c>
      <c r="T166" s="382">
        <v>765</v>
      </c>
      <c r="U166" s="382">
        <v>130.96</v>
      </c>
      <c r="V166" s="382">
        <v>131</v>
      </c>
      <c r="W166" s="382">
        <v>113.73</v>
      </c>
      <c r="X166" s="382">
        <v>1</v>
      </c>
      <c r="Y166" s="382">
        <v>0</v>
      </c>
      <c r="Z166" s="382">
        <v>9</v>
      </c>
      <c r="AA166" s="382">
        <v>1</v>
      </c>
      <c r="AB166" s="382">
        <v>1</v>
      </c>
      <c r="AC166" s="382">
        <v>2</v>
      </c>
      <c r="AD166" s="386">
        <v>2122</v>
      </c>
      <c r="AE166" s="386">
        <v>11</v>
      </c>
      <c r="AF166" s="386">
        <v>21</v>
      </c>
      <c r="AG166" s="386">
        <v>32</v>
      </c>
    </row>
    <row r="167" spans="1:33" x14ac:dyDescent="0.25">
      <c r="A167" s="381" t="s">
        <v>394</v>
      </c>
      <c r="B167" s="387" t="s">
        <v>395</v>
      </c>
      <c r="C167" s="383">
        <v>3915</v>
      </c>
      <c r="D167" s="383">
        <v>0</v>
      </c>
      <c r="E167" s="383">
        <v>67</v>
      </c>
      <c r="F167" s="383">
        <v>680</v>
      </c>
      <c r="G167" s="383">
        <v>351</v>
      </c>
      <c r="H167" s="383">
        <v>5013</v>
      </c>
      <c r="I167" s="382">
        <v>4662</v>
      </c>
      <c r="J167" s="382">
        <v>0</v>
      </c>
      <c r="K167" s="384">
        <v>96.58</v>
      </c>
      <c r="L167" s="384">
        <v>96.63</v>
      </c>
      <c r="M167" s="384">
        <v>3.44</v>
      </c>
      <c r="N167" s="384">
        <v>99.64</v>
      </c>
      <c r="O167" s="385">
        <v>3702</v>
      </c>
      <c r="P167" s="382">
        <v>87.39</v>
      </c>
      <c r="Q167" s="382">
        <v>88.88</v>
      </c>
      <c r="R167" s="382">
        <v>25.8</v>
      </c>
      <c r="S167" s="382">
        <v>113.08</v>
      </c>
      <c r="T167" s="382">
        <v>702</v>
      </c>
      <c r="U167" s="382">
        <v>111.7</v>
      </c>
      <c r="V167" s="382">
        <v>139</v>
      </c>
      <c r="W167" s="382">
        <v>156.06</v>
      </c>
      <c r="X167" s="382">
        <v>45</v>
      </c>
      <c r="Y167" s="382">
        <v>0</v>
      </c>
      <c r="Z167" s="382">
        <v>5</v>
      </c>
      <c r="AA167" s="382">
        <v>3</v>
      </c>
      <c r="AB167" s="382">
        <v>32</v>
      </c>
      <c r="AC167" s="382">
        <v>4</v>
      </c>
      <c r="AD167" s="386">
        <v>3914</v>
      </c>
      <c r="AE167" s="386">
        <v>18</v>
      </c>
      <c r="AF167" s="386">
        <v>57</v>
      </c>
      <c r="AG167" s="386">
        <v>75</v>
      </c>
    </row>
    <row r="168" spans="1:33" x14ac:dyDescent="0.25">
      <c r="A168" s="381" t="s">
        <v>396</v>
      </c>
      <c r="B168" s="387" t="s">
        <v>397</v>
      </c>
      <c r="C168" s="383">
        <v>46835</v>
      </c>
      <c r="D168" s="383">
        <v>68</v>
      </c>
      <c r="E168" s="383">
        <v>1579</v>
      </c>
      <c r="F168" s="383">
        <v>3219</v>
      </c>
      <c r="G168" s="383">
        <v>1092</v>
      </c>
      <c r="H168" s="383">
        <v>52793</v>
      </c>
      <c r="I168" s="382">
        <v>51701</v>
      </c>
      <c r="J168" s="382">
        <v>196</v>
      </c>
      <c r="K168" s="384">
        <v>81.13</v>
      </c>
      <c r="L168" s="384">
        <v>82.84</v>
      </c>
      <c r="M168" s="384">
        <v>4.5999999999999996</v>
      </c>
      <c r="N168" s="384">
        <v>82.76</v>
      </c>
      <c r="O168" s="385">
        <v>43604</v>
      </c>
      <c r="P168" s="382">
        <v>79.52</v>
      </c>
      <c r="Q168" s="382">
        <v>73.849999999999994</v>
      </c>
      <c r="R168" s="382">
        <v>41.74</v>
      </c>
      <c r="S168" s="382">
        <v>118.39</v>
      </c>
      <c r="T168" s="382">
        <v>4184</v>
      </c>
      <c r="U168" s="382">
        <v>103.91</v>
      </c>
      <c r="V168" s="382">
        <v>1576</v>
      </c>
      <c r="W168" s="382">
        <v>134.22</v>
      </c>
      <c r="X168" s="382">
        <v>1</v>
      </c>
      <c r="Y168" s="382">
        <v>117</v>
      </c>
      <c r="Z168" s="382">
        <v>240</v>
      </c>
      <c r="AA168" s="382">
        <v>61</v>
      </c>
      <c r="AB168" s="382">
        <v>14</v>
      </c>
      <c r="AC168" s="382">
        <v>35</v>
      </c>
      <c r="AD168" s="386">
        <v>45224</v>
      </c>
      <c r="AE168" s="386">
        <v>123</v>
      </c>
      <c r="AF168" s="386">
        <v>262</v>
      </c>
      <c r="AG168" s="386">
        <v>385</v>
      </c>
    </row>
    <row r="169" spans="1:33" x14ac:dyDescent="0.25">
      <c r="A169" s="381" t="s">
        <v>398</v>
      </c>
      <c r="B169" s="387" t="s">
        <v>399</v>
      </c>
      <c r="C169" s="383">
        <v>1709</v>
      </c>
      <c r="D169" s="383">
        <v>0</v>
      </c>
      <c r="E169" s="383">
        <v>357</v>
      </c>
      <c r="F169" s="383">
        <v>260</v>
      </c>
      <c r="G169" s="383">
        <v>129</v>
      </c>
      <c r="H169" s="383">
        <v>2455</v>
      </c>
      <c r="I169" s="382">
        <v>2326</v>
      </c>
      <c r="J169" s="382">
        <v>96</v>
      </c>
      <c r="K169" s="384">
        <v>81.849999999999994</v>
      </c>
      <c r="L169" s="384">
        <v>80.17</v>
      </c>
      <c r="M169" s="384">
        <v>5.86</v>
      </c>
      <c r="N169" s="384">
        <v>84.53</v>
      </c>
      <c r="O169" s="385">
        <v>1680</v>
      </c>
      <c r="P169" s="382">
        <v>96.1</v>
      </c>
      <c r="Q169" s="382">
        <v>71.34</v>
      </c>
      <c r="R169" s="382">
        <v>48.5</v>
      </c>
      <c r="S169" s="382">
        <v>144.44999999999999</v>
      </c>
      <c r="T169" s="382">
        <v>343</v>
      </c>
      <c r="U169" s="382">
        <v>93.32</v>
      </c>
      <c r="V169" s="382">
        <v>20</v>
      </c>
      <c r="W169" s="382">
        <v>0</v>
      </c>
      <c r="X169" s="382">
        <v>0</v>
      </c>
      <c r="Y169" s="382">
        <v>0</v>
      </c>
      <c r="Z169" s="382">
        <v>0</v>
      </c>
      <c r="AA169" s="382">
        <v>1</v>
      </c>
      <c r="AB169" s="382">
        <v>5</v>
      </c>
      <c r="AC169" s="382">
        <v>1</v>
      </c>
      <c r="AD169" s="386">
        <v>1709</v>
      </c>
      <c r="AE169" s="386">
        <v>9</v>
      </c>
      <c r="AF169" s="386">
        <v>19</v>
      </c>
      <c r="AG169" s="386">
        <v>28</v>
      </c>
    </row>
    <row r="170" spans="1:33" x14ac:dyDescent="0.25">
      <c r="A170" s="381" t="s">
        <v>400</v>
      </c>
      <c r="B170" s="387" t="s">
        <v>401</v>
      </c>
      <c r="C170" s="383">
        <v>3742</v>
      </c>
      <c r="D170" s="383">
        <v>0</v>
      </c>
      <c r="E170" s="383">
        <v>302</v>
      </c>
      <c r="F170" s="383">
        <v>822</v>
      </c>
      <c r="G170" s="383">
        <v>1129</v>
      </c>
      <c r="H170" s="383">
        <v>5995</v>
      </c>
      <c r="I170" s="382">
        <v>4866</v>
      </c>
      <c r="J170" s="382">
        <v>2</v>
      </c>
      <c r="K170" s="384">
        <v>101.42</v>
      </c>
      <c r="L170" s="384">
        <v>99.34</v>
      </c>
      <c r="M170" s="384">
        <v>6.74</v>
      </c>
      <c r="N170" s="384">
        <v>106.86</v>
      </c>
      <c r="O170" s="385">
        <v>2965</v>
      </c>
      <c r="P170" s="382">
        <v>85.88</v>
      </c>
      <c r="Q170" s="382">
        <v>82.18</v>
      </c>
      <c r="R170" s="382">
        <v>32.229999999999997</v>
      </c>
      <c r="S170" s="382">
        <v>117.75</v>
      </c>
      <c r="T170" s="382">
        <v>886</v>
      </c>
      <c r="U170" s="382">
        <v>125.18</v>
      </c>
      <c r="V170" s="382">
        <v>367</v>
      </c>
      <c r="W170" s="382">
        <v>159.06</v>
      </c>
      <c r="X170" s="382">
        <v>61</v>
      </c>
      <c r="Y170" s="382">
        <v>0</v>
      </c>
      <c r="Z170" s="382">
        <v>1</v>
      </c>
      <c r="AA170" s="382">
        <v>2</v>
      </c>
      <c r="AB170" s="382">
        <v>12</v>
      </c>
      <c r="AC170" s="382">
        <v>25</v>
      </c>
      <c r="AD170" s="386">
        <v>3451</v>
      </c>
      <c r="AE170" s="386">
        <v>11</v>
      </c>
      <c r="AF170" s="386">
        <v>24</v>
      </c>
      <c r="AG170" s="386">
        <v>35</v>
      </c>
    </row>
    <row r="171" spans="1:33" x14ac:dyDescent="0.25">
      <c r="A171" s="381" t="s">
        <v>402</v>
      </c>
      <c r="B171" s="387" t="s">
        <v>403</v>
      </c>
      <c r="C171" s="383">
        <v>469</v>
      </c>
      <c r="D171" s="383">
        <v>0</v>
      </c>
      <c r="E171" s="383">
        <v>67</v>
      </c>
      <c r="F171" s="383">
        <v>79</v>
      </c>
      <c r="G171" s="383">
        <v>154</v>
      </c>
      <c r="H171" s="383">
        <v>769</v>
      </c>
      <c r="I171" s="382">
        <v>615</v>
      </c>
      <c r="J171" s="382">
        <v>7</v>
      </c>
      <c r="K171" s="384">
        <v>91.65</v>
      </c>
      <c r="L171" s="384">
        <v>89.9</v>
      </c>
      <c r="M171" s="384">
        <v>2.77</v>
      </c>
      <c r="N171" s="384">
        <v>93.69</v>
      </c>
      <c r="O171" s="385">
        <v>408</v>
      </c>
      <c r="P171" s="382">
        <v>78.099999999999994</v>
      </c>
      <c r="Q171" s="382">
        <v>77.2</v>
      </c>
      <c r="R171" s="382">
        <v>36.72</v>
      </c>
      <c r="S171" s="382">
        <v>114.82</v>
      </c>
      <c r="T171" s="382">
        <v>145</v>
      </c>
      <c r="U171" s="382">
        <v>101.15</v>
      </c>
      <c r="V171" s="382">
        <v>44</v>
      </c>
      <c r="W171" s="382">
        <v>0</v>
      </c>
      <c r="X171" s="382">
        <v>0</v>
      </c>
      <c r="Y171" s="382">
        <v>0</v>
      </c>
      <c r="Z171" s="382">
        <v>1</v>
      </c>
      <c r="AA171" s="382">
        <v>0</v>
      </c>
      <c r="AB171" s="382">
        <v>0</v>
      </c>
      <c r="AC171" s="382">
        <v>3</v>
      </c>
      <c r="AD171" s="386">
        <v>468</v>
      </c>
      <c r="AE171" s="386">
        <v>1</v>
      </c>
      <c r="AF171" s="386">
        <v>0</v>
      </c>
      <c r="AG171" s="386">
        <v>1</v>
      </c>
    </row>
    <row r="172" spans="1:33" x14ac:dyDescent="0.25">
      <c r="A172" s="381" t="s">
        <v>404</v>
      </c>
      <c r="B172" s="387" t="s">
        <v>405</v>
      </c>
      <c r="C172" s="383">
        <v>4939</v>
      </c>
      <c r="D172" s="383">
        <v>0</v>
      </c>
      <c r="E172" s="383">
        <v>282</v>
      </c>
      <c r="F172" s="383">
        <v>1028</v>
      </c>
      <c r="G172" s="383">
        <v>329</v>
      </c>
      <c r="H172" s="383">
        <v>6578</v>
      </c>
      <c r="I172" s="382">
        <v>6249</v>
      </c>
      <c r="J172" s="382">
        <v>13</v>
      </c>
      <c r="K172" s="384">
        <v>93.38</v>
      </c>
      <c r="L172" s="384">
        <v>92.45</v>
      </c>
      <c r="M172" s="384">
        <v>4.0999999999999996</v>
      </c>
      <c r="N172" s="384">
        <v>94.87</v>
      </c>
      <c r="O172" s="385">
        <v>4174</v>
      </c>
      <c r="P172" s="382">
        <v>83.16</v>
      </c>
      <c r="Q172" s="382">
        <v>80.209999999999994</v>
      </c>
      <c r="R172" s="382">
        <v>20.81</v>
      </c>
      <c r="S172" s="382">
        <v>103.72</v>
      </c>
      <c r="T172" s="382">
        <v>1186</v>
      </c>
      <c r="U172" s="382">
        <v>114.1</v>
      </c>
      <c r="V172" s="382">
        <v>583</v>
      </c>
      <c r="W172" s="382">
        <v>113.58</v>
      </c>
      <c r="X172" s="382">
        <v>34</v>
      </c>
      <c r="Y172" s="382">
        <v>0</v>
      </c>
      <c r="Z172" s="382">
        <v>7</v>
      </c>
      <c r="AA172" s="382">
        <v>5</v>
      </c>
      <c r="AB172" s="382">
        <v>2</v>
      </c>
      <c r="AC172" s="382">
        <v>5</v>
      </c>
      <c r="AD172" s="386">
        <v>4765</v>
      </c>
      <c r="AE172" s="386">
        <v>27</v>
      </c>
      <c r="AF172" s="386">
        <v>15</v>
      </c>
      <c r="AG172" s="386">
        <v>42</v>
      </c>
    </row>
    <row r="173" spans="1:33" x14ac:dyDescent="0.25">
      <c r="A173" s="381" t="s">
        <v>406</v>
      </c>
      <c r="B173" s="387" t="s">
        <v>407</v>
      </c>
      <c r="C173" s="383">
        <v>10101</v>
      </c>
      <c r="D173" s="383">
        <v>6</v>
      </c>
      <c r="E173" s="383">
        <v>438</v>
      </c>
      <c r="F173" s="383">
        <v>835</v>
      </c>
      <c r="G173" s="383">
        <v>677</v>
      </c>
      <c r="H173" s="383">
        <v>12057</v>
      </c>
      <c r="I173" s="382">
        <v>11380</v>
      </c>
      <c r="J173" s="382">
        <v>2007</v>
      </c>
      <c r="K173" s="384">
        <v>113.38</v>
      </c>
      <c r="L173" s="384">
        <v>115.12</v>
      </c>
      <c r="M173" s="384">
        <v>7.24</v>
      </c>
      <c r="N173" s="384">
        <v>119.21</v>
      </c>
      <c r="O173" s="385">
        <v>9190</v>
      </c>
      <c r="P173" s="382">
        <v>104.27</v>
      </c>
      <c r="Q173" s="382">
        <v>104.3</v>
      </c>
      <c r="R173" s="382">
        <v>30.02</v>
      </c>
      <c r="S173" s="382">
        <v>133.26</v>
      </c>
      <c r="T173" s="382">
        <v>986</v>
      </c>
      <c r="U173" s="382">
        <v>140.51</v>
      </c>
      <c r="V173" s="382">
        <v>766</v>
      </c>
      <c r="W173" s="382">
        <v>326.56</v>
      </c>
      <c r="X173" s="382">
        <v>13</v>
      </c>
      <c r="Y173" s="382">
        <v>0</v>
      </c>
      <c r="Z173" s="382">
        <v>45</v>
      </c>
      <c r="AA173" s="382">
        <v>6</v>
      </c>
      <c r="AB173" s="382">
        <v>18</v>
      </c>
      <c r="AC173" s="382">
        <v>22</v>
      </c>
      <c r="AD173" s="386">
        <v>10055</v>
      </c>
      <c r="AE173" s="386">
        <v>10</v>
      </c>
      <c r="AF173" s="386">
        <v>14</v>
      </c>
      <c r="AG173" s="386">
        <v>24</v>
      </c>
    </row>
    <row r="174" spans="1:33" x14ac:dyDescent="0.25">
      <c r="A174" s="381" t="s">
        <v>408</v>
      </c>
      <c r="B174" s="387" t="s">
        <v>409</v>
      </c>
      <c r="C174" s="383">
        <v>954</v>
      </c>
      <c r="D174" s="383">
        <v>0</v>
      </c>
      <c r="E174" s="383">
        <v>50</v>
      </c>
      <c r="F174" s="383">
        <v>286</v>
      </c>
      <c r="G174" s="383">
        <v>213</v>
      </c>
      <c r="H174" s="383">
        <v>1503</v>
      </c>
      <c r="I174" s="382">
        <v>1290</v>
      </c>
      <c r="J174" s="382">
        <v>4</v>
      </c>
      <c r="K174" s="384">
        <v>87.33</v>
      </c>
      <c r="L174" s="384">
        <v>85.45</v>
      </c>
      <c r="M174" s="384">
        <v>4.2</v>
      </c>
      <c r="N174" s="384">
        <v>91</v>
      </c>
      <c r="O174" s="385">
        <v>738</v>
      </c>
      <c r="P174" s="382">
        <v>76.67</v>
      </c>
      <c r="Q174" s="382">
        <v>74.53</v>
      </c>
      <c r="R174" s="382">
        <v>17.29</v>
      </c>
      <c r="S174" s="382">
        <v>92.64</v>
      </c>
      <c r="T174" s="382">
        <v>170</v>
      </c>
      <c r="U174" s="382">
        <v>110.97</v>
      </c>
      <c r="V174" s="382">
        <v>94</v>
      </c>
      <c r="W174" s="382">
        <v>0</v>
      </c>
      <c r="X174" s="382">
        <v>0</v>
      </c>
      <c r="Y174" s="382">
        <v>0</v>
      </c>
      <c r="Z174" s="382">
        <v>1</v>
      </c>
      <c r="AA174" s="382">
        <v>0</v>
      </c>
      <c r="AB174" s="382">
        <v>2</v>
      </c>
      <c r="AC174" s="382">
        <v>7</v>
      </c>
      <c r="AD174" s="386">
        <v>829</v>
      </c>
      <c r="AE174" s="386">
        <v>7</v>
      </c>
      <c r="AF174" s="386">
        <v>1</v>
      </c>
      <c r="AG174" s="386">
        <v>8</v>
      </c>
    </row>
    <row r="175" spans="1:33" x14ac:dyDescent="0.25">
      <c r="A175" s="381" t="s">
        <v>410</v>
      </c>
      <c r="B175" s="387" t="s">
        <v>411</v>
      </c>
      <c r="C175" s="383">
        <v>1115</v>
      </c>
      <c r="D175" s="383">
        <v>0</v>
      </c>
      <c r="E175" s="383">
        <v>105</v>
      </c>
      <c r="F175" s="383">
        <v>210</v>
      </c>
      <c r="G175" s="383">
        <v>297</v>
      </c>
      <c r="H175" s="383">
        <v>1727</v>
      </c>
      <c r="I175" s="382">
        <v>1430</v>
      </c>
      <c r="J175" s="382">
        <v>16</v>
      </c>
      <c r="K175" s="384">
        <v>93.39</v>
      </c>
      <c r="L175" s="384">
        <v>92.64</v>
      </c>
      <c r="M175" s="384">
        <v>4.34</v>
      </c>
      <c r="N175" s="384">
        <v>96.27</v>
      </c>
      <c r="O175" s="385">
        <v>912</v>
      </c>
      <c r="P175" s="382">
        <v>80.22</v>
      </c>
      <c r="Q175" s="382">
        <v>78.59</v>
      </c>
      <c r="R175" s="382">
        <v>29.16</v>
      </c>
      <c r="S175" s="382">
        <v>109.07</v>
      </c>
      <c r="T175" s="382">
        <v>291</v>
      </c>
      <c r="U175" s="382">
        <v>111.44</v>
      </c>
      <c r="V175" s="382">
        <v>153</v>
      </c>
      <c r="W175" s="382">
        <v>110.72</v>
      </c>
      <c r="X175" s="382">
        <v>1</v>
      </c>
      <c r="Y175" s="382">
        <v>0</v>
      </c>
      <c r="Z175" s="382">
        <v>4</v>
      </c>
      <c r="AA175" s="382">
        <v>2</v>
      </c>
      <c r="AB175" s="382">
        <v>0</v>
      </c>
      <c r="AC175" s="382">
        <v>1</v>
      </c>
      <c r="AD175" s="386">
        <v>1110</v>
      </c>
      <c r="AE175" s="386">
        <v>3</v>
      </c>
      <c r="AF175" s="386">
        <v>2</v>
      </c>
      <c r="AG175" s="386">
        <v>5</v>
      </c>
    </row>
    <row r="176" spans="1:33" x14ac:dyDescent="0.25">
      <c r="A176" s="381" t="s">
        <v>412</v>
      </c>
      <c r="B176" s="387" t="s">
        <v>413</v>
      </c>
      <c r="C176" s="383">
        <v>5419</v>
      </c>
      <c r="D176" s="383">
        <v>3</v>
      </c>
      <c r="E176" s="383">
        <v>174</v>
      </c>
      <c r="F176" s="383">
        <v>822</v>
      </c>
      <c r="G176" s="383">
        <v>563</v>
      </c>
      <c r="H176" s="383">
        <v>6981</v>
      </c>
      <c r="I176" s="382">
        <v>6418</v>
      </c>
      <c r="J176" s="382">
        <v>6</v>
      </c>
      <c r="K176" s="384">
        <v>116.54</v>
      </c>
      <c r="L176" s="384">
        <v>116.42</v>
      </c>
      <c r="M176" s="384">
        <v>4.75</v>
      </c>
      <c r="N176" s="384">
        <v>119.86</v>
      </c>
      <c r="O176" s="385">
        <v>4201</v>
      </c>
      <c r="P176" s="382">
        <v>100.42</v>
      </c>
      <c r="Q176" s="382">
        <v>99.1</v>
      </c>
      <c r="R176" s="382">
        <v>34.450000000000003</v>
      </c>
      <c r="S176" s="382">
        <v>133.18</v>
      </c>
      <c r="T176" s="382">
        <v>817</v>
      </c>
      <c r="U176" s="382">
        <v>153.29</v>
      </c>
      <c r="V176" s="382">
        <v>902</v>
      </c>
      <c r="W176" s="382">
        <v>0</v>
      </c>
      <c r="X176" s="382">
        <v>0</v>
      </c>
      <c r="Y176" s="382">
        <v>61</v>
      </c>
      <c r="Z176" s="382">
        <v>3</v>
      </c>
      <c r="AA176" s="382">
        <v>0</v>
      </c>
      <c r="AB176" s="382">
        <v>41</v>
      </c>
      <c r="AC176" s="382">
        <v>20</v>
      </c>
      <c r="AD176" s="386">
        <v>5122</v>
      </c>
      <c r="AE176" s="386">
        <v>48</v>
      </c>
      <c r="AF176" s="386">
        <v>60</v>
      </c>
      <c r="AG176" s="386">
        <v>108</v>
      </c>
    </row>
    <row r="177" spans="1:33" x14ac:dyDescent="0.25">
      <c r="A177" s="381" t="s">
        <v>414</v>
      </c>
      <c r="B177" s="387" t="s">
        <v>415</v>
      </c>
      <c r="C177" s="383">
        <v>13055</v>
      </c>
      <c r="D177" s="383">
        <v>4</v>
      </c>
      <c r="E177" s="383">
        <v>608</v>
      </c>
      <c r="F177" s="383">
        <v>1507</v>
      </c>
      <c r="G177" s="383">
        <v>279</v>
      </c>
      <c r="H177" s="383">
        <v>15453</v>
      </c>
      <c r="I177" s="382">
        <v>15174</v>
      </c>
      <c r="J177" s="382">
        <v>31</v>
      </c>
      <c r="K177" s="384">
        <v>86.15</v>
      </c>
      <c r="L177" s="384">
        <v>80.7</v>
      </c>
      <c r="M177" s="384">
        <v>7.13</v>
      </c>
      <c r="N177" s="384">
        <v>88.63</v>
      </c>
      <c r="O177" s="385">
        <v>12559</v>
      </c>
      <c r="P177" s="382">
        <v>84.12</v>
      </c>
      <c r="Q177" s="382">
        <v>78.56</v>
      </c>
      <c r="R177" s="382">
        <v>41.8</v>
      </c>
      <c r="S177" s="382">
        <v>118.06</v>
      </c>
      <c r="T177" s="382">
        <v>2034</v>
      </c>
      <c r="U177" s="382">
        <v>94.36</v>
      </c>
      <c r="V177" s="382">
        <v>309</v>
      </c>
      <c r="W177" s="382">
        <v>170.24</v>
      </c>
      <c r="X177" s="382">
        <v>59</v>
      </c>
      <c r="Y177" s="382">
        <v>0</v>
      </c>
      <c r="Z177" s="382">
        <v>36</v>
      </c>
      <c r="AA177" s="382">
        <v>11</v>
      </c>
      <c r="AB177" s="382">
        <v>0</v>
      </c>
      <c r="AC177" s="382">
        <v>1</v>
      </c>
      <c r="AD177" s="386">
        <v>13023</v>
      </c>
      <c r="AE177" s="386">
        <v>313</v>
      </c>
      <c r="AF177" s="386">
        <v>52</v>
      </c>
      <c r="AG177" s="386">
        <v>365</v>
      </c>
    </row>
    <row r="178" spans="1:33" x14ac:dyDescent="0.25">
      <c r="A178" s="381" t="s">
        <v>416</v>
      </c>
      <c r="B178" s="387" t="s">
        <v>417</v>
      </c>
      <c r="C178" s="383">
        <v>7657</v>
      </c>
      <c r="D178" s="383">
        <v>13</v>
      </c>
      <c r="E178" s="383">
        <v>390</v>
      </c>
      <c r="F178" s="383">
        <v>588</v>
      </c>
      <c r="G178" s="383">
        <v>4905</v>
      </c>
      <c r="H178" s="383">
        <v>13553</v>
      </c>
      <c r="I178" s="382">
        <v>8648</v>
      </c>
      <c r="J178" s="382">
        <v>1</v>
      </c>
      <c r="K178" s="384">
        <v>99.56</v>
      </c>
      <c r="L178" s="384">
        <v>96.82</v>
      </c>
      <c r="M178" s="384">
        <v>6.22</v>
      </c>
      <c r="N178" s="384">
        <v>103.7</v>
      </c>
      <c r="O178" s="385">
        <v>6291</v>
      </c>
      <c r="P178" s="382">
        <v>98.54</v>
      </c>
      <c r="Q178" s="382">
        <v>96.42</v>
      </c>
      <c r="R178" s="382">
        <v>38.07</v>
      </c>
      <c r="S178" s="382">
        <v>135.47999999999999</v>
      </c>
      <c r="T178" s="382">
        <v>812</v>
      </c>
      <c r="U178" s="382">
        <v>129.91</v>
      </c>
      <c r="V178" s="382">
        <v>515</v>
      </c>
      <c r="W178" s="382">
        <v>0</v>
      </c>
      <c r="X178" s="382">
        <v>0</v>
      </c>
      <c r="Y178" s="382">
        <v>15</v>
      </c>
      <c r="Z178" s="382">
        <v>5</v>
      </c>
      <c r="AA178" s="382">
        <v>20</v>
      </c>
      <c r="AB178" s="382">
        <v>74</v>
      </c>
      <c r="AC178" s="382">
        <v>104</v>
      </c>
      <c r="AD178" s="386">
        <v>7473</v>
      </c>
      <c r="AE178" s="386">
        <v>16</v>
      </c>
      <c r="AF178" s="386">
        <v>15</v>
      </c>
      <c r="AG178" s="386">
        <v>31</v>
      </c>
    </row>
    <row r="179" spans="1:33" x14ac:dyDescent="0.25">
      <c r="A179" s="381" t="s">
        <v>418</v>
      </c>
      <c r="B179" s="387" t="s">
        <v>419</v>
      </c>
      <c r="C179" s="383">
        <v>3358</v>
      </c>
      <c r="D179" s="383">
        <v>156</v>
      </c>
      <c r="E179" s="383">
        <v>204</v>
      </c>
      <c r="F179" s="383">
        <v>655</v>
      </c>
      <c r="G179" s="383">
        <v>294</v>
      </c>
      <c r="H179" s="383">
        <v>4667</v>
      </c>
      <c r="I179" s="382">
        <v>4373</v>
      </c>
      <c r="J179" s="382">
        <v>0</v>
      </c>
      <c r="K179" s="384">
        <v>111.48</v>
      </c>
      <c r="L179" s="384">
        <v>113.79</v>
      </c>
      <c r="M179" s="384">
        <v>3.48</v>
      </c>
      <c r="N179" s="384">
        <v>114.87</v>
      </c>
      <c r="O179" s="385">
        <v>3108</v>
      </c>
      <c r="P179" s="382">
        <v>94.57</v>
      </c>
      <c r="Q179" s="382">
        <v>92.42</v>
      </c>
      <c r="R179" s="382">
        <v>25.01</v>
      </c>
      <c r="S179" s="382">
        <v>119.55</v>
      </c>
      <c r="T179" s="382">
        <v>721</v>
      </c>
      <c r="U179" s="382">
        <v>147.09</v>
      </c>
      <c r="V179" s="382">
        <v>326</v>
      </c>
      <c r="W179" s="382">
        <v>0</v>
      </c>
      <c r="X179" s="382">
        <v>0</v>
      </c>
      <c r="Y179" s="382">
        <v>0</v>
      </c>
      <c r="Z179" s="382">
        <v>4</v>
      </c>
      <c r="AA179" s="382">
        <v>3</v>
      </c>
      <c r="AB179" s="382">
        <v>0</v>
      </c>
      <c r="AC179" s="382">
        <v>8</v>
      </c>
      <c r="AD179" s="386">
        <v>3305</v>
      </c>
      <c r="AE179" s="386">
        <v>24</v>
      </c>
      <c r="AF179" s="386">
        <v>22</v>
      </c>
      <c r="AG179" s="386">
        <v>46</v>
      </c>
    </row>
    <row r="180" spans="1:33" x14ac:dyDescent="0.25">
      <c r="A180" s="381" t="s">
        <v>420</v>
      </c>
      <c r="B180" s="387" t="s">
        <v>421</v>
      </c>
      <c r="C180" s="383">
        <v>2683</v>
      </c>
      <c r="D180" s="383">
        <v>8</v>
      </c>
      <c r="E180" s="383">
        <v>278</v>
      </c>
      <c r="F180" s="383">
        <v>342</v>
      </c>
      <c r="G180" s="383">
        <v>313</v>
      </c>
      <c r="H180" s="383">
        <v>3624</v>
      </c>
      <c r="I180" s="382">
        <v>3311</v>
      </c>
      <c r="J180" s="382">
        <v>0</v>
      </c>
      <c r="K180" s="384">
        <v>112.54</v>
      </c>
      <c r="L180" s="384">
        <v>114.34</v>
      </c>
      <c r="M180" s="384">
        <v>3.82</v>
      </c>
      <c r="N180" s="384">
        <v>115.82</v>
      </c>
      <c r="O180" s="385">
        <v>2401</v>
      </c>
      <c r="P180" s="382">
        <v>95.03</v>
      </c>
      <c r="Q180" s="382">
        <v>92.02</v>
      </c>
      <c r="R180" s="382">
        <v>29.92</v>
      </c>
      <c r="S180" s="382">
        <v>123.15</v>
      </c>
      <c r="T180" s="382">
        <v>467</v>
      </c>
      <c r="U180" s="382">
        <v>139.51</v>
      </c>
      <c r="V180" s="382">
        <v>159</v>
      </c>
      <c r="W180" s="382">
        <v>0</v>
      </c>
      <c r="X180" s="382">
        <v>0</v>
      </c>
      <c r="Y180" s="382">
        <v>34</v>
      </c>
      <c r="Z180" s="382">
        <v>2</v>
      </c>
      <c r="AA180" s="382">
        <v>0</v>
      </c>
      <c r="AB180" s="382">
        <v>8</v>
      </c>
      <c r="AC180" s="382">
        <v>4</v>
      </c>
      <c r="AD180" s="386">
        <v>2636</v>
      </c>
      <c r="AE180" s="386">
        <v>5</v>
      </c>
      <c r="AF180" s="386">
        <v>3</v>
      </c>
      <c r="AG180" s="386">
        <v>8</v>
      </c>
    </row>
    <row r="181" spans="1:33" x14ac:dyDescent="0.25">
      <c r="A181" s="381" t="s">
        <v>422</v>
      </c>
      <c r="B181" s="387" t="s">
        <v>423</v>
      </c>
      <c r="C181" s="383">
        <v>1664</v>
      </c>
      <c r="D181" s="383">
        <v>0</v>
      </c>
      <c r="E181" s="383">
        <v>276</v>
      </c>
      <c r="F181" s="383">
        <v>361</v>
      </c>
      <c r="G181" s="383">
        <v>248</v>
      </c>
      <c r="H181" s="383">
        <v>2549</v>
      </c>
      <c r="I181" s="382">
        <v>2301</v>
      </c>
      <c r="J181" s="382">
        <v>43</v>
      </c>
      <c r="K181" s="384">
        <v>87.15</v>
      </c>
      <c r="L181" s="384">
        <v>84.94</v>
      </c>
      <c r="M181" s="384">
        <v>3.9</v>
      </c>
      <c r="N181" s="384">
        <v>89.25</v>
      </c>
      <c r="O181" s="385">
        <v>1535</v>
      </c>
      <c r="P181" s="382">
        <v>97.95</v>
      </c>
      <c r="Q181" s="382">
        <v>77.14</v>
      </c>
      <c r="R181" s="382">
        <v>30.98</v>
      </c>
      <c r="S181" s="382">
        <v>126.86</v>
      </c>
      <c r="T181" s="382">
        <v>464</v>
      </c>
      <c r="U181" s="382">
        <v>96.69</v>
      </c>
      <c r="V181" s="382">
        <v>106</v>
      </c>
      <c r="W181" s="382">
        <v>87.12</v>
      </c>
      <c r="X181" s="382">
        <v>1</v>
      </c>
      <c r="Y181" s="382">
        <v>0</v>
      </c>
      <c r="Z181" s="382">
        <v>1</v>
      </c>
      <c r="AA181" s="382">
        <v>12</v>
      </c>
      <c r="AB181" s="382">
        <v>31</v>
      </c>
      <c r="AC181" s="382">
        <v>5</v>
      </c>
      <c r="AD181" s="386">
        <v>1664</v>
      </c>
      <c r="AE181" s="386">
        <v>27</v>
      </c>
      <c r="AF181" s="386">
        <v>14</v>
      </c>
      <c r="AG181" s="386">
        <v>41</v>
      </c>
    </row>
    <row r="182" spans="1:33" x14ac:dyDescent="0.25">
      <c r="A182" s="381" t="s">
        <v>424</v>
      </c>
      <c r="B182" s="387" t="s">
        <v>425</v>
      </c>
      <c r="C182" s="383">
        <v>6688</v>
      </c>
      <c r="D182" s="383">
        <v>253</v>
      </c>
      <c r="E182" s="383">
        <v>1164</v>
      </c>
      <c r="F182" s="383">
        <v>1491</v>
      </c>
      <c r="G182" s="383">
        <v>404</v>
      </c>
      <c r="H182" s="383">
        <v>10000</v>
      </c>
      <c r="I182" s="382">
        <v>9596</v>
      </c>
      <c r="J182" s="382">
        <v>135</v>
      </c>
      <c r="K182" s="384">
        <v>79.09</v>
      </c>
      <c r="L182" s="384">
        <v>77.16</v>
      </c>
      <c r="M182" s="384">
        <v>10.58</v>
      </c>
      <c r="N182" s="384">
        <v>87.68</v>
      </c>
      <c r="O182" s="385">
        <v>5827</v>
      </c>
      <c r="P182" s="382">
        <v>84.77</v>
      </c>
      <c r="Q182" s="382">
        <v>73.260000000000005</v>
      </c>
      <c r="R182" s="382">
        <v>48.23</v>
      </c>
      <c r="S182" s="382">
        <v>130.16</v>
      </c>
      <c r="T182" s="382">
        <v>2358</v>
      </c>
      <c r="U182" s="382">
        <v>99.37</v>
      </c>
      <c r="V182" s="382">
        <v>561</v>
      </c>
      <c r="W182" s="382">
        <v>164.95</v>
      </c>
      <c r="X182" s="382">
        <v>35</v>
      </c>
      <c r="Y182" s="382">
        <v>0</v>
      </c>
      <c r="Z182" s="382">
        <v>3</v>
      </c>
      <c r="AA182" s="382">
        <v>8</v>
      </c>
      <c r="AB182" s="382">
        <v>5</v>
      </c>
      <c r="AC182" s="382">
        <v>7</v>
      </c>
      <c r="AD182" s="386">
        <v>6284</v>
      </c>
      <c r="AE182" s="386">
        <v>83</v>
      </c>
      <c r="AF182" s="386">
        <v>24</v>
      </c>
      <c r="AG182" s="386">
        <v>107</v>
      </c>
    </row>
    <row r="183" spans="1:33" x14ac:dyDescent="0.25">
      <c r="A183" s="381" t="s">
        <v>426</v>
      </c>
      <c r="B183" s="387" t="s">
        <v>427</v>
      </c>
      <c r="C183" s="383">
        <v>8971</v>
      </c>
      <c r="D183" s="383">
        <v>0</v>
      </c>
      <c r="E183" s="383">
        <v>53</v>
      </c>
      <c r="F183" s="383">
        <v>876</v>
      </c>
      <c r="G183" s="383">
        <v>210</v>
      </c>
      <c r="H183" s="383">
        <v>10110</v>
      </c>
      <c r="I183" s="382">
        <v>9900</v>
      </c>
      <c r="J183" s="382">
        <v>87</v>
      </c>
      <c r="K183" s="384">
        <v>77.36</v>
      </c>
      <c r="L183" s="384">
        <v>79.94</v>
      </c>
      <c r="M183" s="384">
        <v>3.67</v>
      </c>
      <c r="N183" s="384">
        <v>80.87</v>
      </c>
      <c r="O183" s="385">
        <v>8598</v>
      </c>
      <c r="P183" s="382">
        <v>74.53</v>
      </c>
      <c r="Q183" s="382">
        <v>77.239999999999995</v>
      </c>
      <c r="R183" s="382">
        <v>22.76</v>
      </c>
      <c r="S183" s="382">
        <v>97.07</v>
      </c>
      <c r="T183" s="382">
        <v>824</v>
      </c>
      <c r="U183" s="382">
        <v>95.71</v>
      </c>
      <c r="V183" s="382">
        <v>324</v>
      </c>
      <c r="W183" s="382">
        <v>153.29</v>
      </c>
      <c r="X183" s="382">
        <v>17</v>
      </c>
      <c r="Y183" s="382">
        <v>0</v>
      </c>
      <c r="Z183" s="382">
        <v>29</v>
      </c>
      <c r="AA183" s="382">
        <v>10</v>
      </c>
      <c r="AB183" s="382">
        <v>23</v>
      </c>
      <c r="AC183" s="382">
        <v>2</v>
      </c>
      <c r="AD183" s="386">
        <v>8970</v>
      </c>
      <c r="AE183" s="386">
        <v>54</v>
      </c>
      <c r="AF183" s="386">
        <v>11</v>
      </c>
      <c r="AG183" s="386">
        <v>65</v>
      </c>
    </row>
    <row r="184" spans="1:33" x14ac:dyDescent="0.25">
      <c r="A184" s="381" t="s">
        <v>428</v>
      </c>
      <c r="B184" s="387" t="s">
        <v>429</v>
      </c>
      <c r="C184" s="383">
        <v>12030</v>
      </c>
      <c r="D184" s="383">
        <v>33</v>
      </c>
      <c r="E184" s="383">
        <v>1052</v>
      </c>
      <c r="F184" s="383">
        <v>952</v>
      </c>
      <c r="G184" s="383">
        <v>1760</v>
      </c>
      <c r="H184" s="383">
        <v>15827</v>
      </c>
      <c r="I184" s="382">
        <v>14067</v>
      </c>
      <c r="J184" s="382">
        <v>34</v>
      </c>
      <c r="K184" s="384">
        <v>134.52000000000001</v>
      </c>
      <c r="L184" s="384">
        <v>119.3</v>
      </c>
      <c r="M184" s="384">
        <v>8.64</v>
      </c>
      <c r="N184" s="384">
        <v>138.49</v>
      </c>
      <c r="O184" s="385">
        <v>9925</v>
      </c>
      <c r="P184" s="382">
        <v>99.68</v>
      </c>
      <c r="Q184" s="382">
        <v>98.57</v>
      </c>
      <c r="R184" s="382">
        <v>51.32</v>
      </c>
      <c r="S184" s="382">
        <v>148.25</v>
      </c>
      <c r="T184" s="382">
        <v>1941</v>
      </c>
      <c r="U184" s="382">
        <v>162.66999999999999</v>
      </c>
      <c r="V184" s="382">
        <v>403</v>
      </c>
      <c r="W184" s="382">
        <v>175.33</v>
      </c>
      <c r="X184" s="382">
        <v>7</v>
      </c>
      <c r="Y184" s="382">
        <v>81</v>
      </c>
      <c r="Z184" s="382">
        <v>2</v>
      </c>
      <c r="AA184" s="382">
        <v>35</v>
      </c>
      <c r="AB184" s="382">
        <v>74</v>
      </c>
      <c r="AC184" s="382">
        <v>111</v>
      </c>
      <c r="AD184" s="386">
        <v>11120</v>
      </c>
      <c r="AE184" s="386">
        <v>74</v>
      </c>
      <c r="AF184" s="386">
        <v>23</v>
      </c>
      <c r="AG184" s="386">
        <v>97</v>
      </c>
    </row>
    <row r="185" spans="1:33" x14ac:dyDescent="0.25">
      <c r="A185" s="381" t="s">
        <v>430</v>
      </c>
      <c r="B185" s="387" t="s">
        <v>431</v>
      </c>
      <c r="C185" s="383">
        <v>3461</v>
      </c>
      <c r="D185" s="383">
        <v>0</v>
      </c>
      <c r="E185" s="383">
        <v>58</v>
      </c>
      <c r="F185" s="383">
        <v>902</v>
      </c>
      <c r="G185" s="383">
        <v>189</v>
      </c>
      <c r="H185" s="383">
        <v>4610</v>
      </c>
      <c r="I185" s="382">
        <v>4421</v>
      </c>
      <c r="J185" s="382">
        <v>14</v>
      </c>
      <c r="K185" s="384">
        <v>84.99</v>
      </c>
      <c r="L185" s="384">
        <v>85.78</v>
      </c>
      <c r="M185" s="384">
        <v>3.17</v>
      </c>
      <c r="N185" s="384">
        <v>86.77</v>
      </c>
      <c r="O185" s="385">
        <v>3159</v>
      </c>
      <c r="P185" s="382">
        <v>74.150000000000006</v>
      </c>
      <c r="Q185" s="382">
        <v>74.36</v>
      </c>
      <c r="R185" s="382">
        <v>13.35</v>
      </c>
      <c r="S185" s="382">
        <v>86.39</v>
      </c>
      <c r="T185" s="382">
        <v>904</v>
      </c>
      <c r="U185" s="382">
        <v>114.86</v>
      </c>
      <c r="V185" s="382">
        <v>282</v>
      </c>
      <c r="W185" s="382">
        <v>0</v>
      </c>
      <c r="X185" s="382">
        <v>0</v>
      </c>
      <c r="Y185" s="382">
        <v>0</v>
      </c>
      <c r="Z185" s="382">
        <v>8</v>
      </c>
      <c r="AA185" s="382">
        <v>1</v>
      </c>
      <c r="AB185" s="382">
        <v>3</v>
      </c>
      <c r="AC185" s="382">
        <v>2</v>
      </c>
      <c r="AD185" s="386">
        <v>3461</v>
      </c>
      <c r="AE185" s="386">
        <v>10</v>
      </c>
      <c r="AF185" s="386">
        <v>38</v>
      </c>
      <c r="AG185" s="386">
        <v>48</v>
      </c>
    </row>
    <row r="186" spans="1:33" x14ac:dyDescent="0.25">
      <c r="A186" s="381" t="s">
        <v>432</v>
      </c>
      <c r="B186" s="387" t="s">
        <v>433</v>
      </c>
      <c r="C186" s="383">
        <v>697</v>
      </c>
      <c r="D186" s="383">
        <v>0</v>
      </c>
      <c r="E186" s="383">
        <v>54</v>
      </c>
      <c r="F186" s="383">
        <v>148</v>
      </c>
      <c r="G186" s="383">
        <v>95</v>
      </c>
      <c r="H186" s="383">
        <v>994</v>
      </c>
      <c r="I186" s="382">
        <v>899</v>
      </c>
      <c r="J186" s="382">
        <v>0</v>
      </c>
      <c r="K186" s="384">
        <v>89.64</v>
      </c>
      <c r="L186" s="384">
        <v>90.03</v>
      </c>
      <c r="M186" s="384">
        <v>4.8600000000000003</v>
      </c>
      <c r="N186" s="384">
        <v>92.08</v>
      </c>
      <c r="O186" s="385">
        <v>584</v>
      </c>
      <c r="P186" s="382">
        <v>87.84</v>
      </c>
      <c r="Q186" s="382">
        <v>90.43</v>
      </c>
      <c r="R186" s="382">
        <v>40.450000000000003</v>
      </c>
      <c r="S186" s="382">
        <v>125.49</v>
      </c>
      <c r="T186" s="382">
        <v>202</v>
      </c>
      <c r="U186" s="382">
        <v>103.09</v>
      </c>
      <c r="V186" s="382">
        <v>80</v>
      </c>
      <c r="W186" s="382">
        <v>0</v>
      </c>
      <c r="X186" s="382">
        <v>0</v>
      </c>
      <c r="Y186" s="382">
        <v>0</v>
      </c>
      <c r="Z186" s="382">
        <v>0</v>
      </c>
      <c r="AA186" s="382">
        <v>1</v>
      </c>
      <c r="AB186" s="382">
        <v>0</v>
      </c>
      <c r="AC186" s="382">
        <v>0</v>
      </c>
      <c r="AD186" s="386">
        <v>663</v>
      </c>
      <c r="AE186" s="386">
        <v>16</v>
      </c>
      <c r="AF186" s="386">
        <v>23</v>
      </c>
      <c r="AG186" s="386">
        <v>39</v>
      </c>
    </row>
    <row r="187" spans="1:33" x14ac:dyDescent="0.25">
      <c r="A187" s="381" t="s">
        <v>434</v>
      </c>
      <c r="B187" s="387" t="s">
        <v>435</v>
      </c>
      <c r="C187" s="383">
        <v>7239</v>
      </c>
      <c r="D187" s="383">
        <v>14</v>
      </c>
      <c r="E187" s="383">
        <v>243</v>
      </c>
      <c r="F187" s="383">
        <v>2593</v>
      </c>
      <c r="G187" s="383">
        <v>167</v>
      </c>
      <c r="H187" s="383">
        <v>10256</v>
      </c>
      <c r="I187" s="382">
        <v>10089</v>
      </c>
      <c r="J187" s="382">
        <v>0</v>
      </c>
      <c r="K187" s="384">
        <v>73.23</v>
      </c>
      <c r="L187" s="384">
        <v>83.42</v>
      </c>
      <c r="M187" s="384">
        <v>1.17</v>
      </c>
      <c r="N187" s="384">
        <v>74.319999999999993</v>
      </c>
      <c r="O187" s="385">
        <v>7211</v>
      </c>
      <c r="P187" s="382">
        <v>67.17</v>
      </c>
      <c r="Q187" s="382">
        <v>75.19</v>
      </c>
      <c r="R187" s="382">
        <v>5.22</v>
      </c>
      <c r="S187" s="382">
        <v>71.86</v>
      </c>
      <c r="T187" s="382">
        <v>2719</v>
      </c>
      <c r="U187" s="382">
        <v>85.5</v>
      </c>
      <c r="V187" s="382">
        <v>11</v>
      </c>
      <c r="W187" s="382">
        <v>0</v>
      </c>
      <c r="X187" s="382">
        <v>0</v>
      </c>
      <c r="Y187" s="382">
        <v>0</v>
      </c>
      <c r="Z187" s="382">
        <v>12</v>
      </c>
      <c r="AA187" s="382">
        <v>11</v>
      </c>
      <c r="AB187" s="382">
        <v>1</v>
      </c>
      <c r="AC187" s="382">
        <v>27</v>
      </c>
      <c r="AD187" s="386">
        <v>7229</v>
      </c>
      <c r="AE187" s="386">
        <v>304</v>
      </c>
      <c r="AF187" s="386">
        <v>364</v>
      </c>
      <c r="AG187" s="386">
        <v>668</v>
      </c>
    </row>
    <row r="188" spans="1:33" x14ac:dyDescent="0.25">
      <c r="A188" s="381" t="s">
        <v>436</v>
      </c>
      <c r="B188" s="387" t="s">
        <v>437</v>
      </c>
      <c r="C188" s="383">
        <v>9168</v>
      </c>
      <c r="D188" s="383">
        <v>0</v>
      </c>
      <c r="E188" s="383">
        <v>268</v>
      </c>
      <c r="F188" s="383">
        <v>1006</v>
      </c>
      <c r="G188" s="383">
        <v>448</v>
      </c>
      <c r="H188" s="383">
        <v>10890</v>
      </c>
      <c r="I188" s="382">
        <v>10442</v>
      </c>
      <c r="J188" s="382">
        <v>1</v>
      </c>
      <c r="K188" s="384">
        <v>107.98</v>
      </c>
      <c r="L188" s="384">
        <v>115.91</v>
      </c>
      <c r="M188" s="384">
        <v>3.97</v>
      </c>
      <c r="N188" s="384">
        <v>109.07</v>
      </c>
      <c r="O188" s="385">
        <v>8994</v>
      </c>
      <c r="P188" s="382">
        <v>91.14</v>
      </c>
      <c r="Q188" s="382">
        <v>90.6</v>
      </c>
      <c r="R188" s="382">
        <v>21.68</v>
      </c>
      <c r="S188" s="382">
        <v>111.34</v>
      </c>
      <c r="T188" s="382">
        <v>1243</v>
      </c>
      <c r="U188" s="382">
        <v>132.4</v>
      </c>
      <c r="V188" s="382">
        <v>89</v>
      </c>
      <c r="W188" s="382">
        <v>0</v>
      </c>
      <c r="X188" s="382">
        <v>0</v>
      </c>
      <c r="Y188" s="382">
        <v>0</v>
      </c>
      <c r="Z188" s="382">
        <v>39</v>
      </c>
      <c r="AA188" s="382">
        <v>10</v>
      </c>
      <c r="AB188" s="382">
        <v>10</v>
      </c>
      <c r="AC188" s="382">
        <v>20</v>
      </c>
      <c r="AD188" s="386">
        <v>9128</v>
      </c>
      <c r="AE188" s="386">
        <v>13</v>
      </c>
      <c r="AF188" s="386">
        <v>40</v>
      </c>
      <c r="AG188" s="386">
        <v>53</v>
      </c>
    </row>
    <row r="189" spans="1:33" x14ac:dyDescent="0.25">
      <c r="A189" s="381" t="s">
        <v>438</v>
      </c>
      <c r="B189" s="387" t="s">
        <v>439</v>
      </c>
      <c r="C189" s="383">
        <v>923</v>
      </c>
      <c r="D189" s="383">
        <v>0</v>
      </c>
      <c r="E189" s="383">
        <v>77</v>
      </c>
      <c r="F189" s="383">
        <v>150</v>
      </c>
      <c r="G189" s="383">
        <v>234</v>
      </c>
      <c r="H189" s="383">
        <v>1384</v>
      </c>
      <c r="I189" s="382">
        <v>1150</v>
      </c>
      <c r="J189" s="382">
        <v>0</v>
      </c>
      <c r="K189" s="384">
        <v>87.32</v>
      </c>
      <c r="L189" s="384">
        <v>87.14</v>
      </c>
      <c r="M189" s="384">
        <v>3.49</v>
      </c>
      <c r="N189" s="384">
        <v>90.14</v>
      </c>
      <c r="O189" s="385">
        <v>761</v>
      </c>
      <c r="P189" s="382">
        <v>90.97</v>
      </c>
      <c r="Q189" s="382">
        <v>86.3</v>
      </c>
      <c r="R189" s="382">
        <v>29.25</v>
      </c>
      <c r="S189" s="382">
        <v>116.31</v>
      </c>
      <c r="T189" s="382">
        <v>202</v>
      </c>
      <c r="U189" s="382">
        <v>98.17</v>
      </c>
      <c r="V189" s="382">
        <v>86</v>
      </c>
      <c r="W189" s="382">
        <v>0</v>
      </c>
      <c r="X189" s="382">
        <v>0</v>
      </c>
      <c r="Y189" s="382">
        <v>0</v>
      </c>
      <c r="Z189" s="382">
        <v>3</v>
      </c>
      <c r="AA189" s="382">
        <v>0</v>
      </c>
      <c r="AB189" s="382">
        <v>15</v>
      </c>
      <c r="AC189" s="382">
        <v>1</v>
      </c>
      <c r="AD189" s="386">
        <v>866</v>
      </c>
      <c r="AE189" s="386">
        <v>3</v>
      </c>
      <c r="AF189" s="386">
        <v>0</v>
      </c>
      <c r="AG189" s="386">
        <v>3</v>
      </c>
    </row>
    <row r="190" spans="1:33" x14ac:dyDescent="0.25">
      <c r="A190" s="381" t="s">
        <v>440</v>
      </c>
      <c r="B190" s="387" t="s">
        <v>441</v>
      </c>
      <c r="C190" s="383">
        <v>10426</v>
      </c>
      <c r="D190" s="383">
        <v>0</v>
      </c>
      <c r="E190" s="383">
        <v>164</v>
      </c>
      <c r="F190" s="383">
        <v>829</v>
      </c>
      <c r="G190" s="383">
        <v>49</v>
      </c>
      <c r="H190" s="383">
        <v>11468</v>
      </c>
      <c r="I190" s="382">
        <v>11419</v>
      </c>
      <c r="J190" s="382">
        <v>0</v>
      </c>
      <c r="K190" s="384">
        <v>80.319999999999993</v>
      </c>
      <c r="L190" s="384">
        <v>76.81</v>
      </c>
      <c r="M190" s="384">
        <v>1.76</v>
      </c>
      <c r="N190" s="384">
        <v>80.819999999999993</v>
      </c>
      <c r="O190" s="385">
        <v>10219</v>
      </c>
      <c r="P190" s="382">
        <v>82.11</v>
      </c>
      <c r="Q190" s="382">
        <v>72.459999999999994</v>
      </c>
      <c r="R190" s="382">
        <v>27.92</v>
      </c>
      <c r="S190" s="382">
        <v>102.36</v>
      </c>
      <c r="T190" s="382">
        <v>876</v>
      </c>
      <c r="U190" s="382">
        <v>96.02</v>
      </c>
      <c r="V190" s="382">
        <v>125</v>
      </c>
      <c r="W190" s="382">
        <v>91.25</v>
      </c>
      <c r="X190" s="382">
        <v>40</v>
      </c>
      <c r="Y190" s="382">
        <v>0</v>
      </c>
      <c r="Z190" s="382">
        <v>40</v>
      </c>
      <c r="AA190" s="382">
        <v>112</v>
      </c>
      <c r="AB190" s="382">
        <v>1</v>
      </c>
      <c r="AC190" s="382">
        <v>5</v>
      </c>
      <c r="AD190" s="386">
        <v>10388</v>
      </c>
      <c r="AE190" s="386">
        <v>100</v>
      </c>
      <c r="AF190" s="386">
        <v>25</v>
      </c>
      <c r="AG190" s="386">
        <v>125</v>
      </c>
    </row>
    <row r="191" spans="1:33" x14ac:dyDescent="0.25">
      <c r="A191" s="381" t="s">
        <v>442</v>
      </c>
      <c r="B191" s="387" t="s">
        <v>443</v>
      </c>
      <c r="C191" s="383">
        <v>5533</v>
      </c>
      <c r="D191" s="383">
        <v>0</v>
      </c>
      <c r="E191" s="383">
        <v>154</v>
      </c>
      <c r="F191" s="383">
        <v>655</v>
      </c>
      <c r="G191" s="383">
        <v>136</v>
      </c>
      <c r="H191" s="383">
        <v>6478</v>
      </c>
      <c r="I191" s="382">
        <v>6342</v>
      </c>
      <c r="J191" s="382">
        <v>26</v>
      </c>
      <c r="K191" s="384">
        <v>88.85</v>
      </c>
      <c r="L191" s="384">
        <v>91.07</v>
      </c>
      <c r="M191" s="384">
        <v>2.39</v>
      </c>
      <c r="N191" s="384">
        <v>90.47</v>
      </c>
      <c r="O191" s="385">
        <v>5235</v>
      </c>
      <c r="P191" s="382">
        <v>87.37</v>
      </c>
      <c r="Q191" s="382">
        <v>81.37</v>
      </c>
      <c r="R191" s="382">
        <v>20.58</v>
      </c>
      <c r="S191" s="382">
        <v>107.11</v>
      </c>
      <c r="T191" s="382">
        <v>807</v>
      </c>
      <c r="U191" s="382">
        <v>104.4</v>
      </c>
      <c r="V191" s="382">
        <v>277</v>
      </c>
      <c r="W191" s="382">
        <v>104.34</v>
      </c>
      <c r="X191" s="382">
        <v>11</v>
      </c>
      <c r="Y191" s="382">
        <v>0</v>
      </c>
      <c r="Z191" s="382">
        <v>23</v>
      </c>
      <c r="AA191" s="382">
        <v>40</v>
      </c>
      <c r="AB191" s="382">
        <v>10</v>
      </c>
      <c r="AC191" s="382">
        <v>2</v>
      </c>
      <c r="AD191" s="386">
        <v>5519</v>
      </c>
      <c r="AE191" s="386">
        <v>47</v>
      </c>
      <c r="AF191" s="386">
        <v>38</v>
      </c>
      <c r="AG191" s="386">
        <v>85</v>
      </c>
    </row>
    <row r="192" spans="1:33" ht="14.5" x14ac:dyDescent="0.35">
      <c r="A192" s="388" t="s">
        <v>814</v>
      </c>
      <c r="B192" s="388" t="s">
        <v>812</v>
      </c>
      <c r="C192" s="382">
        <v>12115</v>
      </c>
      <c r="D192" s="382">
        <v>66</v>
      </c>
      <c r="E192" s="382">
        <v>293</v>
      </c>
      <c r="F192" s="382">
        <v>1886</v>
      </c>
      <c r="G192" s="382">
        <v>1074</v>
      </c>
      <c r="H192" s="382">
        <v>15434</v>
      </c>
      <c r="I192" s="382">
        <v>14360</v>
      </c>
      <c r="J192" s="382">
        <v>29</v>
      </c>
      <c r="K192" s="382">
        <v>89.84</v>
      </c>
      <c r="L192" s="382">
        <v>89.57</v>
      </c>
      <c r="M192" s="382">
        <v>5.37</v>
      </c>
      <c r="N192" s="382">
        <v>92.01</v>
      </c>
      <c r="O192" s="382">
        <v>10794</v>
      </c>
      <c r="P192" s="382">
        <v>85.32</v>
      </c>
      <c r="Q192" s="382">
        <v>84.91</v>
      </c>
      <c r="R192" s="382">
        <v>30.01</v>
      </c>
      <c r="S192" s="382">
        <v>105.86</v>
      </c>
      <c r="T192" s="382">
        <v>2035</v>
      </c>
      <c r="U192" s="382">
        <v>106.24</v>
      </c>
      <c r="V192" s="382">
        <v>416</v>
      </c>
      <c r="W192" s="382">
        <v>104.99</v>
      </c>
      <c r="X192" s="382">
        <v>44</v>
      </c>
      <c r="Y192" s="382">
        <v>0</v>
      </c>
      <c r="Z192" s="382">
        <v>35</v>
      </c>
      <c r="AA192" s="382">
        <v>3</v>
      </c>
      <c r="AB192" s="382">
        <v>69</v>
      </c>
      <c r="AC192" s="382">
        <v>36</v>
      </c>
      <c r="AD192" s="382">
        <v>11359</v>
      </c>
      <c r="AE192" s="382">
        <v>94</v>
      </c>
      <c r="AF192" s="382">
        <v>67</v>
      </c>
      <c r="AG192" s="382">
        <v>161</v>
      </c>
    </row>
    <row r="193" spans="1:33" x14ac:dyDescent="0.25">
      <c r="A193" s="381" t="s">
        <v>444</v>
      </c>
      <c r="B193" s="387" t="s">
        <v>445</v>
      </c>
      <c r="C193" s="383">
        <v>7076</v>
      </c>
      <c r="D193" s="383">
        <v>82</v>
      </c>
      <c r="E193" s="383">
        <v>318</v>
      </c>
      <c r="F193" s="383">
        <v>1690</v>
      </c>
      <c r="G193" s="383">
        <v>388</v>
      </c>
      <c r="H193" s="383">
        <v>9554</v>
      </c>
      <c r="I193" s="382">
        <v>9166</v>
      </c>
      <c r="J193" s="382">
        <v>24</v>
      </c>
      <c r="K193" s="384">
        <v>95.39</v>
      </c>
      <c r="L193" s="384">
        <v>95.55</v>
      </c>
      <c r="M193" s="384">
        <v>4.78</v>
      </c>
      <c r="N193" s="384">
        <v>97.58</v>
      </c>
      <c r="O193" s="385">
        <v>6371</v>
      </c>
      <c r="P193" s="382">
        <v>88.84</v>
      </c>
      <c r="Q193" s="382">
        <v>85.9</v>
      </c>
      <c r="R193" s="382">
        <v>25.4</v>
      </c>
      <c r="S193" s="382">
        <v>113.84</v>
      </c>
      <c r="T193" s="382">
        <v>1887</v>
      </c>
      <c r="U193" s="382">
        <v>124.88</v>
      </c>
      <c r="V193" s="382">
        <v>596</v>
      </c>
      <c r="W193" s="382">
        <v>148.33000000000001</v>
      </c>
      <c r="X193" s="382">
        <v>30</v>
      </c>
      <c r="Y193" s="382">
        <v>102</v>
      </c>
      <c r="Z193" s="382">
        <v>24</v>
      </c>
      <c r="AA193" s="382">
        <v>5</v>
      </c>
      <c r="AB193" s="382">
        <v>8</v>
      </c>
      <c r="AC193" s="382">
        <v>8</v>
      </c>
      <c r="AD193" s="386">
        <v>6955</v>
      </c>
      <c r="AE193" s="386">
        <v>60</v>
      </c>
      <c r="AF193" s="386">
        <v>18</v>
      </c>
      <c r="AG193" s="386">
        <v>78</v>
      </c>
    </row>
    <row r="194" spans="1:33" x14ac:dyDescent="0.25">
      <c r="A194" s="381" t="s">
        <v>446</v>
      </c>
      <c r="B194" s="387" t="s">
        <v>447</v>
      </c>
      <c r="C194" s="383">
        <v>3774</v>
      </c>
      <c r="D194" s="383">
        <v>27</v>
      </c>
      <c r="E194" s="383">
        <v>525</v>
      </c>
      <c r="F194" s="383">
        <v>1281</v>
      </c>
      <c r="G194" s="383">
        <v>317</v>
      </c>
      <c r="H194" s="383">
        <v>5924</v>
      </c>
      <c r="I194" s="382">
        <v>5607</v>
      </c>
      <c r="J194" s="382">
        <v>222</v>
      </c>
      <c r="K194" s="384">
        <v>84.73</v>
      </c>
      <c r="L194" s="384">
        <v>79.819999999999993</v>
      </c>
      <c r="M194" s="384">
        <v>6.64</v>
      </c>
      <c r="N194" s="384">
        <v>89.81</v>
      </c>
      <c r="O194" s="385">
        <v>3292</v>
      </c>
      <c r="P194" s="382">
        <v>87.27</v>
      </c>
      <c r="Q194" s="382">
        <v>74.52</v>
      </c>
      <c r="R194" s="382">
        <v>38.42</v>
      </c>
      <c r="S194" s="382">
        <v>125.07</v>
      </c>
      <c r="T194" s="382">
        <v>1624</v>
      </c>
      <c r="U194" s="382">
        <v>98.59</v>
      </c>
      <c r="V194" s="382">
        <v>361</v>
      </c>
      <c r="W194" s="382">
        <v>144.66999999999999</v>
      </c>
      <c r="X194" s="382">
        <v>36</v>
      </c>
      <c r="Y194" s="382">
        <v>0</v>
      </c>
      <c r="Z194" s="382">
        <v>2</v>
      </c>
      <c r="AA194" s="382">
        <v>86</v>
      </c>
      <c r="AB194" s="382">
        <v>12</v>
      </c>
      <c r="AC194" s="382">
        <v>4</v>
      </c>
      <c r="AD194" s="386">
        <v>3626</v>
      </c>
      <c r="AE194" s="386">
        <v>36</v>
      </c>
      <c r="AF194" s="386">
        <v>8</v>
      </c>
      <c r="AG194" s="386">
        <v>44</v>
      </c>
    </row>
    <row r="195" spans="1:33" x14ac:dyDescent="0.25">
      <c r="A195" s="381" t="s">
        <v>448</v>
      </c>
      <c r="B195" s="387" t="s">
        <v>449</v>
      </c>
      <c r="C195" s="383">
        <v>1005</v>
      </c>
      <c r="D195" s="383">
        <v>0</v>
      </c>
      <c r="E195" s="383">
        <v>6</v>
      </c>
      <c r="F195" s="383">
        <v>54</v>
      </c>
      <c r="G195" s="383">
        <v>166</v>
      </c>
      <c r="H195" s="383">
        <v>1231</v>
      </c>
      <c r="I195" s="382">
        <v>1065</v>
      </c>
      <c r="J195" s="382">
        <v>3</v>
      </c>
      <c r="K195" s="384">
        <v>97.89</v>
      </c>
      <c r="L195" s="384">
        <v>97.3</v>
      </c>
      <c r="M195" s="384">
        <v>4.0599999999999996</v>
      </c>
      <c r="N195" s="384">
        <v>100.13</v>
      </c>
      <c r="O195" s="385">
        <v>902</v>
      </c>
      <c r="P195" s="382">
        <v>88.97</v>
      </c>
      <c r="Q195" s="382">
        <v>87.37</v>
      </c>
      <c r="R195" s="382">
        <v>35.6</v>
      </c>
      <c r="S195" s="382">
        <v>122.2</v>
      </c>
      <c r="T195" s="382">
        <v>60</v>
      </c>
      <c r="U195" s="382">
        <v>107.72</v>
      </c>
      <c r="V195" s="382">
        <v>94</v>
      </c>
      <c r="W195" s="382">
        <v>0</v>
      </c>
      <c r="X195" s="382">
        <v>0</v>
      </c>
      <c r="Y195" s="382">
        <v>0</v>
      </c>
      <c r="Z195" s="382">
        <v>1</v>
      </c>
      <c r="AA195" s="382">
        <v>1</v>
      </c>
      <c r="AB195" s="382">
        <v>16</v>
      </c>
      <c r="AC195" s="382">
        <v>1</v>
      </c>
      <c r="AD195" s="386">
        <v>1005</v>
      </c>
      <c r="AE195" s="386">
        <v>5</v>
      </c>
      <c r="AF195" s="386">
        <v>0</v>
      </c>
      <c r="AG195" s="386">
        <v>5</v>
      </c>
    </row>
    <row r="196" spans="1:33" x14ac:dyDescent="0.25">
      <c r="A196" s="381" t="s">
        <v>450</v>
      </c>
      <c r="B196" s="387" t="s">
        <v>451</v>
      </c>
      <c r="C196" s="383">
        <v>1489</v>
      </c>
      <c r="D196" s="383">
        <v>0</v>
      </c>
      <c r="E196" s="383">
        <v>51</v>
      </c>
      <c r="F196" s="383">
        <v>196</v>
      </c>
      <c r="G196" s="383">
        <v>321</v>
      </c>
      <c r="H196" s="383">
        <v>2057</v>
      </c>
      <c r="I196" s="382">
        <v>1736</v>
      </c>
      <c r="J196" s="382">
        <v>0</v>
      </c>
      <c r="K196" s="384">
        <v>87.01</v>
      </c>
      <c r="L196" s="384">
        <v>88.33</v>
      </c>
      <c r="M196" s="384">
        <v>5.58</v>
      </c>
      <c r="N196" s="384">
        <v>91.38</v>
      </c>
      <c r="O196" s="385">
        <v>1388</v>
      </c>
      <c r="P196" s="382">
        <v>85.98</v>
      </c>
      <c r="Q196" s="382">
        <v>87.25</v>
      </c>
      <c r="R196" s="382">
        <v>31.6</v>
      </c>
      <c r="S196" s="382">
        <v>115.9</v>
      </c>
      <c r="T196" s="382">
        <v>243</v>
      </c>
      <c r="U196" s="382">
        <v>99.95</v>
      </c>
      <c r="V196" s="382">
        <v>90</v>
      </c>
      <c r="W196" s="382">
        <v>0</v>
      </c>
      <c r="X196" s="382">
        <v>0</v>
      </c>
      <c r="Y196" s="382">
        <v>0</v>
      </c>
      <c r="Z196" s="382">
        <v>0</v>
      </c>
      <c r="AA196" s="382">
        <v>1</v>
      </c>
      <c r="AB196" s="382">
        <v>34</v>
      </c>
      <c r="AC196" s="382">
        <v>3</v>
      </c>
      <c r="AD196" s="386">
        <v>1479</v>
      </c>
      <c r="AE196" s="386">
        <v>23</v>
      </c>
      <c r="AF196" s="386">
        <v>1</v>
      </c>
      <c r="AG196" s="386">
        <v>24</v>
      </c>
    </row>
    <row r="197" spans="1:33" x14ac:dyDescent="0.25">
      <c r="A197" s="381" t="s">
        <v>452</v>
      </c>
      <c r="B197" s="387" t="s">
        <v>453</v>
      </c>
      <c r="C197" s="383">
        <v>13905</v>
      </c>
      <c r="D197" s="383">
        <v>18</v>
      </c>
      <c r="E197" s="383">
        <v>352</v>
      </c>
      <c r="F197" s="383">
        <v>3231</v>
      </c>
      <c r="G197" s="383">
        <v>623</v>
      </c>
      <c r="H197" s="383">
        <v>18129</v>
      </c>
      <c r="I197" s="382">
        <v>17506</v>
      </c>
      <c r="J197" s="382">
        <v>38</v>
      </c>
      <c r="K197" s="384">
        <v>77</v>
      </c>
      <c r="L197" s="384">
        <v>74.14</v>
      </c>
      <c r="M197" s="384">
        <v>4.41</v>
      </c>
      <c r="N197" s="384">
        <v>79.59</v>
      </c>
      <c r="O197" s="385">
        <v>12967</v>
      </c>
      <c r="P197" s="382">
        <v>71.099999999999994</v>
      </c>
      <c r="Q197" s="382">
        <v>64.39</v>
      </c>
      <c r="R197" s="382">
        <v>16.82</v>
      </c>
      <c r="S197" s="382">
        <v>87.51</v>
      </c>
      <c r="T197" s="382">
        <v>3494</v>
      </c>
      <c r="U197" s="382">
        <v>99.57</v>
      </c>
      <c r="V197" s="382">
        <v>737</v>
      </c>
      <c r="W197" s="382">
        <v>85.28</v>
      </c>
      <c r="X197" s="382">
        <v>30</v>
      </c>
      <c r="Y197" s="382">
        <v>0</v>
      </c>
      <c r="Z197" s="382">
        <v>52</v>
      </c>
      <c r="AA197" s="382">
        <v>9</v>
      </c>
      <c r="AB197" s="382">
        <v>5</v>
      </c>
      <c r="AC197" s="382">
        <v>3</v>
      </c>
      <c r="AD197" s="386">
        <v>13676</v>
      </c>
      <c r="AE197" s="386">
        <v>146</v>
      </c>
      <c r="AF197" s="386">
        <v>64</v>
      </c>
      <c r="AG197" s="386">
        <v>210</v>
      </c>
    </row>
    <row r="198" spans="1:33" x14ac:dyDescent="0.25">
      <c r="A198" s="381" t="s">
        <v>454</v>
      </c>
      <c r="B198" s="387" t="s">
        <v>455</v>
      </c>
      <c r="C198" s="383">
        <v>3818</v>
      </c>
      <c r="D198" s="383">
        <v>0</v>
      </c>
      <c r="E198" s="383">
        <v>538</v>
      </c>
      <c r="F198" s="383">
        <v>1042</v>
      </c>
      <c r="G198" s="383">
        <v>326</v>
      </c>
      <c r="H198" s="383">
        <v>5724</v>
      </c>
      <c r="I198" s="382">
        <v>5398</v>
      </c>
      <c r="J198" s="382">
        <v>22</v>
      </c>
      <c r="K198" s="384">
        <v>88.98</v>
      </c>
      <c r="L198" s="384">
        <v>88.12</v>
      </c>
      <c r="M198" s="384">
        <v>5.76</v>
      </c>
      <c r="N198" s="384">
        <v>93.46</v>
      </c>
      <c r="O198" s="385">
        <v>3537</v>
      </c>
      <c r="P198" s="382">
        <v>81.53</v>
      </c>
      <c r="Q198" s="382">
        <v>78.61</v>
      </c>
      <c r="R198" s="382">
        <v>36.56</v>
      </c>
      <c r="S198" s="382">
        <v>116.62</v>
      </c>
      <c r="T198" s="382">
        <v>865</v>
      </c>
      <c r="U198" s="382">
        <v>108.35</v>
      </c>
      <c r="V198" s="382">
        <v>193</v>
      </c>
      <c r="W198" s="382">
        <v>0</v>
      </c>
      <c r="X198" s="382">
        <v>0</v>
      </c>
      <c r="Y198" s="382">
        <v>0</v>
      </c>
      <c r="Z198" s="382">
        <v>1</v>
      </c>
      <c r="AA198" s="382">
        <v>2</v>
      </c>
      <c r="AB198" s="382">
        <v>2</v>
      </c>
      <c r="AC198" s="382">
        <v>13</v>
      </c>
      <c r="AD198" s="386">
        <v>3796</v>
      </c>
      <c r="AE198" s="386">
        <v>9</v>
      </c>
      <c r="AF198" s="386">
        <v>7</v>
      </c>
      <c r="AG198" s="386">
        <v>16</v>
      </c>
    </row>
    <row r="199" spans="1:33" x14ac:dyDescent="0.25">
      <c r="A199" s="381" t="s">
        <v>456</v>
      </c>
      <c r="B199" s="387" t="s">
        <v>457</v>
      </c>
      <c r="C199" s="383">
        <v>6421</v>
      </c>
      <c r="D199" s="383">
        <v>5</v>
      </c>
      <c r="E199" s="383">
        <v>1098</v>
      </c>
      <c r="F199" s="383">
        <v>2393</v>
      </c>
      <c r="G199" s="383">
        <v>402</v>
      </c>
      <c r="H199" s="383">
        <v>10319</v>
      </c>
      <c r="I199" s="382">
        <v>9917</v>
      </c>
      <c r="J199" s="382">
        <v>35</v>
      </c>
      <c r="K199" s="384">
        <v>84.42</v>
      </c>
      <c r="L199" s="384">
        <v>83.68</v>
      </c>
      <c r="M199" s="384">
        <v>5.94</v>
      </c>
      <c r="N199" s="384">
        <v>87.96</v>
      </c>
      <c r="O199" s="385">
        <v>5811</v>
      </c>
      <c r="P199" s="382">
        <v>81.38</v>
      </c>
      <c r="Q199" s="382">
        <v>76.48</v>
      </c>
      <c r="R199" s="382">
        <v>40.47</v>
      </c>
      <c r="S199" s="382">
        <v>119.14</v>
      </c>
      <c r="T199" s="382">
        <v>2693</v>
      </c>
      <c r="U199" s="382">
        <v>107.38</v>
      </c>
      <c r="V199" s="382">
        <v>126</v>
      </c>
      <c r="W199" s="382">
        <v>96.28</v>
      </c>
      <c r="X199" s="382">
        <v>44</v>
      </c>
      <c r="Y199" s="382">
        <v>0</v>
      </c>
      <c r="Z199" s="382">
        <v>8</v>
      </c>
      <c r="AA199" s="382">
        <v>41</v>
      </c>
      <c r="AB199" s="382">
        <v>2</v>
      </c>
      <c r="AC199" s="382">
        <v>23</v>
      </c>
      <c r="AD199" s="386">
        <v>6365</v>
      </c>
      <c r="AE199" s="386">
        <v>51</v>
      </c>
      <c r="AF199" s="386">
        <v>61</v>
      </c>
      <c r="AG199" s="386">
        <v>112</v>
      </c>
    </row>
    <row r="200" spans="1:33" x14ac:dyDescent="0.25">
      <c r="A200" s="381" t="s">
        <v>458</v>
      </c>
      <c r="B200" s="387" t="s">
        <v>459</v>
      </c>
      <c r="C200" s="383">
        <v>1863</v>
      </c>
      <c r="D200" s="383">
        <v>5</v>
      </c>
      <c r="E200" s="383">
        <v>121</v>
      </c>
      <c r="F200" s="383">
        <v>307</v>
      </c>
      <c r="G200" s="383">
        <v>267</v>
      </c>
      <c r="H200" s="383">
        <v>2563</v>
      </c>
      <c r="I200" s="382">
        <v>2296</v>
      </c>
      <c r="J200" s="382">
        <v>4</v>
      </c>
      <c r="K200" s="384">
        <v>96.27</v>
      </c>
      <c r="L200" s="384">
        <v>92.86</v>
      </c>
      <c r="M200" s="384">
        <v>6.07</v>
      </c>
      <c r="N200" s="384">
        <v>101.26</v>
      </c>
      <c r="O200" s="385">
        <v>1664</v>
      </c>
      <c r="P200" s="382">
        <v>86.07</v>
      </c>
      <c r="Q200" s="382">
        <v>83.84</v>
      </c>
      <c r="R200" s="382">
        <v>38.72</v>
      </c>
      <c r="S200" s="382">
        <v>123.94</v>
      </c>
      <c r="T200" s="382">
        <v>322</v>
      </c>
      <c r="U200" s="382">
        <v>111.85</v>
      </c>
      <c r="V200" s="382">
        <v>149</v>
      </c>
      <c r="W200" s="382">
        <v>185.13</v>
      </c>
      <c r="X200" s="382">
        <v>4</v>
      </c>
      <c r="Y200" s="382">
        <v>0</v>
      </c>
      <c r="Z200" s="382">
        <v>2</v>
      </c>
      <c r="AA200" s="382">
        <v>0</v>
      </c>
      <c r="AB200" s="382">
        <v>8</v>
      </c>
      <c r="AC200" s="382">
        <v>14</v>
      </c>
      <c r="AD200" s="386">
        <v>1856</v>
      </c>
      <c r="AE200" s="386">
        <v>19</v>
      </c>
      <c r="AF200" s="386">
        <v>3</v>
      </c>
      <c r="AG200" s="386">
        <v>22</v>
      </c>
    </row>
    <row r="201" spans="1:33" x14ac:dyDescent="0.25">
      <c r="A201" s="381" t="s">
        <v>460</v>
      </c>
      <c r="B201" s="387" t="s">
        <v>461</v>
      </c>
      <c r="C201" s="383">
        <v>412</v>
      </c>
      <c r="D201" s="383">
        <v>0</v>
      </c>
      <c r="E201" s="383">
        <v>38</v>
      </c>
      <c r="F201" s="383">
        <v>94</v>
      </c>
      <c r="G201" s="383">
        <v>101</v>
      </c>
      <c r="H201" s="383">
        <v>645</v>
      </c>
      <c r="I201" s="382">
        <v>544</v>
      </c>
      <c r="J201" s="382">
        <v>0</v>
      </c>
      <c r="K201" s="384">
        <v>91.81</v>
      </c>
      <c r="L201" s="384">
        <v>91.49</v>
      </c>
      <c r="M201" s="384">
        <v>5.32</v>
      </c>
      <c r="N201" s="384">
        <v>94.48</v>
      </c>
      <c r="O201" s="385">
        <v>311</v>
      </c>
      <c r="P201" s="382">
        <v>99.81</v>
      </c>
      <c r="Q201" s="382">
        <v>73.8</v>
      </c>
      <c r="R201" s="382">
        <v>30.11</v>
      </c>
      <c r="S201" s="382">
        <v>129.91</v>
      </c>
      <c r="T201" s="382">
        <v>132</v>
      </c>
      <c r="U201" s="382">
        <v>96.98</v>
      </c>
      <c r="V201" s="382">
        <v>34</v>
      </c>
      <c r="W201" s="382">
        <v>0</v>
      </c>
      <c r="X201" s="382">
        <v>0</v>
      </c>
      <c r="Y201" s="382">
        <v>0</v>
      </c>
      <c r="Z201" s="382">
        <v>0</v>
      </c>
      <c r="AA201" s="382">
        <v>0</v>
      </c>
      <c r="AB201" s="382">
        <v>0</v>
      </c>
      <c r="AC201" s="382">
        <v>5</v>
      </c>
      <c r="AD201" s="386">
        <v>377</v>
      </c>
      <c r="AE201" s="386">
        <v>1</v>
      </c>
      <c r="AF201" s="386">
        <v>0</v>
      </c>
      <c r="AG201" s="386">
        <v>1</v>
      </c>
    </row>
    <row r="202" spans="1:33" x14ac:dyDescent="0.25">
      <c r="A202" s="381" t="s">
        <v>462</v>
      </c>
      <c r="B202" s="387" t="s">
        <v>463</v>
      </c>
      <c r="C202" s="383">
        <v>17275</v>
      </c>
      <c r="D202" s="383">
        <v>0</v>
      </c>
      <c r="E202" s="383">
        <v>416</v>
      </c>
      <c r="F202" s="383">
        <v>1144</v>
      </c>
      <c r="G202" s="383">
        <v>105</v>
      </c>
      <c r="H202" s="383">
        <v>18940</v>
      </c>
      <c r="I202" s="382">
        <v>18835</v>
      </c>
      <c r="J202" s="382">
        <v>353</v>
      </c>
      <c r="K202" s="384">
        <v>83.28</v>
      </c>
      <c r="L202" s="384">
        <v>82.96</v>
      </c>
      <c r="M202" s="384">
        <v>1.78</v>
      </c>
      <c r="N202" s="384">
        <v>84.11</v>
      </c>
      <c r="O202" s="385">
        <v>15589</v>
      </c>
      <c r="P202" s="382">
        <v>77.14</v>
      </c>
      <c r="Q202" s="382">
        <v>73.73</v>
      </c>
      <c r="R202" s="382">
        <v>26.06</v>
      </c>
      <c r="S202" s="382">
        <v>100.76</v>
      </c>
      <c r="T202" s="382">
        <v>1519</v>
      </c>
      <c r="U202" s="382">
        <v>102.98</v>
      </c>
      <c r="V202" s="382">
        <v>1226</v>
      </c>
      <c r="W202" s="382">
        <v>86.38</v>
      </c>
      <c r="X202" s="382">
        <v>16</v>
      </c>
      <c r="Y202" s="382">
        <v>23</v>
      </c>
      <c r="Z202" s="382">
        <v>74</v>
      </c>
      <c r="AA202" s="382">
        <v>30</v>
      </c>
      <c r="AB202" s="382">
        <v>5</v>
      </c>
      <c r="AC202" s="382">
        <v>3</v>
      </c>
      <c r="AD202" s="386">
        <v>16677</v>
      </c>
      <c r="AE202" s="386">
        <v>72</v>
      </c>
      <c r="AF202" s="386">
        <v>109</v>
      </c>
      <c r="AG202" s="386">
        <v>181</v>
      </c>
    </row>
    <row r="203" spans="1:33" x14ac:dyDescent="0.25">
      <c r="A203" s="381" t="s">
        <v>464</v>
      </c>
      <c r="B203" s="387" t="s">
        <v>465</v>
      </c>
      <c r="C203" s="383">
        <v>3143</v>
      </c>
      <c r="D203" s="383">
        <v>597</v>
      </c>
      <c r="E203" s="383">
        <v>536</v>
      </c>
      <c r="F203" s="383">
        <v>862</v>
      </c>
      <c r="G203" s="383">
        <v>696</v>
      </c>
      <c r="H203" s="383">
        <v>5834</v>
      </c>
      <c r="I203" s="382">
        <v>5138</v>
      </c>
      <c r="J203" s="382">
        <v>9</v>
      </c>
      <c r="K203" s="384">
        <v>112.5</v>
      </c>
      <c r="L203" s="384">
        <v>109.11</v>
      </c>
      <c r="M203" s="384">
        <v>8.17</v>
      </c>
      <c r="N203" s="384">
        <v>118.76</v>
      </c>
      <c r="O203" s="385">
        <v>2900</v>
      </c>
      <c r="P203" s="382">
        <v>101.31</v>
      </c>
      <c r="Q203" s="382">
        <v>98.44</v>
      </c>
      <c r="R203" s="382">
        <v>44.5</v>
      </c>
      <c r="S203" s="382">
        <v>144.66</v>
      </c>
      <c r="T203" s="382">
        <v>1346</v>
      </c>
      <c r="U203" s="382">
        <v>160.25</v>
      </c>
      <c r="V203" s="382">
        <v>32</v>
      </c>
      <c r="W203" s="382">
        <v>0</v>
      </c>
      <c r="X203" s="382">
        <v>0</v>
      </c>
      <c r="Y203" s="382">
        <v>0</v>
      </c>
      <c r="Z203" s="382">
        <v>1</v>
      </c>
      <c r="AA203" s="382">
        <v>0</v>
      </c>
      <c r="AB203" s="382">
        <v>8</v>
      </c>
      <c r="AC203" s="382">
        <v>28</v>
      </c>
      <c r="AD203" s="386">
        <v>3142</v>
      </c>
      <c r="AE203" s="386">
        <v>14</v>
      </c>
      <c r="AF203" s="386">
        <v>11</v>
      </c>
      <c r="AG203" s="386">
        <v>25</v>
      </c>
    </row>
    <row r="204" spans="1:33" x14ac:dyDescent="0.25">
      <c r="A204" s="381" t="s">
        <v>466</v>
      </c>
      <c r="B204" s="387" t="s">
        <v>467</v>
      </c>
      <c r="C204" s="383">
        <v>3010</v>
      </c>
      <c r="D204" s="383">
        <v>0</v>
      </c>
      <c r="E204" s="383">
        <v>166</v>
      </c>
      <c r="F204" s="383">
        <v>1370</v>
      </c>
      <c r="G204" s="383">
        <v>5</v>
      </c>
      <c r="H204" s="383">
        <v>4551</v>
      </c>
      <c r="I204" s="382">
        <v>4546</v>
      </c>
      <c r="J204" s="382">
        <v>4</v>
      </c>
      <c r="K204" s="384">
        <v>76.489999999999995</v>
      </c>
      <c r="L204" s="384">
        <v>76.489999999999995</v>
      </c>
      <c r="M204" s="384">
        <v>1.94</v>
      </c>
      <c r="N204" s="384">
        <v>78.13</v>
      </c>
      <c r="O204" s="385">
        <v>2850</v>
      </c>
      <c r="P204" s="382">
        <v>71.83</v>
      </c>
      <c r="Q204" s="382">
        <v>67.989999999999995</v>
      </c>
      <c r="R204" s="382">
        <v>7.86</v>
      </c>
      <c r="S204" s="382">
        <v>79.66</v>
      </c>
      <c r="T204" s="382">
        <v>1448</v>
      </c>
      <c r="U204" s="382">
        <v>93.56</v>
      </c>
      <c r="V204" s="382">
        <v>158</v>
      </c>
      <c r="W204" s="382">
        <v>0</v>
      </c>
      <c r="X204" s="382">
        <v>0</v>
      </c>
      <c r="Y204" s="382">
        <v>0</v>
      </c>
      <c r="Z204" s="382">
        <v>33</v>
      </c>
      <c r="AA204" s="382">
        <v>2</v>
      </c>
      <c r="AB204" s="382">
        <v>0</v>
      </c>
      <c r="AC204" s="382">
        <v>0</v>
      </c>
      <c r="AD204" s="386">
        <v>3009</v>
      </c>
      <c r="AE204" s="386">
        <v>29</v>
      </c>
      <c r="AF204" s="386">
        <v>6</v>
      </c>
      <c r="AG204" s="386">
        <v>35</v>
      </c>
    </row>
    <row r="205" spans="1:33" x14ac:dyDescent="0.25">
      <c r="A205" s="381" t="s">
        <v>468</v>
      </c>
      <c r="B205" s="387" t="s">
        <v>469</v>
      </c>
      <c r="C205" s="383">
        <v>12839</v>
      </c>
      <c r="D205" s="383">
        <v>40</v>
      </c>
      <c r="E205" s="383">
        <v>736</v>
      </c>
      <c r="F205" s="383">
        <v>2096</v>
      </c>
      <c r="G205" s="383">
        <v>872</v>
      </c>
      <c r="H205" s="383">
        <v>16583</v>
      </c>
      <c r="I205" s="382">
        <v>15711</v>
      </c>
      <c r="J205" s="382">
        <v>23</v>
      </c>
      <c r="K205" s="384">
        <v>86.54</v>
      </c>
      <c r="L205" s="384">
        <v>86.88</v>
      </c>
      <c r="M205" s="384">
        <v>4.2300000000000004</v>
      </c>
      <c r="N205" s="384">
        <v>88.56</v>
      </c>
      <c r="O205" s="385">
        <v>11388</v>
      </c>
      <c r="P205" s="382">
        <v>84.8</v>
      </c>
      <c r="Q205" s="382">
        <v>83.04</v>
      </c>
      <c r="R205" s="382">
        <v>29.31</v>
      </c>
      <c r="S205" s="382">
        <v>112.45</v>
      </c>
      <c r="T205" s="382">
        <v>2578</v>
      </c>
      <c r="U205" s="382">
        <v>102.79</v>
      </c>
      <c r="V205" s="382">
        <v>1193</v>
      </c>
      <c r="W205" s="382">
        <v>191.97</v>
      </c>
      <c r="X205" s="382">
        <v>100</v>
      </c>
      <c r="Y205" s="382">
        <v>0</v>
      </c>
      <c r="Z205" s="382">
        <v>51</v>
      </c>
      <c r="AA205" s="382">
        <v>10</v>
      </c>
      <c r="AB205" s="382">
        <v>59</v>
      </c>
      <c r="AC205" s="382">
        <v>18</v>
      </c>
      <c r="AD205" s="386">
        <v>12839</v>
      </c>
      <c r="AE205" s="386">
        <v>122</v>
      </c>
      <c r="AF205" s="386">
        <v>12</v>
      </c>
      <c r="AG205" s="386">
        <v>134</v>
      </c>
    </row>
    <row r="206" spans="1:33" x14ac:dyDescent="0.25">
      <c r="A206" s="381" t="s">
        <v>470</v>
      </c>
      <c r="B206" s="387" t="s">
        <v>471</v>
      </c>
      <c r="C206" s="383">
        <v>20225</v>
      </c>
      <c r="D206" s="383">
        <v>0</v>
      </c>
      <c r="E206" s="383">
        <v>470</v>
      </c>
      <c r="F206" s="383">
        <v>1545</v>
      </c>
      <c r="G206" s="383">
        <v>901</v>
      </c>
      <c r="H206" s="383">
        <v>23141</v>
      </c>
      <c r="I206" s="382">
        <v>22240</v>
      </c>
      <c r="J206" s="382">
        <v>5</v>
      </c>
      <c r="K206" s="384">
        <v>73.959999999999994</v>
      </c>
      <c r="L206" s="384">
        <v>76.94</v>
      </c>
      <c r="M206" s="384">
        <v>5.66</v>
      </c>
      <c r="N206" s="384">
        <v>77.44</v>
      </c>
      <c r="O206" s="385">
        <v>18537</v>
      </c>
      <c r="P206" s="382">
        <v>68.41</v>
      </c>
      <c r="Q206" s="382">
        <v>69.5</v>
      </c>
      <c r="R206" s="382">
        <v>33.659999999999997</v>
      </c>
      <c r="S206" s="382">
        <v>101.36</v>
      </c>
      <c r="T206" s="382">
        <v>1909</v>
      </c>
      <c r="U206" s="382">
        <v>104.13</v>
      </c>
      <c r="V206" s="382">
        <v>1267</v>
      </c>
      <c r="W206" s="382">
        <v>0</v>
      </c>
      <c r="X206" s="382">
        <v>0</v>
      </c>
      <c r="Y206" s="382">
        <v>111</v>
      </c>
      <c r="Z206" s="382">
        <v>87</v>
      </c>
      <c r="AA206" s="382">
        <v>48</v>
      </c>
      <c r="AB206" s="382">
        <v>42</v>
      </c>
      <c r="AC206" s="382">
        <v>23</v>
      </c>
      <c r="AD206" s="386">
        <v>19808</v>
      </c>
      <c r="AE206" s="386">
        <v>70</v>
      </c>
      <c r="AF206" s="386">
        <v>239</v>
      </c>
      <c r="AG206" s="386">
        <v>309</v>
      </c>
    </row>
    <row r="207" spans="1:33" x14ac:dyDescent="0.25">
      <c r="A207" s="381" t="s">
        <v>472</v>
      </c>
      <c r="B207" s="387" t="s">
        <v>473</v>
      </c>
      <c r="C207" s="383">
        <v>4737</v>
      </c>
      <c r="D207" s="383">
        <v>6</v>
      </c>
      <c r="E207" s="383">
        <v>482</v>
      </c>
      <c r="F207" s="383">
        <v>832</v>
      </c>
      <c r="G207" s="383">
        <v>774</v>
      </c>
      <c r="H207" s="383">
        <v>6831</v>
      </c>
      <c r="I207" s="382">
        <v>6057</v>
      </c>
      <c r="J207" s="382">
        <v>3</v>
      </c>
      <c r="K207" s="384">
        <v>99.17</v>
      </c>
      <c r="L207" s="384">
        <v>99.34</v>
      </c>
      <c r="M207" s="384">
        <v>8.18</v>
      </c>
      <c r="N207" s="384">
        <v>105.76</v>
      </c>
      <c r="O207" s="385">
        <v>3754</v>
      </c>
      <c r="P207" s="382">
        <v>84.29</v>
      </c>
      <c r="Q207" s="382">
        <v>81.849999999999994</v>
      </c>
      <c r="R207" s="382">
        <v>28.31</v>
      </c>
      <c r="S207" s="382">
        <v>110.14</v>
      </c>
      <c r="T207" s="382">
        <v>633</v>
      </c>
      <c r="U207" s="382">
        <v>123.51</v>
      </c>
      <c r="V207" s="382">
        <v>529</v>
      </c>
      <c r="W207" s="382">
        <v>169.32</v>
      </c>
      <c r="X207" s="382">
        <v>154</v>
      </c>
      <c r="Y207" s="382">
        <v>0</v>
      </c>
      <c r="Z207" s="382">
        <v>1</v>
      </c>
      <c r="AA207" s="382">
        <v>5</v>
      </c>
      <c r="AB207" s="382">
        <v>17</v>
      </c>
      <c r="AC207" s="382">
        <v>8</v>
      </c>
      <c r="AD207" s="386">
        <v>4564</v>
      </c>
      <c r="AE207" s="386">
        <v>42</v>
      </c>
      <c r="AF207" s="386">
        <v>14</v>
      </c>
      <c r="AG207" s="386">
        <v>56</v>
      </c>
    </row>
    <row r="208" spans="1:33" x14ac:dyDescent="0.25">
      <c r="A208" s="381" t="s">
        <v>474</v>
      </c>
      <c r="B208" s="387" t="s">
        <v>475</v>
      </c>
      <c r="C208" s="383">
        <v>9755</v>
      </c>
      <c r="D208" s="383">
        <v>7</v>
      </c>
      <c r="E208" s="383">
        <v>370</v>
      </c>
      <c r="F208" s="383">
        <v>1176</v>
      </c>
      <c r="G208" s="383">
        <v>364</v>
      </c>
      <c r="H208" s="383">
        <v>11672</v>
      </c>
      <c r="I208" s="382">
        <v>11308</v>
      </c>
      <c r="J208" s="382">
        <v>9</v>
      </c>
      <c r="K208" s="384">
        <v>78.739999999999995</v>
      </c>
      <c r="L208" s="384">
        <v>76.680000000000007</v>
      </c>
      <c r="M208" s="384">
        <v>5.96</v>
      </c>
      <c r="N208" s="384">
        <v>81.2</v>
      </c>
      <c r="O208" s="385">
        <v>9344</v>
      </c>
      <c r="P208" s="382">
        <v>76.55</v>
      </c>
      <c r="Q208" s="382">
        <v>69.02</v>
      </c>
      <c r="R208" s="382">
        <v>31.59</v>
      </c>
      <c r="S208" s="382">
        <v>102.51</v>
      </c>
      <c r="T208" s="382">
        <v>1503</v>
      </c>
      <c r="U208" s="382">
        <v>99.78</v>
      </c>
      <c r="V208" s="382">
        <v>392</v>
      </c>
      <c r="W208" s="382">
        <v>0</v>
      </c>
      <c r="X208" s="382">
        <v>0</v>
      </c>
      <c r="Y208" s="382">
        <v>1</v>
      </c>
      <c r="Z208" s="382">
        <v>40</v>
      </c>
      <c r="AA208" s="382">
        <v>15</v>
      </c>
      <c r="AB208" s="382">
        <v>0</v>
      </c>
      <c r="AC208" s="382">
        <v>6</v>
      </c>
      <c r="AD208" s="386">
        <v>9735</v>
      </c>
      <c r="AE208" s="386">
        <v>33</v>
      </c>
      <c r="AF208" s="386">
        <v>58</v>
      </c>
      <c r="AG208" s="386">
        <v>91</v>
      </c>
    </row>
    <row r="209" spans="1:33" x14ac:dyDescent="0.25">
      <c r="A209" s="381" t="s">
        <v>476</v>
      </c>
      <c r="B209" s="387" t="s">
        <v>477</v>
      </c>
      <c r="C209" s="383">
        <v>3457</v>
      </c>
      <c r="D209" s="383">
        <v>48</v>
      </c>
      <c r="E209" s="383">
        <v>318</v>
      </c>
      <c r="F209" s="383">
        <v>512</v>
      </c>
      <c r="G209" s="383">
        <v>936</v>
      </c>
      <c r="H209" s="383">
        <v>5271</v>
      </c>
      <c r="I209" s="382">
        <v>4335</v>
      </c>
      <c r="J209" s="382">
        <v>27</v>
      </c>
      <c r="K209" s="384">
        <v>118.87</v>
      </c>
      <c r="L209" s="384">
        <v>117.66</v>
      </c>
      <c r="M209" s="384">
        <v>8.44</v>
      </c>
      <c r="N209" s="384">
        <v>126.78</v>
      </c>
      <c r="O209" s="385">
        <v>2823</v>
      </c>
      <c r="P209" s="382">
        <v>109.51</v>
      </c>
      <c r="Q209" s="382">
        <v>105.3</v>
      </c>
      <c r="R209" s="382">
        <v>63.38</v>
      </c>
      <c r="S209" s="382">
        <v>169.18</v>
      </c>
      <c r="T209" s="382">
        <v>701</v>
      </c>
      <c r="U209" s="382">
        <v>150.61000000000001</v>
      </c>
      <c r="V209" s="382">
        <v>178</v>
      </c>
      <c r="W209" s="382">
        <v>152.84</v>
      </c>
      <c r="X209" s="382">
        <v>43</v>
      </c>
      <c r="Y209" s="382">
        <v>23</v>
      </c>
      <c r="Z209" s="382">
        <v>6</v>
      </c>
      <c r="AA209" s="382">
        <v>0</v>
      </c>
      <c r="AB209" s="382">
        <v>15</v>
      </c>
      <c r="AC209" s="382">
        <v>56</v>
      </c>
      <c r="AD209" s="386">
        <v>3308</v>
      </c>
      <c r="AE209" s="386">
        <v>10</v>
      </c>
      <c r="AF209" s="386">
        <v>6</v>
      </c>
      <c r="AG209" s="386">
        <v>16</v>
      </c>
    </row>
    <row r="210" spans="1:33" x14ac:dyDescent="0.25">
      <c r="A210" s="381" t="s">
        <v>478</v>
      </c>
      <c r="B210" s="387" t="s">
        <v>479</v>
      </c>
      <c r="C210" s="383">
        <v>3334</v>
      </c>
      <c r="D210" s="383">
        <v>0</v>
      </c>
      <c r="E210" s="383">
        <v>549</v>
      </c>
      <c r="F210" s="383">
        <v>926</v>
      </c>
      <c r="G210" s="383">
        <v>583</v>
      </c>
      <c r="H210" s="383">
        <v>5392</v>
      </c>
      <c r="I210" s="382">
        <v>4809</v>
      </c>
      <c r="J210" s="382">
        <v>15</v>
      </c>
      <c r="K210" s="384">
        <v>129.59</v>
      </c>
      <c r="L210" s="384">
        <v>123.62</v>
      </c>
      <c r="M210" s="384">
        <v>10.73</v>
      </c>
      <c r="N210" s="384">
        <v>135.5</v>
      </c>
      <c r="O210" s="385">
        <v>2966</v>
      </c>
      <c r="P210" s="382">
        <v>101.23</v>
      </c>
      <c r="Q210" s="382">
        <v>99</v>
      </c>
      <c r="R210" s="382">
        <v>43.45</v>
      </c>
      <c r="S210" s="382">
        <v>143.91</v>
      </c>
      <c r="T210" s="382">
        <v>1293</v>
      </c>
      <c r="U210" s="382">
        <v>157.41999999999999</v>
      </c>
      <c r="V210" s="382">
        <v>104</v>
      </c>
      <c r="W210" s="382">
        <v>131.80000000000001</v>
      </c>
      <c r="X210" s="382">
        <v>55</v>
      </c>
      <c r="Y210" s="382">
        <v>0</v>
      </c>
      <c r="Z210" s="382">
        <v>6</v>
      </c>
      <c r="AA210" s="382">
        <v>0</v>
      </c>
      <c r="AB210" s="382">
        <v>7</v>
      </c>
      <c r="AC210" s="382">
        <v>39</v>
      </c>
      <c r="AD210" s="386">
        <v>3214</v>
      </c>
      <c r="AE210" s="386">
        <v>8</v>
      </c>
      <c r="AF210" s="386">
        <v>10</v>
      </c>
      <c r="AG210" s="386">
        <v>18</v>
      </c>
    </row>
    <row r="211" spans="1:33" x14ac:dyDescent="0.25">
      <c r="A211" s="381" t="s">
        <v>480</v>
      </c>
      <c r="B211" s="387" t="s">
        <v>481</v>
      </c>
      <c r="C211" s="383">
        <v>11420</v>
      </c>
      <c r="D211" s="383">
        <v>4</v>
      </c>
      <c r="E211" s="383">
        <v>181</v>
      </c>
      <c r="F211" s="383">
        <v>554</v>
      </c>
      <c r="G211" s="383">
        <v>225</v>
      </c>
      <c r="H211" s="383">
        <v>12384</v>
      </c>
      <c r="I211" s="382">
        <v>12159</v>
      </c>
      <c r="J211" s="382">
        <v>266</v>
      </c>
      <c r="K211" s="384">
        <v>87.33</v>
      </c>
      <c r="L211" s="384">
        <v>87.63</v>
      </c>
      <c r="M211" s="384">
        <v>5.92</v>
      </c>
      <c r="N211" s="384">
        <v>90.28</v>
      </c>
      <c r="O211" s="385">
        <v>11109</v>
      </c>
      <c r="P211" s="382">
        <v>81.03</v>
      </c>
      <c r="Q211" s="382">
        <v>76.55</v>
      </c>
      <c r="R211" s="382">
        <v>37.28</v>
      </c>
      <c r="S211" s="382">
        <v>117.6</v>
      </c>
      <c r="T211" s="382">
        <v>680</v>
      </c>
      <c r="U211" s="382">
        <v>106.79</v>
      </c>
      <c r="V211" s="382">
        <v>183</v>
      </c>
      <c r="W211" s="382">
        <v>0</v>
      </c>
      <c r="X211" s="382">
        <v>0</v>
      </c>
      <c r="Y211" s="382">
        <v>0</v>
      </c>
      <c r="Z211" s="382">
        <v>31</v>
      </c>
      <c r="AA211" s="382">
        <v>0</v>
      </c>
      <c r="AB211" s="382">
        <v>33</v>
      </c>
      <c r="AC211" s="382">
        <v>8</v>
      </c>
      <c r="AD211" s="386">
        <v>11420</v>
      </c>
      <c r="AE211" s="386">
        <v>155</v>
      </c>
      <c r="AF211" s="386">
        <v>228</v>
      </c>
      <c r="AG211" s="386">
        <v>383</v>
      </c>
    </row>
    <row r="212" spans="1:33" x14ac:dyDescent="0.25">
      <c r="A212" s="381" t="s">
        <v>482</v>
      </c>
      <c r="B212" s="387" t="s">
        <v>483</v>
      </c>
      <c r="C212" s="383">
        <v>1664</v>
      </c>
      <c r="D212" s="383">
        <v>0</v>
      </c>
      <c r="E212" s="383">
        <v>132</v>
      </c>
      <c r="F212" s="383">
        <v>137</v>
      </c>
      <c r="G212" s="383">
        <v>149</v>
      </c>
      <c r="H212" s="383">
        <v>2082</v>
      </c>
      <c r="I212" s="382">
        <v>1933</v>
      </c>
      <c r="J212" s="382">
        <v>0</v>
      </c>
      <c r="K212" s="384">
        <v>87.16</v>
      </c>
      <c r="L212" s="384">
        <v>85.37</v>
      </c>
      <c r="M212" s="384">
        <v>4.49</v>
      </c>
      <c r="N212" s="384">
        <v>91.06</v>
      </c>
      <c r="O212" s="385">
        <v>1077</v>
      </c>
      <c r="P212" s="382">
        <v>94.43</v>
      </c>
      <c r="Q212" s="382">
        <v>85.04</v>
      </c>
      <c r="R212" s="382">
        <v>44.05</v>
      </c>
      <c r="S212" s="382">
        <v>134.76</v>
      </c>
      <c r="T212" s="382">
        <v>213</v>
      </c>
      <c r="U212" s="382">
        <v>109.9</v>
      </c>
      <c r="V212" s="382">
        <v>156</v>
      </c>
      <c r="W212" s="382">
        <v>142.18</v>
      </c>
      <c r="X212" s="382">
        <v>1</v>
      </c>
      <c r="Y212" s="382">
        <v>44</v>
      </c>
      <c r="Z212" s="382">
        <v>0</v>
      </c>
      <c r="AA212" s="382">
        <v>0</v>
      </c>
      <c r="AB212" s="382">
        <v>6</v>
      </c>
      <c r="AC212" s="382">
        <v>5</v>
      </c>
      <c r="AD212" s="386">
        <v>1304</v>
      </c>
      <c r="AE212" s="386">
        <v>5</v>
      </c>
      <c r="AF212" s="386">
        <v>0</v>
      </c>
      <c r="AG212" s="386">
        <v>5</v>
      </c>
    </row>
    <row r="213" spans="1:33" x14ac:dyDescent="0.25">
      <c r="A213" s="381" t="s">
        <v>484</v>
      </c>
      <c r="B213" s="387" t="s">
        <v>485</v>
      </c>
      <c r="C213" s="383">
        <v>6021</v>
      </c>
      <c r="D213" s="383">
        <v>240</v>
      </c>
      <c r="E213" s="383">
        <v>397</v>
      </c>
      <c r="F213" s="383">
        <v>626</v>
      </c>
      <c r="G213" s="383">
        <v>694</v>
      </c>
      <c r="H213" s="383">
        <v>7978</v>
      </c>
      <c r="I213" s="382">
        <v>7284</v>
      </c>
      <c r="J213" s="382">
        <v>10</v>
      </c>
      <c r="K213" s="384">
        <v>118.17</v>
      </c>
      <c r="L213" s="384">
        <v>118.6</v>
      </c>
      <c r="M213" s="384">
        <v>3.79</v>
      </c>
      <c r="N213" s="384">
        <v>121.78</v>
      </c>
      <c r="O213" s="385">
        <v>5295</v>
      </c>
      <c r="P213" s="382">
        <v>104.96</v>
      </c>
      <c r="Q213" s="382">
        <v>99.48</v>
      </c>
      <c r="R213" s="382">
        <v>20.190000000000001</v>
      </c>
      <c r="S213" s="382">
        <v>123.3</v>
      </c>
      <c r="T213" s="382">
        <v>656</v>
      </c>
      <c r="U213" s="382">
        <v>138.63999999999999</v>
      </c>
      <c r="V213" s="382">
        <v>591</v>
      </c>
      <c r="W213" s="382">
        <v>185.34</v>
      </c>
      <c r="X213" s="382">
        <v>89</v>
      </c>
      <c r="Y213" s="382">
        <v>0</v>
      </c>
      <c r="Z213" s="382">
        <v>32</v>
      </c>
      <c r="AA213" s="382">
        <v>0</v>
      </c>
      <c r="AB213" s="382">
        <v>32</v>
      </c>
      <c r="AC213" s="382">
        <v>22</v>
      </c>
      <c r="AD213" s="386">
        <v>6021</v>
      </c>
      <c r="AE213" s="386">
        <v>27</v>
      </c>
      <c r="AF213" s="386">
        <v>14</v>
      </c>
      <c r="AG213" s="386">
        <v>41</v>
      </c>
    </row>
    <row r="214" spans="1:33" x14ac:dyDescent="0.25">
      <c r="A214" s="381" t="s">
        <v>486</v>
      </c>
      <c r="B214" s="387" t="s">
        <v>487</v>
      </c>
      <c r="C214" s="383">
        <v>1154</v>
      </c>
      <c r="D214" s="383">
        <v>0</v>
      </c>
      <c r="E214" s="383">
        <v>89</v>
      </c>
      <c r="F214" s="383">
        <v>715</v>
      </c>
      <c r="G214" s="383">
        <v>186</v>
      </c>
      <c r="H214" s="383">
        <v>2144</v>
      </c>
      <c r="I214" s="382">
        <v>1958</v>
      </c>
      <c r="J214" s="382">
        <v>5</v>
      </c>
      <c r="K214" s="384">
        <v>88.56</v>
      </c>
      <c r="L214" s="384">
        <v>88.42</v>
      </c>
      <c r="M214" s="384">
        <v>3.24</v>
      </c>
      <c r="N214" s="384">
        <v>90.79</v>
      </c>
      <c r="O214" s="385">
        <v>969</v>
      </c>
      <c r="P214" s="382">
        <v>77.510000000000005</v>
      </c>
      <c r="Q214" s="382">
        <v>74.84</v>
      </c>
      <c r="R214" s="382">
        <v>13.32</v>
      </c>
      <c r="S214" s="382">
        <v>89.81</v>
      </c>
      <c r="T214" s="382">
        <v>781</v>
      </c>
      <c r="U214" s="382">
        <v>110.58</v>
      </c>
      <c r="V214" s="382">
        <v>169</v>
      </c>
      <c r="W214" s="382">
        <v>104.31</v>
      </c>
      <c r="X214" s="382">
        <v>6</v>
      </c>
      <c r="Y214" s="382">
        <v>0</v>
      </c>
      <c r="Z214" s="382">
        <v>6</v>
      </c>
      <c r="AA214" s="382">
        <v>0</v>
      </c>
      <c r="AB214" s="382">
        <v>11</v>
      </c>
      <c r="AC214" s="382">
        <v>4</v>
      </c>
      <c r="AD214" s="386">
        <v>1154</v>
      </c>
      <c r="AE214" s="386">
        <v>6</v>
      </c>
      <c r="AF214" s="386">
        <v>8</v>
      </c>
      <c r="AG214" s="386">
        <v>14</v>
      </c>
    </row>
    <row r="215" spans="1:33" x14ac:dyDescent="0.25">
      <c r="A215" s="381" t="s">
        <v>488</v>
      </c>
      <c r="B215" s="387" t="s">
        <v>489</v>
      </c>
      <c r="C215" s="383">
        <v>8694</v>
      </c>
      <c r="D215" s="383">
        <v>9</v>
      </c>
      <c r="E215" s="383">
        <v>306</v>
      </c>
      <c r="F215" s="383">
        <v>840</v>
      </c>
      <c r="G215" s="383">
        <v>562</v>
      </c>
      <c r="H215" s="383">
        <v>10411</v>
      </c>
      <c r="I215" s="382">
        <v>9849</v>
      </c>
      <c r="J215" s="382">
        <v>29</v>
      </c>
      <c r="K215" s="384">
        <v>119.1</v>
      </c>
      <c r="L215" s="384">
        <v>134.96</v>
      </c>
      <c r="M215" s="384">
        <v>9.33</v>
      </c>
      <c r="N215" s="384">
        <v>125.28</v>
      </c>
      <c r="O215" s="385">
        <v>8175</v>
      </c>
      <c r="P215" s="382">
        <v>114.81</v>
      </c>
      <c r="Q215" s="382">
        <v>114.54</v>
      </c>
      <c r="R215" s="382">
        <v>28.5</v>
      </c>
      <c r="S215" s="382">
        <v>141.4</v>
      </c>
      <c r="T215" s="382">
        <v>1091</v>
      </c>
      <c r="U215" s="382">
        <v>189.93</v>
      </c>
      <c r="V215" s="382">
        <v>422</v>
      </c>
      <c r="W215" s="382">
        <v>202.32</v>
      </c>
      <c r="X215" s="382">
        <v>7</v>
      </c>
      <c r="Y215" s="382">
        <v>0</v>
      </c>
      <c r="Z215" s="382">
        <v>23</v>
      </c>
      <c r="AA215" s="382">
        <v>50</v>
      </c>
      <c r="AB215" s="382">
        <v>6</v>
      </c>
      <c r="AC215" s="382">
        <v>20</v>
      </c>
      <c r="AD215" s="386">
        <v>8604</v>
      </c>
      <c r="AE215" s="386">
        <v>12</v>
      </c>
      <c r="AF215" s="386">
        <v>39</v>
      </c>
      <c r="AG215" s="386">
        <v>51</v>
      </c>
    </row>
    <row r="216" spans="1:33" x14ac:dyDescent="0.25">
      <c r="A216" s="381" t="s">
        <v>490</v>
      </c>
      <c r="B216" s="387" t="s">
        <v>491</v>
      </c>
      <c r="C216" s="383">
        <v>583</v>
      </c>
      <c r="D216" s="383">
        <v>4</v>
      </c>
      <c r="E216" s="383">
        <v>84</v>
      </c>
      <c r="F216" s="383">
        <v>97</v>
      </c>
      <c r="G216" s="383">
        <v>51</v>
      </c>
      <c r="H216" s="383">
        <v>819</v>
      </c>
      <c r="I216" s="382">
        <v>768</v>
      </c>
      <c r="J216" s="382">
        <v>0</v>
      </c>
      <c r="K216" s="384">
        <v>91.66</v>
      </c>
      <c r="L216" s="384">
        <v>91.36</v>
      </c>
      <c r="M216" s="384">
        <v>3.48</v>
      </c>
      <c r="N216" s="384">
        <v>94.11</v>
      </c>
      <c r="O216" s="385">
        <v>503</v>
      </c>
      <c r="P216" s="382">
        <v>108.88</v>
      </c>
      <c r="Q216" s="382">
        <v>99.65</v>
      </c>
      <c r="R216" s="382">
        <v>50.59</v>
      </c>
      <c r="S216" s="382">
        <v>159.47</v>
      </c>
      <c r="T216" s="382">
        <v>131</v>
      </c>
      <c r="U216" s="382">
        <v>104.47</v>
      </c>
      <c r="V216" s="382">
        <v>56</v>
      </c>
      <c r="W216" s="382">
        <v>166.78</v>
      </c>
      <c r="X216" s="382">
        <v>40</v>
      </c>
      <c r="Y216" s="382">
        <v>0</v>
      </c>
      <c r="Z216" s="382">
        <v>0</v>
      </c>
      <c r="AA216" s="382">
        <v>0</v>
      </c>
      <c r="AB216" s="382">
        <v>0</v>
      </c>
      <c r="AC216" s="382">
        <v>0</v>
      </c>
      <c r="AD216" s="386">
        <v>583</v>
      </c>
      <c r="AE216" s="386">
        <v>4</v>
      </c>
      <c r="AF216" s="386">
        <v>5</v>
      </c>
      <c r="AG216" s="386">
        <v>9</v>
      </c>
    </row>
    <row r="217" spans="1:33" x14ac:dyDescent="0.25">
      <c r="A217" s="381" t="s">
        <v>492</v>
      </c>
      <c r="B217" s="387" t="s">
        <v>493</v>
      </c>
      <c r="C217" s="383">
        <v>18868</v>
      </c>
      <c r="D217" s="383">
        <v>0</v>
      </c>
      <c r="E217" s="383">
        <v>525</v>
      </c>
      <c r="F217" s="383">
        <v>1979</v>
      </c>
      <c r="G217" s="383">
        <v>141</v>
      </c>
      <c r="H217" s="383">
        <v>21513</v>
      </c>
      <c r="I217" s="382">
        <v>21372</v>
      </c>
      <c r="J217" s="382">
        <v>26</v>
      </c>
      <c r="K217" s="384">
        <v>75.599999999999994</v>
      </c>
      <c r="L217" s="384">
        <v>78.540000000000006</v>
      </c>
      <c r="M217" s="384">
        <v>4.1900000000000004</v>
      </c>
      <c r="N217" s="384">
        <v>79.25</v>
      </c>
      <c r="O217" s="385">
        <v>17919</v>
      </c>
      <c r="P217" s="382">
        <v>73.5</v>
      </c>
      <c r="Q217" s="382">
        <v>70.459999999999994</v>
      </c>
      <c r="R217" s="382">
        <v>29.3</v>
      </c>
      <c r="S217" s="382">
        <v>101.31</v>
      </c>
      <c r="T217" s="382">
        <v>2437</v>
      </c>
      <c r="U217" s="382">
        <v>95.74</v>
      </c>
      <c r="V217" s="382">
        <v>858</v>
      </c>
      <c r="W217" s="382">
        <v>0</v>
      </c>
      <c r="X217" s="382">
        <v>0</v>
      </c>
      <c r="Y217" s="382">
        <v>0</v>
      </c>
      <c r="Z217" s="382">
        <v>112</v>
      </c>
      <c r="AA217" s="382">
        <v>3</v>
      </c>
      <c r="AB217" s="382">
        <v>0</v>
      </c>
      <c r="AC217" s="382">
        <v>9</v>
      </c>
      <c r="AD217" s="386">
        <v>18801</v>
      </c>
      <c r="AE217" s="386">
        <v>290</v>
      </c>
      <c r="AF217" s="386">
        <v>55</v>
      </c>
      <c r="AG217" s="386">
        <v>345</v>
      </c>
    </row>
    <row r="218" spans="1:33" x14ac:dyDescent="0.25">
      <c r="A218" s="381" t="s">
        <v>494</v>
      </c>
      <c r="B218" s="387" t="s">
        <v>495</v>
      </c>
      <c r="C218" s="383">
        <v>2053</v>
      </c>
      <c r="D218" s="383">
        <v>0</v>
      </c>
      <c r="E218" s="383">
        <v>44</v>
      </c>
      <c r="F218" s="383">
        <v>717</v>
      </c>
      <c r="G218" s="383">
        <v>209</v>
      </c>
      <c r="H218" s="383">
        <v>3023</v>
      </c>
      <c r="I218" s="382">
        <v>2814</v>
      </c>
      <c r="J218" s="382">
        <v>7</v>
      </c>
      <c r="K218" s="384">
        <v>99.85</v>
      </c>
      <c r="L218" s="384">
        <v>101.66</v>
      </c>
      <c r="M218" s="384">
        <v>7.19</v>
      </c>
      <c r="N218" s="384">
        <v>102</v>
      </c>
      <c r="O218" s="385">
        <v>1799</v>
      </c>
      <c r="P218" s="382">
        <v>85.29</v>
      </c>
      <c r="Q218" s="382">
        <v>86.26</v>
      </c>
      <c r="R218" s="382">
        <v>35.69</v>
      </c>
      <c r="S218" s="382">
        <v>120.83</v>
      </c>
      <c r="T218" s="382">
        <v>757</v>
      </c>
      <c r="U218" s="382">
        <v>138.35</v>
      </c>
      <c r="V218" s="382">
        <v>253</v>
      </c>
      <c r="W218" s="382">
        <v>0</v>
      </c>
      <c r="X218" s="382">
        <v>0</v>
      </c>
      <c r="Y218" s="382">
        <v>0</v>
      </c>
      <c r="Z218" s="382">
        <v>3</v>
      </c>
      <c r="AA218" s="382">
        <v>1</v>
      </c>
      <c r="AB218" s="382">
        <v>14</v>
      </c>
      <c r="AC218" s="382">
        <v>0</v>
      </c>
      <c r="AD218" s="386">
        <v>2053</v>
      </c>
      <c r="AE218" s="386">
        <v>3</v>
      </c>
      <c r="AF218" s="386">
        <v>3</v>
      </c>
      <c r="AG218" s="386">
        <v>6</v>
      </c>
    </row>
    <row r="219" spans="1:33" x14ac:dyDescent="0.25">
      <c r="A219" s="381" t="s">
        <v>496</v>
      </c>
      <c r="B219" s="387" t="s">
        <v>497</v>
      </c>
      <c r="C219" s="383">
        <v>4198</v>
      </c>
      <c r="D219" s="383">
        <v>0</v>
      </c>
      <c r="E219" s="383">
        <v>64</v>
      </c>
      <c r="F219" s="383">
        <v>400</v>
      </c>
      <c r="G219" s="383">
        <v>30</v>
      </c>
      <c r="H219" s="383">
        <v>4692</v>
      </c>
      <c r="I219" s="382">
        <v>4662</v>
      </c>
      <c r="J219" s="382">
        <v>15</v>
      </c>
      <c r="K219" s="384">
        <v>75.260000000000005</v>
      </c>
      <c r="L219" s="384">
        <v>75.290000000000006</v>
      </c>
      <c r="M219" s="384">
        <v>5.48</v>
      </c>
      <c r="N219" s="384">
        <v>75.8</v>
      </c>
      <c r="O219" s="385">
        <v>3919</v>
      </c>
      <c r="P219" s="382">
        <v>81.98</v>
      </c>
      <c r="Q219" s="382">
        <v>79.11</v>
      </c>
      <c r="R219" s="382">
        <v>29.9</v>
      </c>
      <c r="S219" s="382">
        <v>107.94</v>
      </c>
      <c r="T219" s="382">
        <v>433</v>
      </c>
      <c r="U219" s="382">
        <v>92.85</v>
      </c>
      <c r="V219" s="382">
        <v>276</v>
      </c>
      <c r="W219" s="382">
        <v>0</v>
      </c>
      <c r="X219" s="382">
        <v>0</v>
      </c>
      <c r="Y219" s="382">
        <v>0</v>
      </c>
      <c r="Z219" s="382">
        <v>17</v>
      </c>
      <c r="AA219" s="382">
        <v>2</v>
      </c>
      <c r="AB219" s="382">
        <v>1</v>
      </c>
      <c r="AC219" s="382">
        <v>0</v>
      </c>
      <c r="AD219" s="386">
        <v>4198</v>
      </c>
      <c r="AE219" s="386">
        <v>22</v>
      </c>
      <c r="AF219" s="386">
        <v>9</v>
      </c>
      <c r="AG219" s="386">
        <v>31</v>
      </c>
    </row>
    <row r="220" spans="1:33" x14ac:dyDescent="0.25">
      <c r="A220" s="381" t="s">
        <v>498</v>
      </c>
      <c r="B220" s="387" t="s">
        <v>499</v>
      </c>
      <c r="C220" s="383">
        <v>3559</v>
      </c>
      <c r="D220" s="383">
        <v>0</v>
      </c>
      <c r="E220" s="383">
        <v>120</v>
      </c>
      <c r="F220" s="383">
        <v>684</v>
      </c>
      <c r="G220" s="383">
        <v>169</v>
      </c>
      <c r="H220" s="383">
        <v>4532</v>
      </c>
      <c r="I220" s="382">
        <v>4363</v>
      </c>
      <c r="J220" s="382">
        <v>29</v>
      </c>
      <c r="K220" s="384">
        <v>97.53</v>
      </c>
      <c r="L220" s="384">
        <v>95.32</v>
      </c>
      <c r="M220" s="384">
        <v>2.94</v>
      </c>
      <c r="N220" s="384">
        <v>99.94</v>
      </c>
      <c r="O220" s="385">
        <v>3284</v>
      </c>
      <c r="P220" s="382">
        <v>85.72</v>
      </c>
      <c r="Q220" s="382">
        <v>79.239999999999995</v>
      </c>
      <c r="R220" s="382">
        <v>32.54</v>
      </c>
      <c r="S220" s="382">
        <v>114.33</v>
      </c>
      <c r="T220" s="382">
        <v>653</v>
      </c>
      <c r="U220" s="382">
        <v>121.84</v>
      </c>
      <c r="V220" s="382">
        <v>258</v>
      </c>
      <c r="W220" s="382">
        <v>0</v>
      </c>
      <c r="X220" s="382">
        <v>0</v>
      </c>
      <c r="Y220" s="382">
        <v>13</v>
      </c>
      <c r="Z220" s="382">
        <v>5</v>
      </c>
      <c r="AA220" s="382">
        <v>11</v>
      </c>
      <c r="AB220" s="382">
        <v>12</v>
      </c>
      <c r="AC220" s="382">
        <v>0</v>
      </c>
      <c r="AD220" s="386">
        <v>3542</v>
      </c>
      <c r="AE220" s="386">
        <v>46</v>
      </c>
      <c r="AF220" s="386">
        <v>3</v>
      </c>
      <c r="AG220" s="386">
        <v>49</v>
      </c>
    </row>
    <row r="221" spans="1:33" x14ac:dyDescent="0.25">
      <c r="A221" s="381" t="s">
        <v>500</v>
      </c>
      <c r="B221" s="387" t="s">
        <v>501</v>
      </c>
      <c r="C221" s="383">
        <v>3317</v>
      </c>
      <c r="D221" s="383">
        <v>0</v>
      </c>
      <c r="E221" s="383">
        <v>349</v>
      </c>
      <c r="F221" s="383">
        <v>915</v>
      </c>
      <c r="G221" s="383">
        <v>258</v>
      </c>
      <c r="H221" s="383">
        <v>4839</v>
      </c>
      <c r="I221" s="382">
        <v>4581</v>
      </c>
      <c r="J221" s="382">
        <v>4</v>
      </c>
      <c r="K221" s="384">
        <v>81.53</v>
      </c>
      <c r="L221" s="384">
        <v>80.790000000000006</v>
      </c>
      <c r="M221" s="384">
        <v>7.75</v>
      </c>
      <c r="N221" s="384">
        <v>85.55</v>
      </c>
      <c r="O221" s="385">
        <v>2958</v>
      </c>
      <c r="P221" s="382">
        <v>81.099999999999994</v>
      </c>
      <c r="Q221" s="382">
        <v>73.84</v>
      </c>
      <c r="R221" s="382">
        <v>30.5</v>
      </c>
      <c r="S221" s="382">
        <v>109.32</v>
      </c>
      <c r="T221" s="382">
        <v>1229</v>
      </c>
      <c r="U221" s="382">
        <v>97.38</v>
      </c>
      <c r="V221" s="382">
        <v>244</v>
      </c>
      <c r="W221" s="382">
        <v>90.3</v>
      </c>
      <c r="X221" s="382">
        <v>5</v>
      </c>
      <c r="Y221" s="382">
        <v>0</v>
      </c>
      <c r="Z221" s="382">
        <v>0</v>
      </c>
      <c r="AA221" s="382">
        <v>12</v>
      </c>
      <c r="AB221" s="382">
        <v>23</v>
      </c>
      <c r="AC221" s="382">
        <v>4</v>
      </c>
      <c r="AD221" s="386">
        <v>3290</v>
      </c>
      <c r="AE221" s="386">
        <v>31</v>
      </c>
      <c r="AF221" s="386">
        <v>15</v>
      </c>
      <c r="AG221" s="386">
        <v>46</v>
      </c>
    </row>
    <row r="222" spans="1:33" x14ac:dyDescent="0.25">
      <c r="A222" s="381" t="s">
        <v>502</v>
      </c>
      <c r="B222" s="387" t="s">
        <v>503</v>
      </c>
      <c r="C222" s="383">
        <v>2218</v>
      </c>
      <c r="D222" s="383">
        <v>4</v>
      </c>
      <c r="E222" s="383">
        <v>52</v>
      </c>
      <c r="F222" s="383">
        <v>241</v>
      </c>
      <c r="G222" s="383">
        <v>469</v>
      </c>
      <c r="H222" s="383">
        <v>2984</v>
      </c>
      <c r="I222" s="382">
        <v>2515</v>
      </c>
      <c r="J222" s="382">
        <v>11</v>
      </c>
      <c r="K222" s="384">
        <v>98.78</v>
      </c>
      <c r="L222" s="384">
        <v>97.67</v>
      </c>
      <c r="M222" s="384">
        <v>4.8600000000000003</v>
      </c>
      <c r="N222" s="384">
        <v>102.32</v>
      </c>
      <c r="O222" s="385">
        <v>2056</v>
      </c>
      <c r="P222" s="382">
        <v>82.65</v>
      </c>
      <c r="Q222" s="382">
        <v>84.89</v>
      </c>
      <c r="R222" s="382">
        <v>32.909999999999997</v>
      </c>
      <c r="S222" s="382">
        <v>113.48</v>
      </c>
      <c r="T222" s="382">
        <v>205</v>
      </c>
      <c r="U222" s="382">
        <v>114.71</v>
      </c>
      <c r="V222" s="382">
        <v>111</v>
      </c>
      <c r="W222" s="382">
        <v>184.68</v>
      </c>
      <c r="X222" s="382">
        <v>62</v>
      </c>
      <c r="Y222" s="382">
        <v>0</v>
      </c>
      <c r="Z222" s="382">
        <v>3</v>
      </c>
      <c r="AA222" s="382">
        <v>4</v>
      </c>
      <c r="AB222" s="382">
        <v>57</v>
      </c>
      <c r="AC222" s="382">
        <v>10</v>
      </c>
      <c r="AD222" s="386">
        <v>2181</v>
      </c>
      <c r="AE222" s="386">
        <v>16</v>
      </c>
      <c r="AF222" s="386">
        <v>8</v>
      </c>
      <c r="AG222" s="386">
        <v>24</v>
      </c>
    </row>
    <row r="223" spans="1:33" x14ac:dyDescent="0.25">
      <c r="A223" s="381" t="s">
        <v>504</v>
      </c>
      <c r="B223" s="387" t="s">
        <v>505</v>
      </c>
      <c r="C223" s="383">
        <v>1109</v>
      </c>
      <c r="D223" s="383">
        <v>23</v>
      </c>
      <c r="E223" s="383">
        <v>67</v>
      </c>
      <c r="F223" s="383">
        <v>278</v>
      </c>
      <c r="G223" s="383">
        <v>256</v>
      </c>
      <c r="H223" s="383">
        <v>1733</v>
      </c>
      <c r="I223" s="382">
        <v>1477</v>
      </c>
      <c r="J223" s="382">
        <v>23</v>
      </c>
      <c r="K223" s="384">
        <v>121.19</v>
      </c>
      <c r="L223" s="384">
        <v>119.17</v>
      </c>
      <c r="M223" s="384">
        <v>7.39</v>
      </c>
      <c r="N223" s="384">
        <v>126.84</v>
      </c>
      <c r="O223" s="385">
        <v>885</v>
      </c>
      <c r="P223" s="382">
        <v>111.44</v>
      </c>
      <c r="Q223" s="382">
        <v>106.79</v>
      </c>
      <c r="R223" s="382">
        <v>28.43</v>
      </c>
      <c r="S223" s="382">
        <v>138.22</v>
      </c>
      <c r="T223" s="382">
        <v>326</v>
      </c>
      <c r="U223" s="382">
        <v>204.48</v>
      </c>
      <c r="V223" s="382">
        <v>46</v>
      </c>
      <c r="W223" s="382">
        <v>131.06</v>
      </c>
      <c r="X223" s="382">
        <v>20</v>
      </c>
      <c r="Y223" s="382">
        <v>0</v>
      </c>
      <c r="Z223" s="382">
        <v>0</v>
      </c>
      <c r="AA223" s="382">
        <v>1</v>
      </c>
      <c r="AB223" s="382">
        <v>77</v>
      </c>
      <c r="AC223" s="382">
        <v>7</v>
      </c>
      <c r="AD223" s="386">
        <v>1025</v>
      </c>
      <c r="AE223" s="386">
        <v>2</v>
      </c>
      <c r="AF223" s="386">
        <v>2</v>
      </c>
      <c r="AG223" s="386">
        <v>4</v>
      </c>
    </row>
    <row r="224" spans="1:33" x14ac:dyDescent="0.25">
      <c r="A224" s="381" t="s">
        <v>506</v>
      </c>
      <c r="B224" s="387" t="s">
        <v>507</v>
      </c>
      <c r="C224" s="383">
        <v>2654</v>
      </c>
      <c r="D224" s="383">
        <v>0</v>
      </c>
      <c r="E224" s="383">
        <v>59</v>
      </c>
      <c r="F224" s="383">
        <v>1380</v>
      </c>
      <c r="G224" s="383">
        <v>248</v>
      </c>
      <c r="H224" s="383">
        <v>4341</v>
      </c>
      <c r="I224" s="382">
        <v>4093</v>
      </c>
      <c r="J224" s="382">
        <v>12</v>
      </c>
      <c r="K224" s="384">
        <v>95.69</v>
      </c>
      <c r="L224" s="384">
        <v>101.36</v>
      </c>
      <c r="M224" s="384">
        <v>3.98</v>
      </c>
      <c r="N224" s="384">
        <v>96.93</v>
      </c>
      <c r="O224" s="385">
        <v>2517</v>
      </c>
      <c r="P224" s="382">
        <v>90.61</v>
      </c>
      <c r="Q224" s="382">
        <v>90.73</v>
      </c>
      <c r="R224" s="382">
        <v>11.08</v>
      </c>
      <c r="S224" s="382">
        <v>99.13</v>
      </c>
      <c r="T224" s="382">
        <v>1426</v>
      </c>
      <c r="U224" s="382">
        <v>105.72</v>
      </c>
      <c r="V224" s="382">
        <v>77</v>
      </c>
      <c r="W224" s="382">
        <v>0</v>
      </c>
      <c r="X224" s="382">
        <v>0</v>
      </c>
      <c r="Y224" s="382">
        <v>0</v>
      </c>
      <c r="Z224" s="382">
        <v>18</v>
      </c>
      <c r="AA224" s="382">
        <v>1</v>
      </c>
      <c r="AB224" s="382">
        <v>2</v>
      </c>
      <c r="AC224" s="382">
        <v>12</v>
      </c>
      <c r="AD224" s="386">
        <v>2642</v>
      </c>
      <c r="AE224" s="386">
        <v>13</v>
      </c>
      <c r="AF224" s="386">
        <v>3</v>
      </c>
      <c r="AG224" s="386">
        <v>16</v>
      </c>
    </row>
    <row r="225" spans="1:33" x14ac:dyDescent="0.25">
      <c r="A225" s="381" t="s">
        <v>508</v>
      </c>
      <c r="B225" s="387" t="s">
        <v>509</v>
      </c>
      <c r="C225" s="383">
        <v>5189</v>
      </c>
      <c r="D225" s="383">
        <v>0</v>
      </c>
      <c r="E225" s="383">
        <v>184</v>
      </c>
      <c r="F225" s="383">
        <v>720</v>
      </c>
      <c r="G225" s="383">
        <v>565</v>
      </c>
      <c r="H225" s="383">
        <v>6658</v>
      </c>
      <c r="I225" s="382">
        <v>6093</v>
      </c>
      <c r="J225" s="382">
        <v>24</v>
      </c>
      <c r="K225" s="384">
        <v>112</v>
      </c>
      <c r="L225" s="384">
        <v>111.17</v>
      </c>
      <c r="M225" s="384">
        <v>8.14</v>
      </c>
      <c r="N225" s="384">
        <v>116.68</v>
      </c>
      <c r="O225" s="385">
        <v>4600</v>
      </c>
      <c r="P225" s="382">
        <v>89.75</v>
      </c>
      <c r="Q225" s="382">
        <v>91.38</v>
      </c>
      <c r="R225" s="382">
        <v>32.68</v>
      </c>
      <c r="S225" s="382">
        <v>119.62</v>
      </c>
      <c r="T225" s="382">
        <v>895</v>
      </c>
      <c r="U225" s="382">
        <v>142.88999999999999</v>
      </c>
      <c r="V225" s="382">
        <v>471</v>
      </c>
      <c r="W225" s="382">
        <v>132.19999999999999</v>
      </c>
      <c r="X225" s="382">
        <v>9</v>
      </c>
      <c r="Y225" s="382">
        <v>10</v>
      </c>
      <c r="Z225" s="382">
        <v>8</v>
      </c>
      <c r="AA225" s="382">
        <v>0</v>
      </c>
      <c r="AB225" s="382">
        <v>24</v>
      </c>
      <c r="AC225" s="382">
        <v>37</v>
      </c>
      <c r="AD225" s="386">
        <v>5168</v>
      </c>
      <c r="AE225" s="386">
        <v>16</v>
      </c>
      <c r="AF225" s="386">
        <v>43</v>
      </c>
      <c r="AG225" s="386">
        <v>59</v>
      </c>
    </row>
    <row r="226" spans="1:33" x14ac:dyDescent="0.25">
      <c r="A226" s="381" t="s">
        <v>510</v>
      </c>
      <c r="B226" s="387" t="s">
        <v>511</v>
      </c>
      <c r="C226" s="383">
        <v>1260</v>
      </c>
      <c r="D226" s="383">
        <v>0</v>
      </c>
      <c r="E226" s="383">
        <v>34</v>
      </c>
      <c r="F226" s="383">
        <v>520</v>
      </c>
      <c r="G226" s="383">
        <v>148</v>
      </c>
      <c r="H226" s="383">
        <v>1962</v>
      </c>
      <c r="I226" s="382">
        <v>1814</v>
      </c>
      <c r="J226" s="382">
        <v>5</v>
      </c>
      <c r="K226" s="384">
        <v>91.4</v>
      </c>
      <c r="L226" s="384">
        <v>100.21</v>
      </c>
      <c r="M226" s="384">
        <v>5.1100000000000003</v>
      </c>
      <c r="N226" s="384">
        <v>93.14</v>
      </c>
      <c r="O226" s="385">
        <v>1133</v>
      </c>
      <c r="P226" s="382">
        <v>80.959999999999994</v>
      </c>
      <c r="Q226" s="382">
        <v>89.13</v>
      </c>
      <c r="R226" s="382">
        <v>22.56</v>
      </c>
      <c r="S226" s="382">
        <v>90.17</v>
      </c>
      <c r="T226" s="382">
        <v>495</v>
      </c>
      <c r="U226" s="382">
        <v>104.47</v>
      </c>
      <c r="V226" s="382">
        <v>58</v>
      </c>
      <c r="W226" s="382">
        <v>0</v>
      </c>
      <c r="X226" s="382">
        <v>0</v>
      </c>
      <c r="Y226" s="382">
        <v>0</v>
      </c>
      <c r="Z226" s="382">
        <v>5</v>
      </c>
      <c r="AA226" s="382">
        <v>0</v>
      </c>
      <c r="AB226" s="382">
        <v>12</v>
      </c>
      <c r="AC226" s="382">
        <v>10</v>
      </c>
      <c r="AD226" s="386">
        <v>1203</v>
      </c>
      <c r="AE226" s="386">
        <v>9</v>
      </c>
      <c r="AF226" s="386">
        <v>3</v>
      </c>
      <c r="AG226" s="386">
        <v>12</v>
      </c>
    </row>
    <row r="227" spans="1:33" x14ac:dyDescent="0.25">
      <c r="A227" s="381" t="s">
        <v>512</v>
      </c>
      <c r="B227" s="387" t="s">
        <v>513</v>
      </c>
      <c r="C227" s="383">
        <v>2013</v>
      </c>
      <c r="D227" s="383">
        <v>18</v>
      </c>
      <c r="E227" s="383">
        <v>39</v>
      </c>
      <c r="F227" s="383">
        <v>1058</v>
      </c>
      <c r="G227" s="383">
        <v>46</v>
      </c>
      <c r="H227" s="383">
        <v>3174</v>
      </c>
      <c r="I227" s="382">
        <v>3128</v>
      </c>
      <c r="J227" s="382">
        <v>6</v>
      </c>
      <c r="K227" s="384">
        <v>91.93</v>
      </c>
      <c r="L227" s="384">
        <v>88.43</v>
      </c>
      <c r="M227" s="384">
        <v>4.76</v>
      </c>
      <c r="N227" s="384">
        <v>93.22</v>
      </c>
      <c r="O227" s="385">
        <v>1600</v>
      </c>
      <c r="P227" s="382">
        <v>82.43</v>
      </c>
      <c r="Q227" s="382">
        <v>78.180000000000007</v>
      </c>
      <c r="R227" s="382">
        <v>9.6</v>
      </c>
      <c r="S227" s="382">
        <v>89.49</v>
      </c>
      <c r="T227" s="382">
        <v>826</v>
      </c>
      <c r="U227" s="382">
        <v>100.09</v>
      </c>
      <c r="V227" s="382">
        <v>374</v>
      </c>
      <c r="W227" s="382">
        <v>92.43</v>
      </c>
      <c r="X227" s="382">
        <v>247</v>
      </c>
      <c r="Y227" s="382">
        <v>0</v>
      </c>
      <c r="Z227" s="382">
        <v>7</v>
      </c>
      <c r="AA227" s="382">
        <v>4</v>
      </c>
      <c r="AB227" s="382">
        <v>1</v>
      </c>
      <c r="AC227" s="382">
        <v>0</v>
      </c>
      <c r="AD227" s="386">
        <v>2007</v>
      </c>
      <c r="AE227" s="386">
        <v>12</v>
      </c>
      <c r="AF227" s="386">
        <v>4</v>
      </c>
      <c r="AG227" s="386">
        <v>16</v>
      </c>
    </row>
    <row r="228" spans="1:33" x14ac:dyDescent="0.25">
      <c r="A228" s="381" t="s">
        <v>514</v>
      </c>
      <c r="B228" s="387" t="s">
        <v>515</v>
      </c>
      <c r="C228" s="383">
        <v>27400</v>
      </c>
      <c r="D228" s="383">
        <v>0</v>
      </c>
      <c r="E228" s="383">
        <v>520</v>
      </c>
      <c r="F228" s="383">
        <v>2292</v>
      </c>
      <c r="G228" s="383">
        <v>196</v>
      </c>
      <c r="H228" s="383">
        <v>30408</v>
      </c>
      <c r="I228" s="382">
        <v>30212</v>
      </c>
      <c r="J228" s="382">
        <v>1863</v>
      </c>
      <c r="K228" s="384">
        <v>78.36</v>
      </c>
      <c r="L228" s="384">
        <v>79.2</v>
      </c>
      <c r="M228" s="384">
        <v>7.28</v>
      </c>
      <c r="N228" s="384">
        <v>81.7</v>
      </c>
      <c r="O228" s="385">
        <v>26085</v>
      </c>
      <c r="P228" s="382">
        <v>78.290000000000006</v>
      </c>
      <c r="Q228" s="382">
        <v>72.849999999999994</v>
      </c>
      <c r="R228" s="382">
        <v>27.1</v>
      </c>
      <c r="S228" s="382">
        <v>105.12</v>
      </c>
      <c r="T228" s="382">
        <v>2512</v>
      </c>
      <c r="U228" s="382">
        <v>104.7</v>
      </c>
      <c r="V228" s="382">
        <v>1109</v>
      </c>
      <c r="W228" s="382">
        <v>164.61</v>
      </c>
      <c r="X228" s="382">
        <v>75</v>
      </c>
      <c r="Y228" s="382">
        <v>2</v>
      </c>
      <c r="Z228" s="382">
        <v>64</v>
      </c>
      <c r="AA228" s="382">
        <v>16</v>
      </c>
      <c r="AB228" s="382">
        <v>15</v>
      </c>
      <c r="AC228" s="382">
        <v>6</v>
      </c>
      <c r="AD228" s="386">
        <v>27292</v>
      </c>
      <c r="AE228" s="386">
        <v>151</v>
      </c>
      <c r="AF228" s="386">
        <v>311</v>
      </c>
      <c r="AG228" s="386">
        <v>462</v>
      </c>
    </row>
    <row r="229" spans="1:33" x14ac:dyDescent="0.25">
      <c r="A229" s="381" t="s">
        <v>516</v>
      </c>
      <c r="B229" s="387" t="s">
        <v>517</v>
      </c>
      <c r="C229" s="383">
        <v>5465</v>
      </c>
      <c r="D229" s="383">
        <v>2</v>
      </c>
      <c r="E229" s="383">
        <v>444</v>
      </c>
      <c r="F229" s="383">
        <v>1043</v>
      </c>
      <c r="G229" s="383">
        <v>599</v>
      </c>
      <c r="H229" s="383">
        <v>7553</v>
      </c>
      <c r="I229" s="382">
        <v>6954</v>
      </c>
      <c r="J229" s="382">
        <v>1</v>
      </c>
      <c r="K229" s="384">
        <v>89.2</v>
      </c>
      <c r="L229" s="384">
        <v>89.4</v>
      </c>
      <c r="M229" s="384">
        <v>6.82</v>
      </c>
      <c r="N229" s="384">
        <v>94.42</v>
      </c>
      <c r="O229" s="385">
        <v>4404</v>
      </c>
      <c r="P229" s="382">
        <v>83.43</v>
      </c>
      <c r="Q229" s="382">
        <v>82.78</v>
      </c>
      <c r="R229" s="382">
        <v>39.659999999999997</v>
      </c>
      <c r="S229" s="382">
        <v>122.78</v>
      </c>
      <c r="T229" s="382">
        <v>1180</v>
      </c>
      <c r="U229" s="382">
        <v>116.09</v>
      </c>
      <c r="V229" s="382">
        <v>547</v>
      </c>
      <c r="W229" s="382">
        <v>144.29</v>
      </c>
      <c r="X229" s="382">
        <v>92</v>
      </c>
      <c r="Y229" s="382">
        <v>0</v>
      </c>
      <c r="Z229" s="382">
        <v>4</v>
      </c>
      <c r="AA229" s="382">
        <v>0</v>
      </c>
      <c r="AB229" s="382">
        <v>3</v>
      </c>
      <c r="AC229" s="382">
        <v>30</v>
      </c>
      <c r="AD229" s="386">
        <v>5199</v>
      </c>
      <c r="AE229" s="386">
        <v>40</v>
      </c>
      <c r="AF229" s="386">
        <v>19</v>
      </c>
      <c r="AG229" s="386">
        <v>59</v>
      </c>
    </row>
    <row r="230" spans="1:33" x14ac:dyDescent="0.25">
      <c r="A230" s="381" t="s">
        <v>518</v>
      </c>
      <c r="B230" s="387" t="s">
        <v>519</v>
      </c>
      <c r="C230" s="383">
        <v>5848</v>
      </c>
      <c r="D230" s="383">
        <v>12</v>
      </c>
      <c r="E230" s="383">
        <v>152</v>
      </c>
      <c r="F230" s="383">
        <v>592</v>
      </c>
      <c r="G230" s="383">
        <v>253</v>
      </c>
      <c r="H230" s="383">
        <v>6857</v>
      </c>
      <c r="I230" s="382">
        <v>6604</v>
      </c>
      <c r="J230" s="382">
        <v>83</v>
      </c>
      <c r="K230" s="384">
        <v>84.65</v>
      </c>
      <c r="L230" s="384">
        <v>84.48</v>
      </c>
      <c r="M230" s="384">
        <v>2.83</v>
      </c>
      <c r="N230" s="384">
        <v>85.73</v>
      </c>
      <c r="O230" s="385">
        <v>5666</v>
      </c>
      <c r="P230" s="382">
        <v>84.93</v>
      </c>
      <c r="Q230" s="382">
        <v>82.41</v>
      </c>
      <c r="R230" s="382">
        <v>26.21</v>
      </c>
      <c r="S230" s="382">
        <v>110.62</v>
      </c>
      <c r="T230" s="382">
        <v>615</v>
      </c>
      <c r="U230" s="382">
        <v>106.67</v>
      </c>
      <c r="V230" s="382">
        <v>186</v>
      </c>
      <c r="W230" s="382">
        <v>158.77000000000001</v>
      </c>
      <c r="X230" s="382">
        <v>64</v>
      </c>
      <c r="Y230" s="382">
        <v>0</v>
      </c>
      <c r="Z230" s="382">
        <v>13</v>
      </c>
      <c r="AA230" s="382">
        <v>0</v>
      </c>
      <c r="AB230" s="382">
        <v>11</v>
      </c>
      <c r="AC230" s="382">
        <v>3</v>
      </c>
      <c r="AD230" s="386">
        <v>5845</v>
      </c>
      <c r="AE230" s="386">
        <v>35</v>
      </c>
      <c r="AF230" s="386">
        <v>63</v>
      </c>
      <c r="AG230" s="386">
        <v>98</v>
      </c>
    </row>
    <row r="231" spans="1:33" x14ac:dyDescent="0.25">
      <c r="A231" s="381" t="s">
        <v>520</v>
      </c>
      <c r="B231" s="387" t="s">
        <v>521</v>
      </c>
      <c r="C231" s="383">
        <v>2677</v>
      </c>
      <c r="D231" s="383">
        <v>32</v>
      </c>
      <c r="E231" s="383">
        <v>241</v>
      </c>
      <c r="F231" s="383">
        <v>102</v>
      </c>
      <c r="G231" s="383">
        <v>213</v>
      </c>
      <c r="H231" s="383">
        <v>3265</v>
      </c>
      <c r="I231" s="382">
        <v>3052</v>
      </c>
      <c r="J231" s="382">
        <v>0</v>
      </c>
      <c r="K231" s="384">
        <v>92.42</v>
      </c>
      <c r="L231" s="384">
        <v>89.6</v>
      </c>
      <c r="M231" s="384">
        <v>3.79</v>
      </c>
      <c r="N231" s="384">
        <v>95.58</v>
      </c>
      <c r="O231" s="385">
        <v>1617</v>
      </c>
      <c r="P231" s="382">
        <v>72.959999999999994</v>
      </c>
      <c r="Q231" s="382">
        <v>69.47</v>
      </c>
      <c r="R231" s="382">
        <v>36.869999999999997</v>
      </c>
      <c r="S231" s="382">
        <v>107.44</v>
      </c>
      <c r="T231" s="382">
        <v>200</v>
      </c>
      <c r="U231" s="382">
        <v>110.76</v>
      </c>
      <c r="V231" s="382">
        <v>326</v>
      </c>
      <c r="W231" s="382">
        <v>0</v>
      </c>
      <c r="X231" s="382">
        <v>0</v>
      </c>
      <c r="Y231" s="382">
        <v>88</v>
      </c>
      <c r="Z231" s="382">
        <v>0</v>
      </c>
      <c r="AA231" s="382">
        <v>0</v>
      </c>
      <c r="AB231" s="382">
        <v>3</v>
      </c>
      <c r="AC231" s="382">
        <v>2</v>
      </c>
      <c r="AD231" s="386">
        <v>1867</v>
      </c>
      <c r="AE231" s="386">
        <v>72</v>
      </c>
      <c r="AF231" s="386">
        <v>1</v>
      </c>
      <c r="AG231" s="386">
        <v>73</v>
      </c>
    </row>
    <row r="232" spans="1:33" x14ac:dyDescent="0.25">
      <c r="A232" s="381" t="s">
        <v>522</v>
      </c>
      <c r="B232" s="387" t="s">
        <v>523</v>
      </c>
      <c r="C232" s="383">
        <v>15914</v>
      </c>
      <c r="D232" s="383">
        <v>0</v>
      </c>
      <c r="E232" s="383">
        <v>1514</v>
      </c>
      <c r="F232" s="383">
        <v>1586</v>
      </c>
      <c r="G232" s="383">
        <v>580</v>
      </c>
      <c r="H232" s="383">
        <v>19594</v>
      </c>
      <c r="I232" s="382">
        <v>19014</v>
      </c>
      <c r="J232" s="382">
        <v>103</v>
      </c>
      <c r="K232" s="384">
        <v>86.64</v>
      </c>
      <c r="L232" s="384">
        <v>92.19</v>
      </c>
      <c r="M232" s="384">
        <v>9.39</v>
      </c>
      <c r="N232" s="384">
        <v>89.98</v>
      </c>
      <c r="O232" s="385">
        <v>14954</v>
      </c>
      <c r="P232" s="382">
        <v>78.53</v>
      </c>
      <c r="Q232" s="382">
        <v>79.8</v>
      </c>
      <c r="R232" s="382">
        <v>28.63</v>
      </c>
      <c r="S232" s="382">
        <v>106.43</v>
      </c>
      <c r="T232" s="382">
        <v>2906</v>
      </c>
      <c r="U232" s="382">
        <v>98.87</v>
      </c>
      <c r="V232" s="382">
        <v>522</v>
      </c>
      <c r="W232" s="382">
        <v>0</v>
      </c>
      <c r="X232" s="382">
        <v>0</v>
      </c>
      <c r="Y232" s="382">
        <v>0</v>
      </c>
      <c r="Z232" s="382">
        <v>3</v>
      </c>
      <c r="AA232" s="382">
        <v>33</v>
      </c>
      <c r="AB232" s="382">
        <v>8</v>
      </c>
      <c r="AC232" s="382">
        <v>7</v>
      </c>
      <c r="AD232" s="386">
        <v>15552</v>
      </c>
      <c r="AE232" s="386">
        <v>154</v>
      </c>
      <c r="AF232" s="386">
        <v>389</v>
      </c>
      <c r="AG232" s="386">
        <v>543</v>
      </c>
    </row>
    <row r="233" spans="1:33" x14ac:dyDescent="0.25">
      <c r="A233" s="381" t="s">
        <v>524</v>
      </c>
      <c r="B233" s="387" t="s">
        <v>525</v>
      </c>
      <c r="C233" s="383">
        <v>1282</v>
      </c>
      <c r="D233" s="383">
        <v>0</v>
      </c>
      <c r="E233" s="383">
        <v>41</v>
      </c>
      <c r="F233" s="383">
        <v>194</v>
      </c>
      <c r="G233" s="383">
        <v>202</v>
      </c>
      <c r="H233" s="383">
        <v>1719</v>
      </c>
      <c r="I233" s="382">
        <v>1517</v>
      </c>
      <c r="J233" s="382">
        <v>0</v>
      </c>
      <c r="K233" s="384">
        <v>90.16</v>
      </c>
      <c r="L233" s="384">
        <v>89.66</v>
      </c>
      <c r="M233" s="384">
        <v>6.02</v>
      </c>
      <c r="N233" s="384">
        <v>94.31</v>
      </c>
      <c r="O233" s="385">
        <v>1112</v>
      </c>
      <c r="P233" s="382">
        <v>101.16</v>
      </c>
      <c r="Q233" s="382">
        <v>91.65</v>
      </c>
      <c r="R233" s="382">
        <v>36.21</v>
      </c>
      <c r="S233" s="382">
        <v>134.91</v>
      </c>
      <c r="T233" s="382">
        <v>235</v>
      </c>
      <c r="U233" s="382">
        <v>97.76</v>
      </c>
      <c r="V233" s="382">
        <v>85</v>
      </c>
      <c r="W233" s="382">
        <v>0</v>
      </c>
      <c r="X233" s="382">
        <v>0</v>
      </c>
      <c r="Y233" s="382">
        <v>0</v>
      </c>
      <c r="Z233" s="382">
        <v>1</v>
      </c>
      <c r="AA233" s="382">
        <v>5</v>
      </c>
      <c r="AB233" s="382">
        <v>3</v>
      </c>
      <c r="AC233" s="382">
        <v>4</v>
      </c>
      <c r="AD233" s="386">
        <v>1262</v>
      </c>
      <c r="AE233" s="386">
        <v>21</v>
      </c>
      <c r="AF233" s="386">
        <v>2</v>
      </c>
      <c r="AG233" s="386">
        <v>23</v>
      </c>
    </row>
    <row r="234" spans="1:33" x14ac:dyDescent="0.25">
      <c r="A234" s="381" t="s">
        <v>526</v>
      </c>
      <c r="B234" s="387" t="s">
        <v>527</v>
      </c>
      <c r="C234" s="383">
        <v>5280</v>
      </c>
      <c r="D234" s="383">
        <v>3</v>
      </c>
      <c r="E234" s="383">
        <v>91</v>
      </c>
      <c r="F234" s="383">
        <v>1125</v>
      </c>
      <c r="G234" s="383">
        <v>682</v>
      </c>
      <c r="H234" s="383">
        <v>7181</v>
      </c>
      <c r="I234" s="382">
        <v>6499</v>
      </c>
      <c r="J234" s="382">
        <v>121</v>
      </c>
      <c r="K234" s="384">
        <v>109.64</v>
      </c>
      <c r="L234" s="384">
        <v>104.49</v>
      </c>
      <c r="M234" s="384">
        <v>3.7</v>
      </c>
      <c r="N234" s="384">
        <v>112</v>
      </c>
      <c r="O234" s="385">
        <v>5109</v>
      </c>
      <c r="P234" s="382">
        <v>91.02</v>
      </c>
      <c r="Q234" s="382">
        <v>86.19</v>
      </c>
      <c r="R234" s="382">
        <v>20.28</v>
      </c>
      <c r="S234" s="382">
        <v>110.75</v>
      </c>
      <c r="T234" s="382">
        <v>1017</v>
      </c>
      <c r="U234" s="382">
        <v>148.43</v>
      </c>
      <c r="V234" s="382">
        <v>131</v>
      </c>
      <c r="W234" s="382">
        <v>126.74</v>
      </c>
      <c r="X234" s="382">
        <v>41</v>
      </c>
      <c r="Y234" s="382">
        <v>0</v>
      </c>
      <c r="Z234" s="382">
        <v>9</v>
      </c>
      <c r="AA234" s="382">
        <v>11</v>
      </c>
      <c r="AB234" s="382">
        <v>8</v>
      </c>
      <c r="AC234" s="382">
        <v>20</v>
      </c>
      <c r="AD234" s="386">
        <v>5265</v>
      </c>
      <c r="AE234" s="386">
        <v>15</v>
      </c>
      <c r="AF234" s="386">
        <v>26</v>
      </c>
      <c r="AG234" s="386">
        <v>41</v>
      </c>
    </row>
    <row r="235" spans="1:33" x14ac:dyDescent="0.25">
      <c r="A235" s="381" t="s">
        <v>528</v>
      </c>
      <c r="B235" s="387" t="s">
        <v>529</v>
      </c>
      <c r="C235" s="383">
        <v>15172</v>
      </c>
      <c r="D235" s="383">
        <v>59</v>
      </c>
      <c r="E235" s="383">
        <v>1089</v>
      </c>
      <c r="F235" s="383">
        <v>1248</v>
      </c>
      <c r="G235" s="383">
        <v>399</v>
      </c>
      <c r="H235" s="383">
        <v>17967</v>
      </c>
      <c r="I235" s="382">
        <v>17568</v>
      </c>
      <c r="J235" s="382">
        <v>20</v>
      </c>
      <c r="K235" s="384">
        <v>79.430000000000007</v>
      </c>
      <c r="L235" s="384">
        <v>79.959999999999994</v>
      </c>
      <c r="M235" s="384">
        <v>7.56</v>
      </c>
      <c r="N235" s="384">
        <v>81.78</v>
      </c>
      <c r="O235" s="385">
        <v>13819</v>
      </c>
      <c r="P235" s="382">
        <v>82.43</v>
      </c>
      <c r="Q235" s="382">
        <v>77.94</v>
      </c>
      <c r="R235" s="382">
        <v>47.24</v>
      </c>
      <c r="S235" s="382">
        <v>128.38</v>
      </c>
      <c r="T235" s="382">
        <v>2057</v>
      </c>
      <c r="U235" s="382">
        <v>95.94</v>
      </c>
      <c r="V235" s="382">
        <v>1075</v>
      </c>
      <c r="W235" s="382">
        <v>103.68</v>
      </c>
      <c r="X235" s="382">
        <v>19</v>
      </c>
      <c r="Y235" s="382">
        <v>219</v>
      </c>
      <c r="Z235" s="382">
        <v>37</v>
      </c>
      <c r="AA235" s="382">
        <v>26</v>
      </c>
      <c r="AB235" s="382">
        <v>0</v>
      </c>
      <c r="AC235" s="382">
        <v>16</v>
      </c>
      <c r="AD235" s="386">
        <v>15059</v>
      </c>
      <c r="AE235" s="386">
        <v>105</v>
      </c>
      <c r="AF235" s="386">
        <v>134</v>
      </c>
      <c r="AG235" s="386">
        <v>239</v>
      </c>
    </row>
    <row r="236" spans="1:33" x14ac:dyDescent="0.25">
      <c r="A236" s="381" t="s">
        <v>530</v>
      </c>
      <c r="B236" s="387" t="s">
        <v>531</v>
      </c>
      <c r="C236" s="383">
        <v>11325</v>
      </c>
      <c r="D236" s="383">
        <v>43</v>
      </c>
      <c r="E236" s="383">
        <v>186</v>
      </c>
      <c r="F236" s="383">
        <v>2224</v>
      </c>
      <c r="G236" s="383">
        <v>509</v>
      </c>
      <c r="H236" s="383">
        <v>14287</v>
      </c>
      <c r="I236" s="382">
        <v>13778</v>
      </c>
      <c r="J236" s="382">
        <v>8</v>
      </c>
      <c r="K236" s="384">
        <v>88.37</v>
      </c>
      <c r="L236" s="384">
        <v>92.54</v>
      </c>
      <c r="M236" s="384">
        <v>3.1</v>
      </c>
      <c r="N236" s="384">
        <v>90.04</v>
      </c>
      <c r="O236" s="385">
        <v>10103</v>
      </c>
      <c r="P236" s="382">
        <v>80.91</v>
      </c>
      <c r="Q236" s="382">
        <v>82.73</v>
      </c>
      <c r="R236" s="382">
        <v>22.31</v>
      </c>
      <c r="S236" s="382">
        <v>97.67</v>
      </c>
      <c r="T236" s="382">
        <v>2329</v>
      </c>
      <c r="U236" s="382">
        <v>107.56</v>
      </c>
      <c r="V236" s="382">
        <v>658</v>
      </c>
      <c r="W236" s="382">
        <v>103.5</v>
      </c>
      <c r="X236" s="382">
        <v>11</v>
      </c>
      <c r="Y236" s="382">
        <v>339</v>
      </c>
      <c r="Z236" s="382">
        <v>23</v>
      </c>
      <c r="AA236" s="382">
        <v>8</v>
      </c>
      <c r="AB236" s="382">
        <v>13</v>
      </c>
      <c r="AC236" s="382">
        <v>9</v>
      </c>
      <c r="AD236" s="386">
        <v>10880</v>
      </c>
      <c r="AE236" s="386">
        <v>77</v>
      </c>
      <c r="AF236" s="386">
        <v>60</v>
      </c>
      <c r="AG236" s="386">
        <v>137</v>
      </c>
    </row>
    <row r="237" spans="1:33" x14ac:dyDescent="0.25">
      <c r="A237" s="381" t="s">
        <v>532</v>
      </c>
      <c r="B237" s="387" t="s">
        <v>533</v>
      </c>
      <c r="C237" s="383">
        <v>3467</v>
      </c>
      <c r="D237" s="383">
        <v>30</v>
      </c>
      <c r="E237" s="383">
        <v>334</v>
      </c>
      <c r="F237" s="383">
        <v>228</v>
      </c>
      <c r="G237" s="383">
        <v>463</v>
      </c>
      <c r="H237" s="383">
        <v>4522</v>
      </c>
      <c r="I237" s="382">
        <v>4059</v>
      </c>
      <c r="J237" s="382">
        <v>63</v>
      </c>
      <c r="K237" s="384">
        <v>120.36</v>
      </c>
      <c r="L237" s="384">
        <v>118.79</v>
      </c>
      <c r="M237" s="384">
        <v>6.68</v>
      </c>
      <c r="N237" s="384">
        <v>126.07</v>
      </c>
      <c r="O237" s="385">
        <v>3110</v>
      </c>
      <c r="P237" s="382">
        <v>97.9</v>
      </c>
      <c r="Q237" s="382">
        <v>97.85</v>
      </c>
      <c r="R237" s="382">
        <v>47.02</v>
      </c>
      <c r="S237" s="382">
        <v>141.79</v>
      </c>
      <c r="T237" s="382">
        <v>495</v>
      </c>
      <c r="U237" s="382">
        <v>144.99</v>
      </c>
      <c r="V237" s="382">
        <v>125</v>
      </c>
      <c r="W237" s="382">
        <v>0</v>
      </c>
      <c r="X237" s="382">
        <v>0</v>
      </c>
      <c r="Y237" s="382">
        <v>10</v>
      </c>
      <c r="Z237" s="382">
        <v>6</v>
      </c>
      <c r="AA237" s="382">
        <v>0</v>
      </c>
      <c r="AB237" s="382">
        <v>10</v>
      </c>
      <c r="AC237" s="382">
        <v>25</v>
      </c>
      <c r="AD237" s="386">
        <v>3299</v>
      </c>
      <c r="AE237" s="386">
        <v>14</v>
      </c>
      <c r="AF237" s="386">
        <v>4</v>
      </c>
      <c r="AG237" s="386">
        <v>18</v>
      </c>
    </row>
    <row r="238" spans="1:33" x14ac:dyDescent="0.25">
      <c r="A238" s="381" t="s">
        <v>534</v>
      </c>
      <c r="B238" s="387" t="s">
        <v>535</v>
      </c>
      <c r="C238" s="383">
        <v>2026</v>
      </c>
      <c r="D238" s="383">
        <v>0</v>
      </c>
      <c r="E238" s="383">
        <v>238</v>
      </c>
      <c r="F238" s="383">
        <v>563</v>
      </c>
      <c r="G238" s="383">
        <v>475</v>
      </c>
      <c r="H238" s="383">
        <v>3302</v>
      </c>
      <c r="I238" s="382">
        <v>2827</v>
      </c>
      <c r="J238" s="382">
        <v>0</v>
      </c>
      <c r="K238" s="384">
        <v>99.26</v>
      </c>
      <c r="L238" s="384">
        <v>98.38</v>
      </c>
      <c r="M238" s="384">
        <v>5</v>
      </c>
      <c r="N238" s="384">
        <v>103.13</v>
      </c>
      <c r="O238" s="385">
        <v>1743</v>
      </c>
      <c r="P238" s="382">
        <v>88.78</v>
      </c>
      <c r="Q238" s="382">
        <v>86.97</v>
      </c>
      <c r="R238" s="382">
        <v>49.93</v>
      </c>
      <c r="S238" s="382">
        <v>134.55000000000001</v>
      </c>
      <c r="T238" s="382">
        <v>481</v>
      </c>
      <c r="U238" s="382">
        <v>110.7</v>
      </c>
      <c r="V238" s="382">
        <v>247</v>
      </c>
      <c r="W238" s="382">
        <v>0</v>
      </c>
      <c r="X238" s="382">
        <v>0</v>
      </c>
      <c r="Y238" s="382">
        <v>0</v>
      </c>
      <c r="Z238" s="382">
        <v>2</v>
      </c>
      <c r="AA238" s="382">
        <v>1</v>
      </c>
      <c r="AB238" s="382">
        <v>14</v>
      </c>
      <c r="AC238" s="382">
        <v>11</v>
      </c>
      <c r="AD238" s="386">
        <v>2008</v>
      </c>
      <c r="AE238" s="386">
        <v>10</v>
      </c>
      <c r="AF238" s="386">
        <v>9</v>
      </c>
      <c r="AG238" s="386">
        <v>19</v>
      </c>
    </row>
    <row r="239" spans="1:33" x14ac:dyDescent="0.25">
      <c r="A239" s="381" t="s">
        <v>536</v>
      </c>
      <c r="B239" s="387" t="s">
        <v>537</v>
      </c>
      <c r="C239" s="382">
        <v>3772</v>
      </c>
      <c r="D239" s="382">
        <v>8</v>
      </c>
      <c r="E239" s="382">
        <v>367</v>
      </c>
      <c r="F239" s="382">
        <v>801</v>
      </c>
      <c r="G239" s="382">
        <v>348</v>
      </c>
      <c r="H239" s="382">
        <v>5296</v>
      </c>
      <c r="I239" s="382">
        <v>4948</v>
      </c>
      <c r="J239" s="382">
        <v>1</v>
      </c>
      <c r="K239" s="382">
        <v>96.21</v>
      </c>
      <c r="L239" s="384">
        <v>95.03</v>
      </c>
      <c r="M239" s="384">
        <v>3.75</v>
      </c>
      <c r="N239" s="384">
        <v>99.16</v>
      </c>
      <c r="O239" s="385">
        <v>3210</v>
      </c>
      <c r="P239" s="382">
        <v>86.46</v>
      </c>
      <c r="Q239" s="382">
        <v>85.25</v>
      </c>
      <c r="R239" s="382">
        <v>29.68</v>
      </c>
      <c r="S239" s="382">
        <v>115.16</v>
      </c>
      <c r="T239" s="382">
        <v>1030</v>
      </c>
      <c r="U239" s="382">
        <v>113.31</v>
      </c>
      <c r="V239" s="382">
        <v>189</v>
      </c>
      <c r="W239" s="382">
        <v>92.22</v>
      </c>
      <c r="X239" s="382">
        <v>1</v>
      </c>
      <c r="Y239" s="382">
        <v>51</v>
      </c>
      <c r="Z239" s="382">
        <v>5</v>
      </c>
      <c r="AA239" s="382">
        <v>11</v>
      </c>
      <c r="AB239" s="382">
        <v>11</v>
      </c>
      <c r="AC239" s="382">
        <v>3</v>
      </c>
      <c r="AD239" s="382">
        <v>3434</v>
      </c>
      <c r="AE239" s="382">
        <v>53</v>
      </c>
      <c r="AF239" s="382">
        <v>24</v>
      </c>
      <c r="AG239" s="382">
        <v>77</v>
      </c>
    </row>
    <row r="240" spans="1:33" x14ac:dyDescent="0.25">
      <c r="A240" s="381" t="s">
        <v>538</v>
      </c>
      <c r="B240" s="387" t="s">
        <v>539</v>
      </c>
      <c r="C240" s="383">
        <v>3001</v>
      </c>
      <c r="D240" s="383">
        <v>0</v>
      </c>
      <c r="E240" s="383">
        <v>332</v>
      </c>
      <c r="F240" s="383">
        <v>198</v>
      </c>
      <c r="G240" s="383">
        <v>1118</v>
      </c>
      <c r="H240" s="383">
        <v>4649</v>
      </c>
      <c r="I240" s="382">
        <v>3531</v>
      </c>
      <c r="J240" s="382">
        <v>13</v>
      </c>
      <c r="K240" s="384">
        <v>111.68</v>
      </c>
      <c r="L240" s="384">
        <v>112.71</v>
      </c>
      <c r="M240" s="384">
        <v>3.6</v>
      </c>
      <c r="N240" s="384">
        <v>114.35</v>
      </c>
      <c r="O240" s="385">
        <v>2285</v>
      </c>
      <c r="P240" s="382">
        <v>90.92</v>
      </c>
      <c r="Q240" s="382">
        <v>95.29</v>
      </c>
      <c r="R240" s="382">
        <v>65.31</v>
      </c>
      <c r="S240" s="382">
        <v>152.13999999999999</v>
      </c>
      <c r="T240" s="382">
        <v>287</v>
      </c>
      <c r="U240" s="382">
        <v>144.61000000000001</v>
      </c>
      <c r="V240" s="382">
        <v>305</v>
      </c>
      <c r="W240" s="382">
        <v>146.34</v>
      </c>
      <c r="X240" s="382">
        <v>17</v>
      </c>
      <c r="Y240" s="382">
        <v>10</v>
      </c>
      <c r="Z240" s="382">
        <v>4</v>
      </c>
      <c r="AA240" s="382">
        <v>5</v>
      </c>
      <c r="AB240" s="382">
        <v>96</v>
      </c>
      <c r="AC240" s="382">
        <v>38</v>
      </c>
      <c r="AD240" s="386">
        <v>2726</v>
      </c>
      <c r="AE240" s="386">
        <v>11</v>
      </c>
      <c r="AF240" s="386">
        <v>0</v>
      </c>
      <c r="AG240" s="386">
        <v>11</v>
      </c>
    </row>
    <row r="241" spans="1:33" x14ac:dyDescent="0.25">
      <c r="A241" s="381" t="s">
        <v>540</v>
      </c>
      <c r="B241" s="387" t="s">
        <v>541</v>
      </c>
      <c r="C241" s="383">
        <v>801</v>
      </c>
      <c r="D241" s="383">
        <v>0</v>
      </c>
      <c r="E241" s="383">
        <v>141</v>
      </c>
      <c r="F241" s="383">
        <v>37</v>
      </c>
      <c r="G241" s="383">
        <v>146</v>
      </c>
      <c r="H241" s="383">
        <v>1125</v>
      </c>
      <c r="I241" s="382">
        <v>979</v>
      </c>
      <c r="J241" s="382">
        <v>0</v>
      </c>
      <c r="K241" s="384">
        <v>93.23</v>
      </c>
      <c r="L241" s="384">
        <v>92.58</v>
      </c>
      <c r="M241" s="384">
        <v>4.16</v>
      </c>
      <c r="N241" s="384">
        <v>95.92</v>
      </c>
      <c r="O241" s="385">
        <v>765</v>
      </c>
      <c r="P241" s="382">
        <v>96.33</v>
      </c>
      <c r="Q241" s="382">
        <v>86.9</v>
      </c>
      <c r="R241" s="382">
        <v>45.88</v>
      </c>
      <c r="S241" s="382">
        <v>140.72999999999999</v>
      </c>
      <c r="T241" s="382">
        <v>155</v>
      </c>
      <c r="U241" s="382">
        <v>94.35</v>
      </c>
      <c r="V241" s="382">
        <v>68</v>
      </c>
      <c r="W241" s="382">
        <v>190.65</v>
      </c>
      <c r="X241" s="382">
        <v>16</v>
      </c>
      <c r="Y241" s="382">
        <v>0</v>
      </c>
      <c r="Z241" s="382">
        <v>1</v>
      </c>
      <c r="AA241" s="382">
        <v>6</v>
      </c>
      <c r="AB241" s="382">
        <v>18</v>
      </c>
      <c r="AC241" s="382">
        <v>1</v>
      </c>
      <c r="AD241" s="386">
        <v>792</v>
      </c>
      <c r="AE241" s="386">
        <v>9</v>
      </c>
      <c r="AF241" s="386">
        <v>3</v>
      </c>
      <c r="AG241" s="386">
        <v>12</v>
      </c>
    </row>
    <row r="242" spans="1:33" x14ac:dyDescent="0.25">
      <c r="A242" s="381" t="s">
        <v>542</v>
      </c>
      <c r="B242" s="387" t="s">
        <v>543</v>
      </c>
      <c r="C242" s="383">
        <v>9752</v>
      </c>
      <c r="D242" s="383">
        <v>8</v>
      </c>
      <c r="E242" s="383">
        <v>244</v>
      </c>
      <c r="F242" s="383">
        <v>1787</v>
      </c>
      <c r="G242" s="383">
        <v>472</v>
      </c>
      <c r="H242" s="383">
        <v>12263</v>
      </c>
      <c r="I242" s="382">
        <v>11791</v>
      </c>
      <c r="J242" s="382">
        <v>0</v>
      </c>
      <c r="K242" s="384">
        <v>101.34</v>
      </c>
      <c r="L242" s="384">
        <v>113.56</v>
      </c>
      <c r="M242" s="384">
        <v>4.21</v>
      </c>
      <c r="N242" s="384">
        <v>103.54</v>
      </c>
      <c r="O242" s="385">
        <v>8998</v>
      </c>
      <c r="P242" s="382">
        <v>88.27</v>
      </c>
      <c r="Q242" s="382">
        <v>100.65</v>
      </c>
      <c r="R242" s="382">
        <v>19.3</v>
      </c>
      <c r="S242" s="382">
        <v>107.46</v>
      </c>
      <c r="T242" s="382">
        <v>1856</v>
      </c>
      <c r="U242" s="382">
        <v>121.42</v>
      </c>
      <c r="V242" s="382">
        <v>265</v>
      </c>
      <c r="W242" s="382">
        <v>173.75</v>
      </c>
      <c r="X242" s="382">
        <v>73</v>
      </c>
      <c r="Y242" s="382">
        <v>0</v>
      </c>
      <c r="Z242" s="382">
        <v>51</v>
      </c>
      <c r="AA242" s="382">
        <v>2</v>
      </c>
      <c r="AB242" s="382">
        <v>76</v>
      </c>
      <c r="AC242" s="382">
        <v>10</v>
      </c>
      <c r="AD242" s="386">
        <v>9317</v>
      </c>
      <c r="AE242" s="386">
        <v>107</v>
      </c>
      <c r="AF242" s="386">
        <v>21</v>
      </c>
      <c r="AG242" s="386">
        <v>128</v>
      </c>
    </row>
    <row r="243" spans="1:33" x14ac:dyDescent="0.25">
      <c r="A243" s="381" t="s">
        <v>544</v>
      </c>
      <c r="B243" s="387" t="s">
        <v>545</v>
      </c>
      <c r="C243" s="383">
        <v>3526</v>
      </c>
      <c r="D243" s="383">
        <v>0</v>
      </c>
      <c r="E243" s="383">
        <v>76</v>
      </c>
      <c r="F243" s="383">
        <v>778</v>
      </c>
      <c r="G243" s="383">
        <v>394</v>
      </c>
      <c r="H243" s="383">
        <v>4774</v>
      </c>
      <c r="I243" s="382">
        <v>4380</v>
      </c>
      <c r="J243" s="382">
        <v>1</v>
      </c>
      <c r="K243" s="384">
        <v>94.25</v>
      </c>
      <c r="L243" s="384">
        <v>91.16</v>
      </c>
      <c r="M243" s="384">
        <v>1.96</v>
      </c>
      <c r="N243" s="384">
        <v>96.11</v>
      </c>
      <c r="O243" s="385">
        <v>3135</v>
      </c>
      <c r="P243" s="382">
        <v>81.17</v>
      </c>
      <c r="Q243" s="382">
        <v>75.84</v>
      </c>
      <c r="R243" s="382">
        <v>20.420000000000002</v>
      </c>
      <c r="S243" s="382">
        <v>101.32</v>
      </c>
      <c r="T243" s="382">
        <v>781</v>
      </c>
      <c r="U243" s="382">
        <v>123.57</v>
      </c>
      <c r="V243" s="382">
        <v>152</v>
      </c>
      <c r="W243" s="382">
        <v>0</v>
      </c>
      <c r="X243" s="382">
        <v>0</v>
      </c>
      <c r="Y243" s="382">
        <v>0</v>
      </c>
      <c r="Z243" s="382">
        <v>10</v>
      </c>
      <c r="AA243" s="382">
        <v>1</v>
      </c>
      <c r="AB243" s="382">
        <v>19</v>
      </c>
      <c r="AC243" s="382">
        <v>10</v>
      </c>
      <c r="AD243" s="386">
        <v>3279</v>
      </c>
      <c r="AE243" s="386">
        <v>6</v>
      </c>
      <c r="AF243" s="386">
        <v>8</v>
      </c>
      <c r="AG243" s="386">
        <v>14</v>
      </c>
    </row>
    <row r="244" spans="1:33" x14ac:dyDescent="0.25">
      <c r="A244" s="381" t="s">
        <v>546</v>
      </c>
      <c r="B244" s="387" t="s">
        <v>547</v>
      </c>
      <c r="C244" s="383">
        <v>925</v>
      </c>
      <c r="D244" s="383">
        <v>0</v>
      </c>
      <c r="E244" s="383">
        <v>70</v>
      </c>
      <c r="F244" s="383">
        <v>0</v>
      </c>
      <c r="G244" s="383">
        <v>193</v>
      </c>
      <c r="H244" s="383">
        <v>1188</v>
      </c>
      <c r="I244" s="382">
        <v>995</v>
      </c>
      <c r="J244" s="382">
        <v>0</v>
      </c>
      <c r="K244" s="384">
        <v>85.43</v>
      </c>
      <c r="L244" s="384">
        <v>86.78</v>
      </c>
      <c r="M244" s="384">
        <v>3.64</v>
      </c>
      <c r="N244" s="384">
        <v>88.33</v>
      </c>
      <c r="O244" s="385">
        <v>760</v>
      </c>
      <c r="P244" s="382">
        <v>91.47</v>
      </c>
      <c r="Q244" s="382">
        <v>65.3</v>
      </c>
      <c r="R244" s="382">
        <v>48.43</v>
      </c>
      <c r="S244" s="382">
        <v>139.9</v>
      </c>
      <c r="T244" s="382">
        <v>62</v>
      </c>
      <c r="U244" s="382">
        <v>107.05</v>
      </c>
      <c r="V244" s="382">
        <v>95</v>
      </c>
      <c r="W244" s="382">
        <v>0</v>
      </c>
      <c r="X244" s="382">
        <v>0</v>
      </c>
      <c r="Y244" s="382">
        <v>0</v>
      </c>
      <c r="Z244" s="382">
        <v>0</v>
      </c>
      <c r="AA244" s="382">
        <v>1</v>
      </c>
      <c r="AB244" s="382">
        <v>16</v>
      </c>
      <c r="AC244" s="382">
        <v>7</v>
      </c>
      <c r="AD244" s="386">
        <v>860</v>
      </c>
      <c r="AE244" s="386">
        <v>7</v>
      </c>
      <c r="AF244" s="386">
        <v>1</v>
      </c>
      <c r="AG244" s="386">
        <v>8</v>
      </c>
    </row>
    <row r="245" spans="1:33" x14ac:dyDescent="0.25">
      <c r="A245" s="381" t="s">
        <v>548</v>
      </c>
      <c r="B245" s="387" t="s">
        <v>549</v>
      </c>
      <c r="C245" s="383">
        <v>1474</v>
      </c>
      <c r="D245" s="383">
        <v>0</v>
      </c>
      <c r="E245" s="383">
        <v>198</v>
      </c>
      <c r="F245" s="383">
        <v>331</v>
      </c>
      <c r="G245" s="383">
        <v>417</v>
      </c>
      <c r="H245" s="383">
        <v>2420</v>
      </c>
      <c r="I245" s="382">
        <v>2003</v>
      </c>
      <c r="J245" s="382">
        <v>4</v>
      </c>
      <c r="K245" s="384">
        <v>88.16</v>
      </c>
      <c r="L245" s="384">
        <v>88.51</v>
      </c>
      <c r="M245" s="384">
        <v>4.33</v>
      </c>
      <c r="N245" s="384">
        <v>91.83</v>
      </c>
      <c r="O245" s="385">
        <v>1264</v>
      </c>
      <c r="P245" s="382">
        <v>86.36</v>
      </c>
      <c r="Q245" s="382">
        <v>73.47</v>
      </c>
      <c r="R245" s="382">
        <v>32.200000000000003</v>
      </c>
      <c r="S245" s="382">
        <v>116.03</v>
      </c>
      <c r="T245" s="382">
        <v>381</v>
      </c>
      <c r="U245" s="382">
        <v>107.56</v>
      </c>
      <c r="V245" s="382">
        <v>55</v>
      </c>
      <c r="W245" s="382">
        <v>0</v>
      </c>
      <c r="X245" s="382">
        <v>0</v>
      </c>
      <c r="Y245" s="382">
        <v>0</v>
      </c>
      <c r="Z245" s="382">
        <v>1</v>
      </c>
      <c r="AA245" s="382">
        <v>1</v>
      </c>
      <c r="AB245" s="382">
        <v>24</v>
      </c>
      <c r="AC245" s="382">
        <v>9</v>
      </c>
      <c r="AD245" s="386">
        <v>1419</v>
      </c>
      <c r="AE245" s="386">
        <v>9</v>
      </c>
      <c r="AF245" s="386">
        <v>1</v>
      </c>
      <c r="AG245" s="386">
        <v>10</v>
      </c>
    </row>
    <row r="246" spans="1:33" x14ac:dyDescent="0.25">
      <c r="A246" s="381" t="s">
        <v>550</v>
      </c>
      <c r="B246" s="387" t="s">
        <v>551</v>
      </c>
      <c r="C246" s="383">
        <v>3718</v>
      </c>
      <c r="D246" s="383">
        <v>66</v>
      </c>
      <c r="E246" s="383">
        <v>181</v>
      </c>
      <c r="F246" s="383">
        <v>624</v>
      </c>
      <c r="G246" s="383">
        <v>103</v>
      </c>
      <c r="H246" s="383">
        <v>4692</v>
      </c>
      <c r="I246" s="382">
        <v>4589</v>
      </c>
      <c r="J246" s="382">
        <v>168</v>
      </c>
      <c r="K246" s="384">
        <v>92.01</v>
      </c>
      <c r="L246" s="384">
        <v>92.63</v>
      </c>
      <c r="M246" s="384">
        <v>4.84</v>
      </c>
      <c r="N246" s="384">
        <v>93.17</v>
      </c>
      <c r="O246" s="385">
        <v>3582</v>
      </c>
      <c r="P246" s="382">
        <v>78.5</v>
      </c>
      <c r="Q246" s="382">
        <v>78.150000000000006</v>
      </c>
      <c r="R246" s="382">
        <v>44.54</v>
      </c>
      <c r="S246" s="382">
        <v>122.47</v>
      </c>
      <c r="T246" s="382">
        <v>704</v>
      </c>
      <c r="U246" s="382">
        <v>114.81</v>
      </c>
      <c r="V246" s="382">
        <v>165</v>
      </c>
      <c r="W246" s="382">
        <v>192.12</v>
      </c>
      <c r="X246" s="382">
        <v>8</v>
      </c>
      <c r="Y246" s="382">
        <v>0</v>
      </c>
      <c r="Z246" s="382">
        <v>27</v>
      </c>
      <c r="AA246" s="382">
        <v>0</v>
      </c>
      <c r="AB246" s="382">
        <v>2</v>
      </c>
      <c r="AC246" s="382">
        <v>1</v>
      </c>
      <c r="AD246" s="386">
        <v>3683</v>
      </c>
      <c r="AE246" s="386">
        <v>32</v>
      </c>
      <c r="AF246" s="386">
        <v>9</v>
      </c>
      <c r="AG246" s="386">
        <v>41</v>
      </c>
    </row>
    <row r="247" spans="1:33" x14ac:dyDescent="0.25">
      <c r="A247" s="381" t="s">
        <v>552</v>
      </c>
      <c r="B247" s="387" t="s">
        <v>553</v>
      </c>
      <c r="C247" s="383">
        <v>5576</v>
      </c>
      <c r="D247" s="383">
        <v>0</v>
      </c>
      <c r="E247" s="383">
        <v>211</v>
      </c>
      <c r="F247" s="383">
        <v>929</v>
      </c>
      <c r="G247" s="383">
        <v>495</v>
      </c>
      <c r="H247" s="383">
        <v>7211</v>
      </c>
      <c r="I247" s="382">
        <v>6716</v>
      </c>
      <c r="J247" s="382">
        <v>8</v>
      </c>
      <c r="K247" s="384">
        <v>88.28</v>
      </c>
      <c r="L247" s="384">
        <v>90.12</v>
      </c>
      <c r="M247" s="384">
        <v>4.5599999999999996</v>
      </c>
      <c r="N247" s="384">
        <v>89.4</v>
      </c>
      <c r="O247" s="385">
        <v>4778</v>
      </c>
      <c r="P247" s="382">
        <v>85.51</v>
      </c>
      <c r="Q247" s="382">
        <v>80.47</v>
      </c>
      <c r="R247" s="382">
        <v>28.22</v>
      </c>
      <c r="S247" s="382">
        <v>113.68</v>
      </c>
      <c r="T247" s="382">
        <v>1107</v>
      </c>
      <c r="U247" s="382">
        <v>112.23</v>
      </c>
      <c r="V247" s="382">
        <v>712</v>
      </c>
      <c r="W247" s="382">
        <v>0</v>
      </c>
      <c r="X247" s="382">
        <v>0</v>
      </c>
      <c r="Y247" s="382">
        <v>0</v>
      </c>
      <c r="Z247" s="382">
        <v>21</v>
      </c>
      <c r="AA247" s="382">
        <v>5</v>
      </c>
      <c r="AB247" s="382">
        <v>11</v>
      </c>
      <c r="AC247" s="382">
        <v>8</v>
      </c>
      <c r="AD247" s="386">
        <v>5576</v>
      </c>
      <c r="AE247" s="386">
        <v>8</v>
      </c>
      <c r="AF247" s="386">
        <v>22</v>
      </c>
      <c r="AG247" s="386">
        <v>30</v>
      </c>
    </row>
    <row r="248" spans="1:33" x14ac:dyDescent="0.25">
      <c r="A248" s="381" t="s">
        <v>554</v>
      </c>
      <c r="B248" s="387" t="s">
        <v>555</v>
      </c>
      <c r="C248" s="383">
        <v>5587</v>
      </c>
      <c r="D248" s="383">
        <v>0</v>
      </c>
      <c r="E248" s="383">
        <v>181</v>
      </c>
      <c r="F248" s="383">
        <v>870</v>
      </c>
      <c r="G248" s="383">
        <v>533</v>
      </c>
      <c r="H248" s="383">
        <v>7171</v>
      </c>
      <c r="I248" s="382">
        <v>6638</v>
      </c>
      <c r="J248" s="382">
        <v>5</v>
      </c>
      <c r="K248" s="384">
        <v>111.17</v>
      </c>
      <c r="L248" s="384">
        <v>111.69</v>
      </c>
      <c r="M248" s="384">
        <v>4.3499999999999996</v>
      </c>
      <c r="N248" s="384">
        <v>112.51</v>
      </c>
      <c r="O248" s="385">
        <v>5216</v>
      </c>
      <c r="P248" s="382">
        <v>92.44</v>
      </c>
      <c r="Q248" s="382">
        <v>90.35</v>
      </c>
      <c r="R248" s="382">
        <v>20.05</v>
      </c>
      <c r="S248" s="382">
        <v>111.93</v>
      </c>
      <c r="T248" s="382">
        <v>930</v>
      </c>
      <c r="U248" s="382">
        <v>153.79</v>
      </c>
      <c r="V248" s="382">
        <v>146</v>
      </c>
      <c r="W248" s="382">
        <v>0</v>
      </c>
      <c r="X248" s="382">
        <v>0</v>
      </c>
      <c r="Y248" s="382">
        <v>0</v>
      </c>
      <c r="Z248" s="382">
        <v>6</v>
      </c>
      <c r="AA248" s="382">
        <v>1</v>
      </c>
      <c r="AB248" s="382">
        <v>50</v>
      </c>
      <c r="AC248" s="382">
        <v>14</v>
      </c>
      <c r="AD248" s="386">
        <v>5404</v>
      </c>
      <c r="AE248" s="386">
        <v>14</v>
      </c>
      <c r="AF248" s="386">
        <v>16</v>
      </c>
      <c r="AG248" s="386">
        <v>30</v>
      </c>
    </row>
    <row r="249" spans="1:33" x14ac:dyDescent="0.25">
      <c r="A249" s="381" t="s">
        <v>556</v>
      </c>
      <c r="B249" s="387" t="s">
        <v>557</v>
      </c>
      <c r="C249" s="383">
        <v>3748</v>
      </c>
      <c r="D249" s="383">
        <v>3</v>
      </c>
      <c r="E249" s="383">
        <v>196</v>
      </c>
      <c r="F249" s="383">
        <v>1123</v>
      </c>
      <c r="G249" s="383">
        <v>230</v>
      </c>
      <c r="H249" s="383">
        <v>5300</v>
      </c>
      <c r="I249" s="382">
        <v>5070</v>
      </c>
      <c r="J249" s="382">
        <v>39</v>
      </c>
      <c r="K249" s="384">
        <v>87.7</v>
      </c>
      <c r="L249" s="384">
        <v>87.98</v>
      </c>
      <c r="M249" s="384">
        <v>2.78</v>
      </c>
      <c r="N249" s="384">
        <v>90.37</v>
      </c>
      <c r="O249" s="385">
        <v>3558</v>
      </c>
      <c r="P249" s="382">
        <v>85.91</v>
      </c>
      <c r="Q249" s="382">
        <v>79.41</v>
      </c>
      <c r="R249" s="382">
        <v>22.56</v>
      </c>
      <c r="S249" s="382">
        <v>108.25</v>
      </c>
      <c r="T249" s="382">
        <v>1292</v>
      </c>
      <c r="U249" s="382">
        <v>104.26</v>
      </c>
      <c r="V249" s="382">
        <v>181</v>
      </c>
      <c r="W249" s="382">
        <v>0</v>
      </c>
      <c r="X249" s="382">
        <v>0</v>
      </c>
      <c r="Y249" s="382">
        <v>0</v>
      </c>
      <c r="Z249" s="382">
        <v>5</v>
      </c>
      <c r="AA249" s="382">
        <v>1</v>
      </c>
      <c r="AB249" s="382">
        <v>13</v>
      </c>
      <c r="AC249" s="382">
        <v>4</v>
      </c>
      <c r="AD249" s="386">
        <v>3748</v>
      </c>
      <c r="AE249" s="386">
        <v>26</v>
      </c>
      <c r="AF249" s="386">
        <v>3</v>
      </c>
      <c r="AG249" s="386">
        <v>29</v>
      </c>
    </row>
    <row r="250" spans="1:33" x14ac:dyDescent="0.25">
      <c r="A250" s="381" t="s">
        <v>558</v>
      </c>
      <c r="B250" s="387" t="s">
        <v>559</v>
      </c>
      <c r="C250" s="383">
        <v>8975</v>
      </c>
      <c r="D250" s="383">
        <v>22</v>
      </c>
      <c r="E250" s="383">
        <v>336</v>
      </c>
      <c r="F250" s="383">
        <v>1698</v>
      </c>
      <c r="G250" s="383">
        <v>544</v>
      </c>
      <c r="H250" s="383">
        <v>11575</v>
      </c>
      <c r="I250" s="382">
        <v>11031</v>
      </c>
      <c r="J250" s="382">
        <v>1</v>
      </c>
      <c r="K250" s="384">
        <v>92.48</v>
      </c>
      <c r="L250" s="384">
        <v>88.34</v>
      </c>
      <c r="M250" s="384">
        <v>4.2</v>
      </c>
      <c r="N250" s="384">
        <v>93.68</v>
      </c>
      <c r="O250" s="385">
        <v>8383</v>
      </c>
      <c r="P250" s="382">
        <v>84.4</v>
      </c>
      <c r="Q250" s="382">
        <v>76.930000000000007</v>
      </c>
      <c r="R250" s="382">
        <v>26.39</v>
      </c>
      <c r="S250" s="382">
        <v>110.35</v>
      </c>
      <c r="T250" s="382">
        <v>2010</v>
      </c>
      <c r="U250" s="382">
        <v>113.54</v>
      </c>
      <c r="V250" s="382">
        <v>303</v>
      </c>
      <c r="W250" s="382">
        <v>109.7</v>
      </c>
      <c r="X250" s="382">
        <v>15</v>
      </c>
      <c r="Y250" s="382">
        <v>12</v>
      </c>
      <c r="Z250" s="382">
        <v>26</v>
      </c>
      <c r="AA250" s="382">
        <v>3</v>
      </c>
      <c r="AB250" s="382">
        <v>16</v>
      </c>
      <c r="AC250" s="382">
        <v>15</v>
      </c>
      <c r="AD250" s="386">
        <v>8882</v>
      </c>
      <c r="AE250" s="386">
        <v>63</v>
      </c>
      <c r="AF250" s="386">
        <v>22</v>
      </c>
      <c r="AG250" s="386">
        <v>85</v>
      </c>
    </row>
    <row r="251" spans="1:33" x14ac:dyDescent="0.25">
      <c r="A251" s="381" t="s">
        <v>560</v>
      </c>
      <c r="B251" s="387" t="s">
        <v>561</v>
      </c>
      <c r="C251" s="383">
        <v>4306</v>
      </c>
      <c r="D251" s="383">
        <v>0</v>
      </c>
      <c r="E251" s="383">
        <v>717</v>
      </c>
      <c r="F251" s="383">
        <v>1502</v>
      </c>
      <c r="G251" s="383">
        <v>219</v>
      </c>
      <c r="H251" s="383">
        <v>6744</v>
      </c>
      <c r="I251" s="382">
        <v>6525</v>
      </c>
      <c r="J251" s="382">
        <v>0</v>
      </c>
      <c r="K251" s="384">
        <v>90.19</v>
      </c>
      <c r="L251" s="384">
        <v>89.45</v>
      </c>
      <c r="M251" s="384">
        <v>3.3</v>
      </c>
      <c r="N251" s="384">
        <v>91.28</v>
      </c>
      <c r="O251" s="385">
        <v>4257</v>
      </c>
      <c r="P251" s="382">
        <v>83.45</v>
      </c>
      <c r="Q251" s="382">
        <v>85.39</v>
      </c>
      <c r="R251" s="382">
        <v>11.42</v>
      </c>
      <c r="S251" s="382">
        <v>87.89</v>
      </c>
      <c r="T251" s="382">
        <v>2113</v>
      </c>
      <c r="U251" s="382">
        <v>107.76</v>
      </c>
      <c r="V251" s="382">
        <v>36</v>
      </c>
      <c r="W251" s="382">
        <v>130.15</v>
      </c>
      <c r="X251" s="382">
        <v>102</v>
      </c>
      <c r="Y251" s="382">
        <v>0</v>
      </c>
      <c r="Z251" s="382">
        <v>47</v>
      </c>
      <c r="AA251" s="382">
        <v>0</v>
      </c>
      <c r="AB251" s="382">
        <v>30</v>
      </c>
      <c r="AC251" s="382">
        <v>5</v>
      </c>
      <c r="AD251" s="386">
        <v>4306</v>
      </c>
      <c r="AE251" s="386">
        <v>32</v>
      </c>
      <c r="AF251" s="386">
        <v>12</v>
      </c>
      <c r="AG251" s="386">
        <v>44</v>
      </c>
    </row>
    <row r="252" spans="1:33" x14ac:dyDescent="0.25">
      <c r="A252" s="381" t="s">
        <v>562</v>
      </c>
      <c r="B252" s="387" t="s">
        <v>563</v>
      </c>
      <c r="C252" s="383">
        <v>3626</v>
      </c>
      <c r="D252" s="383">
        <v>5</v>
      </c>
      <c r="E252" s="383">
        <v>371</v>
      </c>
      <c r="F252" s="383">
        <v>705</v>
      </c>
      <c r="G252" s="383">
        <v>235</v>
      </c>
      <c r="H252" s="383">
        <v>4942</v>
      </c>
      <c r="I252" s="382">
        <v>4707</v>
      </c>
      <c r="J252" s="382">
        <v>167</v>
      </c>
      <c r="K252" s="384">
        <v>81.08</v>
      </c>
      <c r="L252" s="384">
        <v>78.7</v>
      </c>
      <c r="M252" s="384">
        <v>2.8</v>
      </c>
      <c r="N252" s="384">
        <v>82.96</v>
      </c>
      <c r="O252" s="385">
        <v>3206</v>
      </c>
      <c r="P252" s="382">
        <v>84.29</v>
      </c>
      <c r="Q252" s="382">
        <v>74.69</v>
      </c>
      <c r="R252" s="382">
        <v>39.42</v>
      </c>
      <c r="S252" s="382">
        <v>123.71</v>
      </c>
      <c r="T252" s="382">
        <v>976</v>
      </c>
      <c r="U252" s="382">
        <v>102.34</v>
      </c>
      <c r="V252" s="382">
        <v>336</v>
      </c>
      <c r="W252" s="382">
        <v>98.29</v>
      </c>
      <c r="X252" s="382">
        <v>25</v>
      </c>
      <c r="Y252" s="382">
        <v>1</v>
      </c>
      <c r="Z252" s="382">
        <v>2</v>
      </c>
      <c r="AA252" s="382">
        <v>8</v>
      </c>
      <c r="AB252" s="382">
        <v>1</v>
      </c>
      <c r="AC252" s="382">
        <v>0</v>
      </c>
      <c r="AD252" s="386">
        <v>3534</v>
      </c>
      <c r="AE252" s="386">
        <v>72</v>
      </c>
      <c r="AF252" s="386">
        <v>9</v>
      </c>
      <c r="AG252" s="386">
        <v>81</v>
      </c>
    </row>
    <row r="253" spans="1:33" x14ac:dyDescent="0.25">
      <c r="A253" s="381" t="s">
        <v>564</v>
      </c>
      <c r="B253" s="387" t="s">
        <v>565</v>
      </c>
      <c r="C253" s="383">
        <v>5490</v>
      </c>
      <c r="D253" s="383">
        <v>58</v>
      </c>
      <c r="E253" s="383">
        <v>929</v>
      </c>
      <c r="F253" s="383">
        <v>1020</v>
      </c>
      <c r="G253" s="383">
        <v>945</v>
      </c>
      <c r="H253" s="383">
        <v>8442</v>
      </c>
      <c r="I253" s="382">
        <v>7497</v>
      </c>
      <c r="J253" s="382">
        <v>3</v>
      </c>
      <c r="K253" s="384">
        <v>105.66</v>
      </c>
      <c r="L253" s="384">
        <v>106.37</v>
      </c>
      <c r="M253" s="384">
        <v>6.31</v>
      </c>
      <c r="N253" s="384">
        <v>111.17</v>
      </c>
      <c r="O253" s="385">
        <v>4548</v>
      </c>
      <c r="P253" s="382">
        <v>87.85</v>
      </c>
      <c r="Q253" s="382">
        <v>86.61</v>
      </c>
      <c r="R253" s="382">
        <v>36.82</v>
      </c>
      <c r="S253" s="382">
        <v>122.18</v>
      </c>
      <c r="T253" s="382">
        <v>1707</v>
      </c>
      <c r="U253" s="382">
        <v>142.27000000000001</v>
      </c>
      <c r="V253" s="382">
        <v>481</v>
      </c>
      <c r="W253" s="382">
        <v>0</v>
      </c>
      <c r="X253" s="382">
        <v>0</v>
      </c>
      <c r="Y253" s="382">
        <v>210</v>
      </c>
      <c r="Z253" s="382">
        <v>0</v>
      </c>
      <c r="AA253" s="382">
        <v>20</v>
      </c>
      <c r="AB253" s="382">
        <v>53</v>
      </c>
      <c r="AC253" s="382">
        <v>31</v>
      </c>
      <c r="AD253" s="386">
        <v>5371</v>
      </c>
      <c r="AE253" s="386">
        <v>56</v>
      </c>
      <c r="AF253" s="386">
        <v>28</v>
      </c>
      <c r="AG253" s="386">
        <v>84</v>
      </c>
    </row>
    <row r="254" spans="1:33" x14ac:dyDescent="0.25">
      <c r="A254" s="381" t="s">
        <v>566</v>
      </c>
      <c r="B254" s="387" t="s">
        <v>567</v>
      </c>
      <c r="C254" s="383">
        <v>2653</v>
      </c>
      <c r="D254" s="383">
        <v>1</v>
      </c>
      <c r="E254" s="383">
        <v>351</v>
      </c>
      <c r="F254" s="383">
        <v>325</v>
      </c>
      <c r="G254" s="383">
        <v>268</v>
      </c>
      <c r="H254" s="383">
        <v>3598</v>
      </c>
      <c r="I254" s="382">
        <v>3330</v>
      </c>
      <c r="J254" s="382">
        <v>40</v>
      </c>
      <c r="K254" s="384">
        <v>97.28</v>
      </c>
      <c r="L254" s="384">
        <v>97.29</v>
      </c>
      <c r="M254" s="384">
        <v>11.13</v>
      </c>
      <c r="N254" s="384">
        <v>106.27</v>
      </c>
      <c r="O254" s="385">
        <v>2501</v>
      </c>
      <c r="P254" s="382">
        <v>88.47</v>
      </c>
      <c r="Q254" s="382">
        <v>86.37</v>
      </c>
      <c r="R254" s="382">
        <v>50.86</v>
      </c>
      <c r="S254" s="382">
        <v>137.96</v>
      </c>
      <c r="T254" s="382">
        <v>487</v>
      </c>
      <c r="U254" s="382">
        <v>144.71</v>
      </c>
      <c r="V254" s="382">
        <v>136</v>
      </c>
      <c r="W254" s="382">
        <v>0</v>
      </c>
      <c r="X254" s="382">
        <v>0</v>
      </c>
      <c r="Y254" s="382">
        <v>0</v>
      </c>
      <c r="Z254" s="382">
        <v>1</v>
      </c>
      <c r="AA254" s="382">
        <v>2</v>
      </c>
      <c r="AB254" s="382">
        <v>7</v>
      </c>
      <c r="AC254" s="382">
        <v>6</v>
      </c>
      <c r="AD254" s="386">
        <v>2653</v>
      </c>
      <c r="AE254" s="386">
        <v>8</v>
      </c>
      <c r="AF254" s="386">
        <v>1</v>
      </c>
      <c r="AG254" s="386">
        <v>9</v>
      </c>
    </row>
    <row r="255" spans="1:33" x14ac:dyDescent="0.25">
      <c r="A255" s="381" t="s">
        <v>568</v>
      </c>
      <c r="B255" s="387" t="s">
        <v>569</v>
      </c>
      <c r="C255" s="383">
        <v>14411</v>
      </c>
      <c r="D255" s="383">
        <v>107</v>
      </c>
      <c r="E255" s="383">
        <v>1583</v>
      </c>
      <c r="F255" s="383">
        <v>665</v>
      </c>
      <c r="G255" s="383">
        <v>2578</v>
      </c>
      <c r="H255" s="383">
        <v>19344</v>
      </c>
      <c r="I255" s="382">
        <v>16766</v>
      </c>
      <c r="J255" s="382">
        <v>53</v>
      </c>
      <c r="K255" s="384">
        <v>120.92</v>
      </c>
      <c r="L255" s="384">
        <v>123.53</v>
      </c>
      <c r="M255" s="384">
        <v>10.27</v>
      </c>
      <c r="N255" s="384">
        <v>128.61000000000001</v>
      </c>
      <c r="O255" s="385">
        <v>11882</v>
      </c>
      <c r="P255" s="382">
        <v>104.22</v>
      </c>
      <c r="Q255" s="382">
        <v>103.55</v>
      </c>
      <c r="R255" s="382">
        <v>50.38</v>
      </c>
      <c r="S255" s="382">
        <v>150.9</v>
      </c>
      <c r="T255" s="382">
        <v>1970</v>
      </c>
      <c r="U255" s="382">
        <v>203.89</v>
      </c>
      <c r="V255" s="382">
        <v>659</v>
      </c>
      <c r="W255" s="382">
        <v>193.54</v>
      </c>
      <c r="X255" s="382">
        <v>23</v>
      </c>
      <c r="Y255" s="382">
        <v>0</v>
      </c>
      <c r="Z255" s="382">
        <v>7</v>
      </c>
      <c r="AA255" s="382">
        <v>26</v>
      </c>
      <c r="AB255" s="382">
        <v>253</v>
      </c>
      <c r="AC255" s="382">
        <v>127</v>
      </c>
      <c r="AD255" s="386">
        <v>13528</v>
      </c>
      <c r="AE255" s="386">
        <v>91</v>
      </c>
      <c r="AF255" s="386">
        <v>176</v>
      </c>
      <c r="AG255" s="386">
        <v>267</v>
      </c>
    </row>
    <row r="256" spans="1:33" x14ac:dyDescent="0.25">
      <c r="A256" s="381" t="s">
        <v>570</v>
      </c>
      <c r="B256" s="387" t="s">
        <v>571</v>
      </c>
      <c r="C256" s="383">
        <v>4834</v>
      </c>
      <c r="D256" s="383">
        <v>178</v>
      </c>
      <c r="E256" s="383">
        <v>153</v>
      </c>
      <c r="F256" s="383">
        <v>338</v>
      </c>
      <c r="G256" s="383">
        <v>397</v>
      </c>
      <c r="H256" s="383">
        <v>5900</v>
      </c>
      <c r="I256" s="382">
        <v>5503</v>
      </c>
      <c r="J256" s="382">
        <v>42</v>
      </c>
      <c r="K256" s="384">
        <v>116.65</v>
      </c>
      <c r="L256" s="384">
        <v>112.03</v>
      </c>
      <c r="M256" s="384">
        <v>4.91</v>
      </c>
      <c r="N256" s="384">
        <v>120.98</v>
      </c>
      <c r="O256" s="385">
        <v>4774</v>
      </c>
      <c r="P256" s="382">
        <v>107.73</v>
      </c>
      <c r="Q256" s="382">
        <v>102.3</v>
      </c>
      <c r="R256" s="382">
        <v>61.21</v>
      </c>
      <c r="S256" s="382">
        <v>164.08</v>
      </c>
      <c r="T256" s="382">
        <v>390</v>
      </c>
      <c r="U256" s="382">
        <v>159.96</v>
      </c>
      <c r="V256" s="382">
        <v>21</v>
      </c>
      <c r="W256" s="382">
        <v>126.96</v>
      </c>
      <c r="X256" s="382">
        <v>8</v>
      </c>
      <c r="Y256" s="382">
        <v>0</v>
      </c>
      <c r="Z256" s="382">
        <v>5</v>
      </c>
      <c r="AA256" s="382">
        <v>0</v>
      </c>
      <c r="AB256" s="382">
        <v>5</v>
      </c>
      <c r="AC256" s="382">
        <v>9</v>
      </c>
      <c r="AD256" s="386">
        <v>4812</v>
      </c>
      <c r="AE256" s="386">
        <v>22</v>
      </c>
      <c r="AF256" s="386">
        <v>20</v>
      </c>
      <c r="AG256" s="386">
        <v>42</v>
      </c>
    </row>
    <row r="257" spans="1:33" x14ac:dyDescent="0.25">
      <c r="A257" s="381" t="s">
        <v>572</v>
      </c>
      <c r="B257" s="387" t="s">
        <v>573</v>
      </c>
      <c r="C257" s="383">
        <v>1909</v>
      </c>
      <c r="D257" s="383">
        <v>8</v>
      </c>
      <c r="E257" s="383">
        <v>239</v>
      </c>
      <c r="F257" s="383">
        <v>143</v>
      </c>
      <c r="G257" s="383">
        <v>214</v>
      </c>
      <c r="H257" s="383">
        <v>2513</v>
      </c>
      <c r="I257" s="382">
        <v>2299</v>
      </c>
      <c r="J257" s="382">
        <v>0</v>
      </c>
      <c r="K257" s="384">
        <v>121.4</v>
      </c>
      <c r="L257" s="384">
        <v>118.26</v>
      </c>
      <c r="M257" s="384">
        <v>7.02</v>
      </c>
      <c r="N257" s="384">
        <v>127.69</v>
      </c>
      <c r="O257" s="385">
        <v>1612</v>
      </c>
      <c r="P257" s="382">
        <v>99.02</v>
      </c>
      <c r="Q257" s="382">
        <v>95.14</v>
      </c>
      <c r="R257" s="382">
        <v>36.909999999999997</v>
      </c>
      <c r="S257" s="382">
        <v>132.72999999999999</v>
      </c>
      <c r="T257" s="382">
        <v>312</v>
      </c>
      <c r="U257" s="382">
        <v>183.13</v>
      </c>
      <c r="V257" s="382">
        <v>94</v>
      </c>
      <c r="W257" s="382">
        <v>196.33</v>
      </c>
      <c r="X257" s="382">
        <v>36</v>
      </c>
      <c r="Y257" s="382">
        <v>0</v>
      </c>
      <c r="Z257" s="382">
        <v>1</v>
      </c>
      <c r="AA257" s="382">
        <v>0</v>
      </c>
      <c r="AB257" s="382">
        <v>20</v>
      </c>
      <c r="AC257" s="382">
        <v>29</v>
      </c>
      <c r="AD257" s="386">
        <v>1904</v>
      </c>
      <c r="AE257" s="386">
        <v>29</v>
      </c>
      <c r="AF257" s="386">
        <v>1</v>
      </c>
      <c r="AG257" s="386">
        <v>30</v>
      </c>
    </row>
    <row r="258" spans="1:33" x14ac:dyDescent="0.25">
      <c r="A258" s="381" t="s">
        <v>574</v>
      </c>
      <c r="B258" s="387" t="s">
        <v>575</v>
      </c>
      <c r="C258" s="383">
        <v>14708</v>
      </c>
      <c r="D258" s="383">
        <v>2</v>
      </c>
      <c r="E258" s="383">
        <v>605</v>
      </c>
      <c r="F258" s="383">
        <v>2070</v>
      </c>
      <c r="G258" s="383">
        <v>477</v>
      </c>
      <c r="H258" s="383">
        <v>17862</v>
      </c>
      <c r="I258" s="382">
        <v>17385</v>
      </c>
      <c r="J258" s="382">
        <v>2</v>
      </c>
      <c r="K258" s="384">
        <v>88.95</v>
      </c>
      <c r="L258" s="384">
        <v>86.57</v>
      </c>
      <c r="M258" s="384">
        <v>1.77</v>
      </c>
      <c r="N258" s="384">
        <v>90.55</v>
      </c>
      <c r="O258" s="385">
        <v>13930</v>
      </c>
      <c r="P258" s="382">
        <v>84.99</v>
      </c>
      <c r="Q258" s="382">
        <v>80.98</v>
      </c>
      <c r="R258" s="382">
        <v>25.17</v>
      </c>
      <c r="S258" s="382">
        <v>109.28</v>
      </c>
      <c r="T258" s="382">
        <v>2473</v>
      </c>
      <c r="U258" s="382">
        <v>101.49</v>
      </c>
      <c r="V258" s="382">
        <v>708</v>
      </c>
      <c r="W258" s="382">
        <v>97.49</v>
      </c>
      <c r="X258" s="382">
        <v>4</v>
      </c>
      <c r="Y258" s="382">
        <v>0</v>
      </c>
      <c r="Z258" s="382">
        <v>57</v>
      </c>
      <c r="AA258" s="382">
        <v>20</v>
      </c>
      <c r="AB258" s="382">
        <v>26</v>
      </c>
      <c r="AC258" s="382">
        <v>11</v>
      </c>
      <c r="AD258" s="386">
        <v>14664</v>
      </c>
      <c r="AE258" s="386">
        <v>155</v>
      </c>
      <c r="AF258" s="386">
        <v>147</v>
      </c>
      <c r="AG258" s="386">
        <v>302</v>
      </c>
    </row>
    <row r="259" spans="1:33" x14ac:dyDescent="0.25">
      <c r="A259" s="381" t="s">
        <v>576</v>
      </c>
      <c r="B259" s="387" t="s">
        <v>577</v>
      </c>
      <c r="C259" s="383">
        <v>5696</v>
      </c>
      <c r="D259" s="383">
        <v>0</v>
      </c>
      <c r="E259" s="383">
        <v>248</v>
      </c>
      <c r="F259" s="383">
        <v>1727</v>
      </c>
      <c r="G259" s="383">
        <v>248</v>
      </c>
      <c r="H259" s="383">
        <v>7919</v>
      </c>
      <c r="I259" s="382">
        <v>7671</v>
      </c>
      <c r="J259" s="382">
        <v>0</v>
      </c>
      <c r="K259" s="384">
        <v>82.95</v>
      </c>
      <c r="L259" s="384">
        <v>83.59</v>
      </c>
      <c r="M259" s="384">
        <v>3.93</v>
      </c>
      <c r="N259" s="384">
        <v>85.13</v>
      </c>
      <c r="O259" s="385">
        <v>5487</v>
      </c>
      <c r="P259" s="382">
        <v>74.709999999999994</v>
      </c>
      <c r="Q259" s="382">
        <v>74.760000000000005</v>
      </c>
      <c r="R259" s="382">
        <v>17.399999999999999</v>
      </c>
      <c r="S259" s="382">
        <v>91.12</v>
      </c>
      <c r="T259" s="382">
        <v>1826</v>
      </c>
      <c r="U259" s="382">
        <v>100.04</v>
      </c>
      <c r="V259" s="382">
        <v>202</v>
      </c>
      <c r="W259" s="382">
        <v>160.94999999999999</v>
      </c>
      <c r="X259" s="382">
        <v>116</v>
      </c>
      <c r="Y259" s="382">
        <v>46</v>
      </c>
      <c r="Z259" s="382">
        <v>20</v>
      </c>
      <c r="AA259" s="382">
        <v>0</v>
      </c>
      <c r="AB259" s="382">
        <v>0</v>
      </c>
      <c r="AC259" s="382">
        <v>19</v>
      </c>
      <c r="AD259" s="386">
        <v>5696</v>
      </c>
      <c r="AE259" s="386">
        <v>53</v>
      </c>
      <c r="AF259" s="386">
        <v>16</v>
      </c>
      <c r="AG259" s="386">
        <v>69</v>
      </c>
    </row>
    <row r="260" spans="1:33" x14ac:dyDescent="0.25">
      <c r="A260" s="381" t="s">
        <v>578</v>
      </c>
      <c r="B260" s="387" t="s">
        <v>579</v>
      </c>
      <c r="C260" s="383">
        <v>2645</v>
      </c>
      <c r="D260" s="383">
        <v>1</v>
      </c>
      <c r="E260" s="383">
        <v>114</v>
      </c>
      <c r="F260" s="383">
        <v>984</v>
      </c>
      <c r="G260" s="383">
        <v>62</v>
      </c>
      <c r="H260" s="383">
        <v>3806</v>
      </c>
      <c r="I260" s="382">
        <v>3744</v>
      </c>
      <c r="J260" s="382">
        <v>16</v>
      </c>
      <c r="K260" s="384">
        <v>86.02</v>
      </c>
      <c r="L260" s="384">
        <v>87.02</v>
      </c>
      <c r="M260" s="384">
        <v>5.6</v>
      </c>
      <c r="N260" s="384">
        <v>87.27</v>
      </c>
      <c r="O260" s="385">
        <v>2410</v>
      </c>
      <c r="P260" s="382">
        <v>80.430000000000007</v>
      </c>
      <c r="Q260" s="382">
        <v>80.86</v>
      </c>
      <c r="R260" s="382">
        <v>15.42</v>
      </c>
      <c r="S260" s="382">
        <v>95.34</v>
      </c>
      <c r="T260" s="382">
        <v>1052</v>
      </c>
      <c r="U260" s="382">
        <v>93.91</v>
      </c>
      <c r="V260" s="382">
        <v>107</v>
      </c>
      <c r="W260" s="382">
        <v>120.64</v>
      </c>
      <c r="X260" s="382">
        <v>63</v>
      </c>
      <c r="Y260" s="382">
        <v>0</v>
      </c>
      <c r="Z260" s="382">
        <v>9</v>
      </c>
      <c r="AA260" s="382">
        <v>1</v>
      </c>
      <c r="AB260" s="382">
        <v>4</v>
      </c>
      <c r="AC260" s="382">
        <v>4</v>
      </c>
      <c r="AD260" s="386">
        <v>2495</v>
      </c>
      <c r="AE260" s="386">
        <v>19</v>
      </c>
      <c r="AF260" s="386">
        <v>9</v>
      </c>
      <c r="AG260" s="386">
        <v>28</v>
      </c>
    </row>
    <row r="261" spans="1:33" x14ac:dyDescent="0.25">
      <c r="A261" s="381" t="s">
        <v>580</v>
      </c>
      <c r="B261" s="387" t="s">
        <v>581</v>
      </c>
      <c r="C261" s="383">
        <v>1624</v>
      </c>
      <c r="D261" s="383">
        <v>0</v>
      </c>
      <c r="E261" s="383">
        <v>98</v>
      </c>
      <c r="F261" s="383">
        <v>312</v>
      </c>
      <c r="G261" s="383">
        <v>327</v>
      </c>
      <c r="H261" s="383">
        <v>2361</v>
      </c>
      <c r="I261" s="382">
        <v>2034</v>
      </c>
      <c r="J261" s="382">
        <v>6</v>
      </c>
      <c r="K261" s="384">
        <v>113.45</v>
      </c>
      <c r="L261" s="384">
        <v>112.36</v>
      </c>
      <c r="M261" s="384">
        <v>5.62</v>
      </c>
      <c r="N261" s="384">
        <v>118.67</v>
      </c>
      <c r="O261" s="385">
        <v>1391</v>
      </c>
      <c r="P261" s="382">
        <v>92.34</v>
      </c>
      <c r="Q261" s="382">
        <v>88.99</v>
      </c>
      <c r="R261" s="382">
        <v>31.25</v>
      </c>
      <c r="S261" s="382">
        <v>123.59</v>
      </c>
      <c r="T261" s="382">
        <v>385</v>
      </c>
      <c r="U261" s="382">
        <v>129.08000000000001</v>
      </c>
      <c r="V261" s="382">
        <v>81</v>
      </c>
      <c r="W261" s="382">
        <v>0</v>
      </c>
      <c r="X261" s="382">
        <v>0</v>
      </c>
      <c r="Y261" s="382">
        <v>14</v>
      </c>
      <c r="Z261" s="382">
        <v>0</v>
      </c>
      <c r="AA261" s="382">
        <v>0</v>
      </c>
      <c r="AB261" s="382">
        <v>1</v>
      </c>
      <c r="AC261" s="382">
        <v>11</v>
      </c>
      <c r="AD261" s="386">
        <v>1520</v>
      </c>
      <c r="AE261" s="386">
        <v>16</v>
      </c>
      <c r="AF261" s="386">
        <v>2</v>
      </c>
      <c r="AG261" s="386">
        <v>18</v>
      </c>
    </row>
    <row r="262" spans="1:33" x14ac:dyDescent="0.25">
      <c r="A262" s="381" t="s">
        <v>582</v>
      </c>
      <c r="B262" s="387" t="s">
        <v>583</v>
      </c>
      <c r="C262" s="383">
        <v>4230</v>
      </c>
      <c r="D262" s="383">
        <v>4</v>
      </c>
      <c r="E262" s="383">
        <v>388</v>
      </c>
      <c r="F262" s="383">
        <v>1479</v>
      </c>
      <c r="G262" s="383">
        <v>867</v>
      </c>
      <c r="H262" s="383">
        <v>6968</v>
      </c>
      <c r="I262" s="382">
        <v>6101</v>
      </c>
      <c r="J262" s="382">
        <v>10</v>
      </c>
      <c r="K262" s="384">
        <v>84.02</v>
      </c>
      <c r="L262" s="384">
        <v>83.81</v>
      </c>
      <c r="M262" s="384">
        <v>7.01</v>
      </c>
      <c r="N262" s="384">
        <v>87.9</v>
      </c>
      <c r="O262" s="385">
        <v>3724</v>
      </c>
      <c r="P262" s="382">
        <v>81.55</v>
      </c>
      <c r="Q262" s="382">
        <v>77.77</v>
      </c>
      <c r="R262" s="382">
        <v>26.88</v>
      </c>
      <c r="S262" s="382">
        <v>107.74</v>
      </c>
      <c r="T262" s="382">
        <v>1802</v>
      </c>
      <c r="U262" s="382">
        <v>112.46</v>
      </c>
      <c r="V262" s="382">
        <v>356</v>
      </c>
      <c r="W262" s="382">
        <v>149.47</v>
      </c>
      <c r="X262" s="382">
        <v>39</v>
      </c>
      <c r="Y262" s="382">
        <v>43</v>
      </c>
      <c r="Z262" s="382">
        <v>5</v>
      </c>
      <c r="AA262" s="382">
        <v>1</v>
      </c>
      <c r="AB262" s="382">
        <v>41</v>
      </c>
      <c r="AC262" s="382">
        <v>8</v>
      </c>
      <c r="AD262" s="386">
        <v>4027</v>
      </c>
      <c r="AE262" s="386">
        <v>9</v>
      </c>
      <c r="AF262" s="386">
        <v>4</v>
      </c>
      <c r="AG262" s="386">
        <v>13</v>
      </c>
    </row>
    <row r="263" spans="1:33" x14ac:dyDescent="0.25">
      <c r="A263" s="381" t="s">
        <v>584</v>
      </c>
      <c r="B263" s="387" t="s">
        <v>585</v>
      </c>
      <c r="C263" s="383">
        <v>12893</v>
      </c>
      <c r="D263" s="383">
        <v>5</v>
      </c>
      <c r="E263" s="383">
        <v>221</v>
      </c>
      <c r="F263" s="383">
        <v>811</v>
      </c>
      <c r="G263" s="383">
        <v>154</v>
      </c>
      <c r="H263" s="383">
        <v>14084</v>
      </c>
      <c r="I263" s="382">
        <v>13930</v>
      </c>
      <c r="J263" s="382">
        <v>13</v>
      </c>
      <c r="K263" s="384">
        <v>81.05</v>
      </c>
      <c r="L263" s="384">
        <v>86.68</v>
      </c>
      <c r="M263" s="384">
        <v>8.35</v>
      </c>
      <c r="N263" s="384">
        <v>83.54</v>
      </c>
      <c r="O263" s="385">
        <v>11708</v>
      </c>
      <c r="P263" s="382">
        <v>84.3</v>
      </c>
      <c r="Q263" s="382">
        <v>78.63</v>
      </c>
      <c r="R263" s="382">
        <v>39.36</v>
      </c>
      <c r="S263" s="382">
        <v>123.31</v>
      </c>
      <c r="T263" s="382">
        <v>1000</v>
      </c>
      <c r="U263" s="382">
        <v>97.58</v>
      </c>
      <c r="V263" s="382">
        <v>1131</v>
      </c>
      <c r="W263" s="382">
        <v>106.16</v>
      </c>
      <c r="X263" s="382">
        <v>4</v>
      </c>
      <c r="Y263" s="382">
        <v>11</v>
      </c>
      <c r="Z263" s="382">
        <v>47</v>
      </c>
      <c r="AA263" s="382">
        <v>3</v>
      </c>
      <c r="AB263" s="382">
        <v>3</v>
      </c>
      <c r="AC263" s="382">
        <v>2</v>
      </c>
      <c r="AD263" s="386">
        <v>12893</v>
      </c>
      <c r="AE263" s="386">
        <v>278</v>
      </c>
      <c r="AF263" s="386">
        <v>124</v>
      </c>
      <c r="AG263" s="386">
        <v>402</v>
      </c>
    </row>
    <row r="264" spans="1:33" x14ac:dyDescent="0.25">
      <c r="A264" s="381" t="s">
        <v>586</v>
      </c>
      <c r="B264" s="387" t="s">
        <v>587</v>
      </c>
      <c r="C264" s="383">
        <v>5858</v>
      </c>
      <c r="D264" s="383">
        <v>0</v>
      </c>
      <c r="E264" s="383">
        <v>716</v>
      </c>
      <c r="F264" s="383">
        <v>1034</v>
      </c>
      <c r="G264" s="383">
        <v>267</v>
      </c>
      <c r="H264" s="383">
        <v>7875</v>
      </c>
      <c r="I264" s="382">
        <v>7608</v>
      </c>
      <c r="J264" s="382">
        <v>16</v>
      </c>
      <c r="K264" s="384">
        <v>75.84</v>
      </c>
      <c r="L264" s="384">
        <v>76.86</v>
      </c>
      <c r="M264" s="384">
        <v>4.05</v>
      </c>
      <c r="N264" s="384">
        <v>78.55</v>
      </c>
      <c r="O264" s="385">
        <v>4979</v>
      </c>
      <c r="P264" s="382">
        <v>87.08</v>
      </c>
      <c r="Q264" s="382">
        <v>86.25</v>
      </c>
      <c r="R264" s="382">
        <v>47.57</v>
      </c>
      <c r="S264" s="382">
        <v>133.16</v>
      </c>
      <c r="T264" s="382">
        <v>1401</v>
      </c>
      <c r="U264" s="382">
        <v>94.7</v>
      </c>
      <c r="V264" s="382">
        <v>342</v>
      </c>
      <c r="W264" s="382">
        <v>156.86000000000001</v>
      </c>
      <c r="X264" s="382">
        <v>60</v>
      </c>
      <c r="Y264" s="382">
        <v>0</v>
      </c>
      <c r="Z264" s="382">
        <v>1</v>
      </c>
      <c r="AA264" s="382">
        <v>8</v>
      </c>
      <c r="AB264" s="382">
        <v>0</v>
      </c>
      <c r="AC264" s="382">
        <v>1</v>
      </c>
      <c r="AD264" s="386">
        <v>5327</v>
      </c>
      <c r="AE264" s="386">
        <v>37</v>
      </c>
      <c r="AF264" s="386">
        <v>17</v>
      </c>
      <c r="AG264" s="386">
        <v>54</v>
      </c>
    </row>
    <row r="265" spans="1:33" x14ac:dyDescent="0.25">
      <c r="A265" s="381" t="s">
        <v>588</v>
      </c>
      <c r="B265" s="387" t="s">
        <v>589</v>
      </c>
      <c r="C265" s="383">
        <v>6340</v>
      </c>
      <c r="D265" s="383">
        <v>2</v>
      </c>
      <c r="E265" s="383">
        <v>68</v>
      </c>
      <c r="F265" s="383">
        <v>660</v>
      </c>
      <c r="G265" s="383">
        <v>471</v>
      </c>
      <c r="H265" s="383">
        <v>7541</v>
      </c>
      <c r="I265" s="382">
        <v>7070</v>
      </c>
      <c r="J265" s="382">
        <v>7</v>
      </c>
      <c r="K265" s="384">
        <v>105.26</v>
      </c>
      <c r="L265" s="384">
        <v>100.36</v>
      </c>
      <c r="M265" s="384">
        <v>4.54</v>
      </c>
      <c r="N265" s="384">
        <v>106.56</v>
      </c>
      <c r="O265" s="385">
        <v>5826</v>
      </c>
      <c r="P265" s="382">
        <v>81.260000000000005</v>
      </c>
      <c r="Q265" s="382">
        <v>86.17</v>
      </c>
      <c r="R265" s="382">
        <v>28.82</v>
      </c>
      <c r="S265" s="382">
        <v>109.81</v>
      </c>
      <c r="T265" s="382">
        <v>635</v>
      </c>
      <c r="U265" s="382">
        <v>132.29</v>
      </c>
      <c r="V265" s="382">
        <v>164</v>
      </c>
      <c r="W265" s="382">
        <v>0</v>
      </c>
      <c r="X265" s="382">
        <v>0</v>
      </c>
      <c r="Y265" s="382">
        <v>10</v>
      </c>
      <c r="Z265" s="382">
        <v>11</v>
      </c>
      <c r="AA265" s="382">
        <v>18</v>
      </c>
      <c r="AB265" s="382">
        <v>19</v>
      </c>
      <c r="AC265" s="382">
        <v>11</v>
      </c>
      <c r="AD265" s="386">
        <v>5963</v>
      </c>
      <c r="AE265" s="386">
        <v>28</v>
      </c>
      <c r="AF265" s="386">
        <v>32</v>
      </c>
      <c r="AG265" s="386">
        <v>60</v>
      </c>
    </row>
    <row r="266" spans="1:33" x14ac:dyDescent="0.25">
      <c r="A266" s="381" t="s">
        <v>590</v>
      </c>
      <c r="B266" s="387" t="s">
        <v>591</v>
      </c>
      <c r="C266" s="383">
        <v>1250</v>
      </c>
      <c r="D266" s="383">
        <v>3</v>
      </c>
      <c r="E266" s="383">
        <v>116</v>
      </c>
      <c r="F266" s="383">
        <v>147</v>
      </c>
      <c r="G266" s="383">
        <v>281</v>
      </c>
      <c r="H266" s="383">
        <v>1797</v>
      </c>
      <c r="I266" s="382">
        <v>1516</v>
      </c>
      <c r="J266" s="382">
        <v>0</v>
      </c>
      <c r="K266" s="384">
        <v>99.01</v>
      </c>
      <c r="L266" s="384">
        <v>96.21</v>
      </c>
      <c r="M266" s="384">
        <v>4.72</v>
      </c>
      <c r="N266" s="384">
        <v>102.83</v>
      </c>
      <c r="O266" s="385">
        <v>1023</v>
      </c>
      <c r="P266" s="382">
        <v>81.53</v>
      </c>
      <c r="Q266" s="382">
        <v>80.25</v>
      </c>
      <c r="R266" s="382">
        <v>32.03</v>
      </c>
      <c r="S266" s="382">
        <v>110.51</v>
      </c>
      <c r="T266" s="382">
        <v>231</v>
      </c>
      <c r="U266" s="382">
        <v>122.28</v>
      </c>
      <c r="V266" s="382">
        <v>159</v>
      </c>
      <c r="W266" s="382">
        <v>0</v>
      </c>
      <c r="X266" s="382">
        <v>0</v>
      </c>
      <c r="Y266" s="382">
        <v>18</v>
      </c>
      <c r="Z266" s="382">
        <v>0</v>
      </c>
      <c r="AA266" s="382">
        <v>7</v>
      </c>
      <c r="AB266" s="382">
        <v>29</v>
      </c>
      <c r="AC266" s="382">
        <v>2</v>
      </c>
      <c r="AD266" s="386">
        <v>1193</v>
      </c>
      <c r="AE266" s="386">
        <v>7</v>
      </c>
      <c r="AF266" s="386">
        <v>1</v>
      </c>
      <c r="AG266" s="386">
        <v>8</v>
      </c>
    </row>
    <row r="267" spans="1:33" x14ac:dyDescent="0.25">
      <c r="A267" s="381" t="s">
        <v>592</v>
      </c>
      <c r="B267" s="387" t="s">
        <v>593</v>
      </c>
      <c r="C267" s="383">
        <v>31813</v>
      </c>
      <c r="D267" s="383">
        <v>38</v>
      </c>
      <c r="E267" s="383">
        <v>602</v>
      </c>
      <c r="F267" s="383">
        <v>1679</v>
      </c>
      <c r="G267" s="383">
        <v>308</v>
      </c>
      <c r="H267" s="383">
        <v>34440</v>
      </c>
      <c r="I267" s="382">
        <v>34132</v>
      </c>
      <c r="J267" s="382">
        <v>150</v>
      </c>
      <c r="K267" s="384">
        <v>79.45</v>
      </c>
      <c r="L267" s="384">
        <v>76.760000000000005</v>
      </c>
      <c r="M267" s="384">
        <v>4.55</v>
      </c>
      <c r="N267" s="384">
        <v>80.64</v>
      </c>
      <c r="O267" s="385">
        <v>30300</v>
      </c>
      <c r="P267" s="382">
        <v>73.89</v>
      </c>
      <c r="Q267" s="382">
        <v>72.010000000000005</v>
      </c>
      <c r="R267" s="382">
        <v>28.89</v>
      </c>
      <c r="S267" s="382">
        <v>100.96</v>
      </c>
      <c r="T267" s="382">
        <v>2023</v>
      </c>
      <c r="U267" s="382">
        <v>100.91</v>
      </c>
      <c r="V267" s="382">
        <v>1079</v>
      </c>
      <c r="W267" s="382">
        <v>149.07</v>
      </c>
      <c r="X267" s="382">
        <v>226</v>
      </c>
      <c r="Y267" s="382">
        <v>0</v>
      </c>
      <c r="Z267" s="382">
        <v>110</v>
      </c>
      <c r="AA267" s="382">
        <v>32</v>
      </c>
      <c r="AB267" s="382">
        <v>47</v>
      </c>
      <c r="AC267" s="382">
        <v>22</v>
      </c>
      <c r="AD267" s="386">
        <v>31380</v>
      </c>
      <c r="AE267" s="386">
        <v>326</v>
      </c>
      <c r="AF267" s="386">
        <v>107</v>
      </c>
      <c r="AG267" s="386">
        <v>433</v>
      </c>
    </row>
    <row r="268" spans="1:33" x14ac:dyDescent="0.25">
      <c r="A268" s="381" t="s">
        <v>594</v>
      </c>
      <c r="B268" s="387" t="s">
        <v>595</v>
      </c>
      <c r="C268" s="383">
        <v>2895</v>
      </c>
      <c r="D268" s="383">
        <v>0</v>
      </c>
      <c r="E268" s="383">
        <v>124</v>
      </c>
      <c r="F268" s="383">
        <v>307</v>
      </c>
      <c r="G268" s="383">
        <v>259</v>
      </c>
      <c r="H268" s="383">
        <v>3585</v>
      </c>
      <c r="I268" s="382">
        <v>3326</v>
      </c>
      <c r="J268" s="382">
        <v>313</v>
      </c>
      <c r="K268" s="384">
        <v>111.66</v>
      </c>
      <c r="L268" s="384">
        <v>113.95</v>
      </c>
      <c r="M268" s="384">
        <v>5.42</v>
      </c>
      <c r="N268" s="384">
        <v>116.78</v>
      </c>
      <c r="O268" s="385">
        <v>2891</v>
      </c>
      <c r="P268" s="382">
        <v>94.31</v>
      </c>
      <c r="Q268" s="382">
        <v>95.42</v>
      </c>
      <c r="R268" s="382">
        <v>21.94</v>
      </c>
      <c r="S268" s="382">
        <v>113.3</v>
      </c>
      <c r="T268" s="382">
        <v>400</v>
      </c>
      <c r="U268" s="382">
        <v>148.26</v>
      </c>
      <c r="V268" s="382">
        <v>3</v>
      </c>
      <c r="W268" s="382">
        <v>0</v>
      </c>
      <c r="X268" s="382">
        <v>0</v>
      </c>
      <c r="Y268" s="382">
        <v>0</v>
      </c>
      <c r="Z268" s="382">
        <v>5</v>
      </c>
      <c r="AA268" s="382">
        <v>0</v>
      </c>
      <c r="AB268" s="382">
        <v>0</v>
      </c>
      <c r="AC268" s="382">
        <v>12</v>
      </c>
      <c r="AD268" s="386">
        <v>2895</v>
      </c>
      <c r="AE268" s="386">
        <v>3</v>
      </c>
      <c r="AF268" s="386">
        <v>0</v>
      </c>
      <c r="AG268" s="386">
        <v>3</v>
      </c>
    </row>
    <row r="269" spans="1:33" x14ac:dyDescent="0.25">
      <c r="A269" s="381" t="s">
        <v>596</v>
      </c>
      <c r="B269" s="387" t="s">
        <v>597</v>
      </c>
      <c r="C269" s="383">
        <v>3832</v>
      </c>
      <c r="D269" s="383">
        <v>8</v>
      </c>
      <c r="E269" s="383">
        <v>323</v>
      </c>
      <c r="F269" s="383">
        <v>921</v>
      </c>
      <c r="G269" s="383">
        <v>557</v>
      </c>
      <c r="H269" s="383">
        <v>5641</v>
      </c>
      <c r="I269" s="382">
        <v>5084</v>
      </c>
      <c r="J269" s="382">
        <v>13</v>
      </c>
      <c r="K269" s="384">
        <v>118.95</v>
      </c>
      <c r="L269" s="384">
        <v>119.86</v>
      </c>
      <c r="M269" s="384">
        <v>7.54</v>
      </c>
      <c r="N269" s="384">
        <v>125.79</v>
      </c>
      <c r="O269" s="385">
        <v>3374</v>
      </c>
      <c r="P269" s="382">
        <v>107.45</v>
      </c>
      <c r="Q269" s="382">
        <v>103.8</v>
      </c>
      <c r="R269" s="382">
        <v>39.33</v>
      </c>
      <c r="S269" s="382">
        <v>145.44999999999999</v>
      </c>
      <c r="T269" s="382">
        <v>768</v>
      </c>
      <c r="U269" s="382">
        <v>172.2</v>
      </c>
      <c r="V269" s="382">
        <v>243</v>
      </c>
      <c r="W269" s="382">
        <v>210.05</v>
      </c>
      <c r="X269" s="382">
        <v>65</v>
      </c>
      <c r="Y269" s="382">
        <v>0</v>
      </c>
      <c r="Z269" s="382">
        <v>10</v>
      </c>
      <c r="AA269" s="382">
        <v>0</v>
      </c>
      <c r="AB269" s="382">
        <v>15</v>
      </c>
      <c r="AC269" s="382">
        <v>17</v>
      </c>
      <c r="AD269" s="386">
        <v>3680</v>
      </c>
      <c r="AE269" s="386">
        <v>19</v>
      </c>
      <c r="AF269" s="386">
        <v>15</v>
      </c>
      <c r="AG269" s="386">
        <v>34</v>
      </c>
    </row>
    <row r="270" spans="1:33" x14ac:dyDescent="0.25">
      <c r="A270" s="381" t="s">
        <v>598</v>
      </c>
      <c r="B270" s="387" t="s">
        <v>599</v>
      </c>
      <c r="C270" s="383">
        <v>7542</v>
      </c>
      <c r="D270" s="383">
        <v>0</v>
      </c>
      <c r="E270" s="383">
        <v>244</v>
      </c>
      <c r="F270" s="383">
        <v>443</v>
      </c>
      <c r="G270" s="383">
        <v>514</v>
      </c>
      <c r="H270" s="383">
        <v>8743</v>
      </c>
      <c r="I270" s="382">
        <v>8229</v>
      </c>
      <c r="J270" s="382">
        <v>0</v>
      </c>
      <c r="K270" s="384">
        <v>97.82</v>
      </c>
      <c r="L270" s="384">
        <v>97.85</v>
      </c>
      <c r="M270" s="384">
        <v>5.0199999999999996</v>
      </c>
      <c r="N270" s="384">
        <v>100.17</v>
      </c>
      <c r="O270" s="385">
        <v>6793</v>
      </c>
      <c r="P270" s="382">
        <v>85.88</v>
      </c>
      <c r="Q270" s="382">
        <v>90.71</v>
      </c>
      <c r="R270" s="382">
        <v>46.69</v>
      </c>
      <c r="S270" s="382">
        <v>131.94</v>
      </c>
      <c r="T270" s="382">
        <v>603</v>
      </c>
      <c r="U270" s="382">
        <v>122.85</v>
      </c>
      <c r="V270" s="382">
        <v>619</v>
      </c>
      <c r="W270" s="382">
        <v>0</v>
      </c>
      <c r="X270" s="382">
        <v>0</v>
      </c>
      <c r="Y270" s="382">
        <v>31</v>
      </c>
      <c r="Z270" s="382">
        <v>12</v>
      </c>
      <c r="AA270" s="382">
        <v>5</v>
      </c>
      <c r="AB270" s="382">
        <v>30</v>
      </c>
      <c r="AC270" s="382">
        <v>26</v>
      </c>
      <c r="AD270" s="386">
        <v>7475</v>
      </c>
      <c r="AE270" s="386">
        <v>24</v>
      </c>
      <c r="AF270" s="386">
        <v>76</v>
      </c>
      <c r="AG270" s="386">
        <v>100</v>
      </c>
    </row>
    <row r="271" spans="1:33" x14ac:dyDescent="0.25">
      <c r="A271" s="381" t="s">
        <v>600</v>
      </c>
      <c r="B271" s="387" t="s">
        <v>601</v>
      </c>
      <c r="C271" s="383">
        <v>3345</v>
      </c>
      <c r="D271" s="383">
        <v>0</v>
      </c>
      <c r="E271" s="383">
        <v>500</v>
      </c>
      <c r="F271" s="383">
        <v>999</v>
      </c>
      <c r="G271" s="383">
        <v>892</v>
      </c>
      <c r="H271" s="383">
        <v>5736</v>
      </c>
      <c r="I271" s="382">
        <v>4844</v>
      </c>
      <c r="J271" s="382">
        <v>1</v>
      </c>
      <c r="K271" s="384">
        <v>97.94</v>
      </c>
      <c r="L271" s="384">
        <v>96.57</v>
      </c>
      <c r="M271" s="384">
        <v>6.19</v>
      </c>
      <c r="N271" s="384">
        <v>102.86</v>
      </c>
      <c r="O271" s="385">
        <v>2816</v>
      </c>
      <c r="P271" s="382">
        <v>81.48</v>
      </c>
      <c r="Q271" s="382">
        <v>79.58</v>
      </c>
      <c r="R271" s="382">
        <v>38.409999999999997</v>
      </c>
      <c r="S271" s="382">
        <v>117.84</v>
      </c>
      <c r="T271" s="382">
        <v>1427</v>
      </c>
      <c r="U271" s="382">
        <v>124.4</v>
      </c>
      <c r="V271" s="382">
        <v>167</v>
      </c>
      <c r="W271" s="382">
        <v>144.63</v>
      </c>
      <c r="X271" s="382">
        <v>23</v>
      </c>
      <c r="Y271" s="382">
        <v>89</v>
      </c>
      <c r="Z271" s="382">
        <v>7</v>
      </c>
      <c r="AA271" s="382">
        <v>0</v>
      </c>
      <c r="AB271" s="382">
        <v>11</v>
      </c>
      <c r="AC271" s="382">
        <v>48</v>
      </c>
      <c r="AD271" s="386">
        <v>3106</v>
      </c>
      <c r="AE271" s="386">
        <v>7</v>
      </c>
      <c r="AF271" s="386">
        <v>3</v>
      </c>
      <c r="AG271" s="386">
        <v>10</v>
      </c>
    </row>
    <row r="272" spans="1:33" x14ac:dyDescent="0.25">
      <c r="A272" s="381" t="s">
        <v>602</v>
      </c>
      <c r="B272" s="387" t="s">
        <v>603</v>
      </c>
      <c r="C272" s="383">
        <v>19801</v>
      </c>
      <c r="D272" s="383">
        <v>0</v>
      </c>
      <c r="E272" s="383">
        <v>503</v>
      </c>
      <c r="F272" s="383">
        <v>1842</v>
      </c>
      <c r="G272" s="383">
        <v>170</v>
      </c>
      <c r="H272" s="383">
        <v>22316</v>
      </c>
      <c r="I272" s="382">
        <v>22146</v>
      </c>
      <c r="J272" s="382">
        <v>21</v>
      </c>
      <c r="K272" s="384">
        <v>82.7</v>
      </c>
      <c r="L272" s="384">
        <v>79.92</v>
      </c>
      <c r="M272" s="384">
        <v>3.35</v>
      </c>
      <c r="N272" s="384">
        <v>85.31</v>
      </c>
      <c r="O272" s="385">
        <v>17688</v>
      </c>
      <c r="P272" s="382">
        <v>78.92</v>
      </c>
      <c r="Q272" s="382">
        <v>72.790000000000006</v>
      </c>
      <c r="R272" s="382">
        <v>31.17</v>
      </c>
      <c r="S272" s="382">
        <v>106.11</v>
      </c>
      <c r="T272" s="382">
        <v>2260</v>
      </c>
      <c r="U272" s="382">
        <v>104.84</v>
      </c>
      <c r="V272" s="382">
        <v>1102</v>
      </c>
      <c r="W272" s="382">
        <v>0</v>
      </c>
      <c r="X272" s="382">
        <v>0</v>
      </c>
      <c r="Y272" s="382">
        <v>1</v>
      </c>
      <c r="Z272" s="382">
        <v>28</v>
      </c>
      <c r="AA272" s="382">
        <v>4</v>
      </c>
      <c r="AB272" s="382">
        <v>5</v>
      </c>
      <c r="AC272" s="382">
        <v>3</v>
      </c>
      <c r="AD272" s="386">
        <v>18830</v>
      </c>
      <c r="AE272" s="386">
        <v>52</v>
      </c>
      <c r="AF272" s="386">
        <v>117</v>
      </c>
      <c r="AG272" s="386">
        <v>169</v>
      </c>
    </row>
    <row r="273" spans="1:33" x14ac:dyDescent="0.25">
      <c r="A273" s="381" t="s">
        <v>604</v>
      </c>
      <c r="B273" s="387" t="s">
        <v>605</v>
      </c>
      <c r="C273" s="383">
        <v>1388</v>
      </c>
      <c r="D273" s="383">
        <v>0</v>
      </c>
      <c r="E273" s="383">
        <v>69</v>
      </c>
      <c r="F273" s="383">
        <v>177</v>
      </c>
      <c r="G273" s="383">
        <v>131</v>
      </c>
      <c r="H273" s="383">
        <v>1765</v>
      </c>
      <c r="I273" s="382">
        <v>1634</v>
      </c>
      <c r="J273" s="382">
        <v>1</v>
      </c>
      <c r="K273" s="384">
        <v>88.18</v>
      </c>
      <c r="L273" s="384">
        <v>87.34</v>
      </c>
      <c r="M273" s="384">
        <v>4.8</v>
      </c>
      <c r="N273" s="384">
        <v>92.1</v>
      </c>
      <c r="O273" s="385">
        <v>1257</v>
      </c>
      <c r="P273" s="382">
        <v>80.39</v>
      </c>
      <c r="Q273" s="382">
        <v>78.849999999999994</v>
      </c>
      <c r="R273" s="382">
        <v>30.97</v>
      </c>
      <c r="S273" s="382">
        <v>109.19</v>
      </c>
      <c r="T273" s="382">
        <v>214</v>
      </c>
      <c r="U273" s="382">
        <v>106.71</v>
      </c>
      <c r="V273" s="382">
        <v>102</v>
      </c>
      <c r="W273" s="382">
        <v>0</v>
      </c>
      <c r="X273" s="382">
        <v>0</v>
      </c>
      <c r="Y273" s="382">
        <v>0</v>
      </c>
      <c r="Z273" s="382">
        <v>1</v>
      </c>
      <c r="AA273" s="382">
        <v>4</v>
      </c>
      <c r="AB273" s="382">
        <v>6</v>
      </c>
      <c r="AC273" s="382">
        <v>11</v>
      </c>
      <c r="AD273" s="386">
        <v>1388</v>
      </c>
      <c r="AE273" s="386">
        <v>3</v>
      </c>
      <c r="AF273" s="386">
        <v>4</v>
      </c>
      <c r="AG273" s="386">
        <v>7</v>
      </c>
    </row>
    <row r="274" spans="1:33" x14ac:dyDescent="0.25">
      <c r="A274" s="381" t="s">
        <v>606</v>
      </c>
      <c r="B274" s="387" t="s">
        <v>607</v>
      </c>
      <c r="C274" s="383">
        <v>917</v>
      </c>
      <c r="D274" s="383">
        <v>0</v>
      </c>
      <c r="E274" s="383">
        <v>149</v>
      </c>
      <c r="F274" s="383">
        <v>59</v>
      </c>
      <c r="G274" s="383">
        <v>225</v>
      </c>
      <c r="H274" s="383">
        <v>1350</v>
      </c>
      <c r="I274" s="382">
        <v>1125</v>
      </c>
      <c r="J274" s="382">
        <v>0</v>
      </c>
      <c r="K274" s="384">
        <v>123.82</v>
      </c>
      <c r="L274" s="384">
        <v>122.22</v>
      </c>
      <c r="M274" s="384">
        <v>5.68</v>
      </c>
      <c r="N274" s="384">
        <v>129.32</v>
      </c>
      <c r="O274" s="385">
        <v>692</v>
      </c>
      <c r="P274" s="382">
        <v>103.22</v>
      </c>
      <c r="Q274" s="382">
        <v>103.07</v>
      </c>
      <c r="R274" s="382">
        <v>47.53</v>
      </c>
      <c r="S274" s="382">
        <v>149.29</v>
      </c>
      <c r="T274" s="382">
        <v>65</v>
      </c>
      <c r="U274" s="382">
        <v>167.41</v>
      </c>
      <c r="V274" s="382">
        <v>142</v>
      </c>
      <c r="W274" s="382">
        <v>148.05000000000001</v>
      </c>
      <c r="X274" s="382">
        <v>27</v>
      </c>
      <c r="Y274" s="382">
        <v>0</v>
      </c>
      <c r="Z274" s="382">
        <v>3</v>
      </c>
      <c r="AA274" s="382">
        <v>0</v>
      </c>
      <c r="AB274" s="382">
        <v>18</v>
      </c>
      <c r="AC274" s="382">
        <v>13</v>
      </c>
      <c r="AD274" s="386">
        <v>866</v>
      </c>
      <c r="AE274" s="386">
        <v>5</v>
      </c>
      <c r="AF274" s="386">
        <v>1</v>
      </c>
      <c r="AG274" s="386">
        <v>6</v>
      </c>
    </row>
    <row r="275" spans="1:33" x14ac:dyDescent="0.25">
      <c r="A275" s="381" t="s">
        <v>608</v>
      </c>
      <c r="B275" s="387" t="s">
        <v>609</v>
      </c>
      <c r="C275" s="383">
        <v>3947</v>
      </c>
      <c r="D275" s="383">
        <v>0</v>
      </c>
      <c r="E275" s="383">
        <v>126</v>
      </c>
      <c r="F275" s="383">
        <v>1379</v>
      </c>
      <c r="G275" s="383">
        <v>522</v>
      </c>
      <c r="H275" s="383">
        <v>5974</v>
      </c>
      <c r="I275" s="382">
        <v>5452</v>
      </c>
      <c r="J275" s="382">
        <v>15</v>
      </c>
      <c r="K275" s="384">
        <v>87.87</v>
      </c>
      <c r="L275" s="384">
        <v>82.59</v>
      </c>
      <c r="M275" s="384">
        <v>2.95</v>
      </c>
      <c r="N275" s="384">
        <v>90.69</v>
      </c>
      <c r="O275" s="385">
        <v>3455</v>
      </c>
      <c r="P275" s="382">
        <v>84.48</v>
      </c>
      <c r="Q275" s="382">
        <v>75.510000000000005</v>
      </c>
      <c r="R275" s="382">
        <v>8.19</v>
      </c>
      <c r="S275" s="382">
        <v>92.48</v>
      </c>
      <c r="T275" s="382">
        <v>1253</v>
      </c>
      <c r="U275" s="382">
        <v>126.24</v>
      </c>
      <c r="V275" s="382">
        <v>447</v>
      </c>
      <c r="W275" s="382">
        <v>0</v>
      </c>
      <c r="X275" s="382">
        <v>0</v>
      </c>
      <c r="Y275" s="382">
        <v>0</v>
      </c>
      <c r="Z275" s="382">
        <v>16</v>
      </c>
      <c r="AA275" s="382">
        <v>0</v>
      </c>
      <c r="AB275" s="382">
        <v>28</v>
      </c>
      <c r="AC275" s="382">
        <v>6</v>
      </c>
      <c r="AD275" s="386">
        <v>3903</v>
      </c>
      <c r="AE275" s="386">
        <v>21</v>
      </c>
      <c r="AF275" s="386">
        <v>16</v>
      </c>
      <c r="AG275" s="386">
        <v>37</v>
      </c>
    </row>
    <row r="276" spans="1:33" x14ac:dyDescent="0.25">
      <c r="A276" s="381" t="s">
        <v>610</v>
      </c>
      <c r="B276" s="387" t="s">
        <v>611</v>
      </c>
      <c r="C276" s="383">
        <v>11402</v>
      </c>
      <c r="D276" s="383">
        <v>0</v>
      </c>
      <c r="E276" s="383">
        <v>237</v>
      </c>
      <c r="F276" s="383">
        <v>1820</v>
      </c>
      <c r="G276" s="383">
        <v>343</v>
      </c>
      <c r="H276" s="383">
        <v>13802</v>
      </c>
      <c r="I276" s="382">
        <v>13459</v>
      </c>
      <c r="J276" s="382">
        <v>4</v>
      </c>
      <c r="K276" s="384">
        <v>89.64</v>
      </c>
      <c r="L276" s="384">
        <v>89.61</v>
      </c>
      <c r="M276" s="384">
        <v>6.03</v>
      </c>
      <c r="N276" s="384">
        <v>91.93</v>
      </c>
      <c r="O276" s="385">
        <v>10827</v>
      </c>
      <c r="P276" s="382">
        <v>90.83</v>
      </c>
      <c r="Q276" s="382">
        <v>83.78</v>
      </c>
      <c r="R276" s="382">
        <v>80.02</v>
      </c>
      <c r="S276" s="382">
        <v>168.29</v>
      </c>
      <c r="T276" s="382">
        <v>1938</v>
      </c>
      <c r="U276" s="382">
        <v>108.68</v>
      </c>
      <c r="V276" s="382">
        <v>457</v>
      </c>
      <c r="W276" s="382">
        <v>180.35</v>
      </c>
      <c r="X276" s="382">
        <v>28</v>
      </c>
      <c r="Y276" s="382">
        <v>0</v>
      </c>
      <c r="Z276" s="382">
        <v>39</v>
      </c>
      <c r="AA276" s="382">
        <v>212</v>
      </c>
      <c r="AB276" s="382">
        <v>29</v>
      </c>
      <c r="AC276" s="382">
        <v>3</v>
      </c>
      <c r="AD276" s="386">
        <v>11362</v>
      </c>
      <c r="AE276" s="386">
        <v>40</v>
      </c>
      <c r="AF276" s="386">
        <v>320</v>
      </c>
      <c r="AG276" s="386">
        <v>360</v>
      </c>
    </row>
    <row r="277" spans="1:33" x14ac:dyDescent="0.25">
      <c r="A277" s="381" t="s">
        <v>612</v>
      </c>
      <c r="B277" s="387" t="s">
        <v>613</v>
      </c>
      <c r="C277" s="383">
        <v>1879</v>
      </c>
      <c r="D277" s="383">
        <v>0</v>
      </c>
      <c r="E277" s="383">
        <v>237</v>
      </c>
      <c r="F277" s="383">
        <v>554</v>
      </c>
      <c r="G277" s="383">
        <v>74</v>
      </c>
      <c r="H277" s="383">
        <v>2744</v>
      </c>
      <c r="I277" s="382">
        <v>2670</v>
      </c>
      <c r="J277" s="382">
        <v>0</v>
      </c>
      <c r="K277" s="384">
        <v>99.63</v>
      </c>
      <c r="L277" s="384">
        <v>97.7</v>
      </c>
      <c r="M277" s="384">
        <v>3.58</v>
      </c>
      <c r="N277" s="384">
        <v>102.42</v>
      </c>
      <c r="O277" s="385">
        <v>1717</v>
      </c>
      <c r="P277" s="382">
        <v>85.38</v>
      </c>
      <c r="Q277" s="382">
        <v>82.06</v>
      </c>
      <c r="R277" s="382">
        <v>32.65</v>
      </c>
      <c r="S277" s="382">
        <v>117.47</v>
      </c>
      <c r="T277" s="382">
        <v>757</v>
      </c>
      <c r="U277" s="382">
        <v>122.89</v>
      </c>
      <c r="V277" s="382">
        <v>102</v>
      </c>
      <c r="W277" s="382">
        <v>0</v>
      </c>
      <c r="X277" s="382">
        <v>0</v>
      </c>
      <c r="Y277" s="382">
        <v>0</v>
      </c>
      <c r="Z277" s="382">
        <v>2</v>
      </c>
      <c r="AA277" s="382">
        <v>2</v>
      </c>
      <c r="AB277" s="382">
        <v>2</v>
      </c>
      <c r="AC277" s="382">
        <v>1</v>
      </c>
      <c r="AD277" s="386">
        <v>1867</v>
      </c>
      <c r="AE277" s="386">
        <v>7</v>
      </c>
      <c r="AF277" s="386">
        <v>0</v>
      </c>
      <c r="AG277" s="386">
        <v>7</v>
      </c>
    </row>
    <row r="278" spans="1:33" x14ac:dyDescent="0.25">
      <c r="A278" s="381" t="s">
        <v>614</v>
      </c>
      <c r="B278" s="387" t="s">
        <v>615</v>
      </c>
      <c r="C278" s="383">
        <v>6750</v>
      </c>
      <c r="D278" s="383">
        <v>0</v>
      </c>
      <c r="E278" s="383">
        <v>221</v>
      </c>
      <c r="F278" s="383">
        <v>480</v>
      </c>
      <c r="G278" s="383">
        <v>532</v>
      </c>
      <c r="H278" s="383">
        <v>7983</v>
      </c>
      <c r="I278" s="382">
        <v>7451</v>
      </c>
      <c r="J278" s="382">
        <v>0</v>
      </c>
      <c r="K278" s="384">
        <v>106.81</v>
      </c>
      <c r="L278" s="384">
        <v>108.08</v>
      </c>
      <c r="M278" s="384">
        <v>2.4500000000000002</v>
      </c>
      <c r="N278" s="384">
        <v>108.89</v>
      </c>
      <c r="O278" s="385">
        <v>6027</v>
      </c>
      <c r="P278" s="382">
        <v>90.12</v>
      </c>
      <c r="Q278" s="382">
        <v>89.15</v>
      </c>
      <c r="R278" s="382">
        <v>31.59</v>
      </c>
      <c r="S278" s="382">
        <v>121.65</v>
      </c>
      <c r="T278" s="382">
        <v>594</v>
      </c>
      <c r="U278" s="382">
        <v>134.33000000000001</v>
      </c>
      <c r="V278" s="382">
        <v>427</v>
      </c>
      <c r="W278" s="382">
        <v>121.68</v>
      </c>
      <c r="X278" s="382">
        <v>1</v>
      </c>
      <c r="Y278" s="382">
        <v>12</v>
      </c>
      <c r="Z278" s="382">
        <v>6</v>
      </c>
      <c r="AA278" s="382">
        <v>1</v>
      </c>
      <c r="AB278" s="382">
        <v>63</v>
      </c>
      <c r="AC278" s="382">
        <v>6</v>
      </c>
      <c r="AD278" s="386">
        <v>6539</v>
      </c>
      <c r="AE278" s="386">
        <v>21</v>
      </c>
      <c r="AF278" s="386">
        <v>27</v>
      </c>
      <c r="AG278" s="386">
        <v>48</v>
      </c>
    </row>
    <row r="279" spans="1:33" x14ac:dyDescent="0.25">
      <c r="A279" s="381" t="s">
        <v>616</v>
      </c>
      <c r="B279" s="387" t="s">
        <v>617</v>
      </c>
      <c r="C279" s="383">
        <v>4012</v>
      </c>
      <c r="D279" s="383">
        <v>0</v>
      </c>
      <c r="E279" s="383">
        <v>53</v>
      </c>
      <c r="F279" s="383">
        <v>558</v>
      </c>
      <c r="G279" s="383">
        <v>405</v>
      </c>
      <c r="H279" s="383">
        <v>5028</v>
      </c>
      <c r="I279" s="382">
        <v>4623</v>
      </c>
      <c r="J279" s="382">
        <v>137</v>
      </c>
      <c r="K279" s="384">
        <v>94.98</v>
      </c>
      <c r="L279" s="384">
        <v>94.62</v>
      </c>
      <c r="M279" s="384">
        <v>3.73</v>
      </c>
      <c r="N279" s="384">
        <v>97.16</v>
      </c>
      <c r="O279" s="385">
        <v>3819</v>
      </c>
      <c r="P279" s="382">
        <v>83.73</v>
      </c>
      <c r="Q279" s="382">
        <v>83.36</v>
      </c>
      <c r="R279" s="382">
        <v>27.38</v>
      </c>
      <c r="S279" s="382">
        <v>110.3</v>
      </c>
      <c r="T279" s="382">
        <v>607</v>
      </c>
      <c r="U279" s="382">
        <v>128.93</v>
      </c>
      <c r="V279" s="382">
        <v>181</v>
      </c>
      <c r="W279" s="382">
        <v>119.04</v>
      </c>
      <c r="X279" s="382">
        <v>4</v>
      </c>
      <c r="Y279" s="382">
        <v>0</v>
      </c>
      <c r="Z279" s="382">
        <v>9</v>
      </c>
      <c r="AA279" s="382">
        <v>0</v>
      </c>
      <c r="AB279" s="382">
        <v>32</v>
      </c>
      <c r="AC279" s="382">
        <v>4</v>
      </c>
      <c r="AD279" s="386">
        <v>4009</v>
      </c>
      <c r="AE279" s="386">
        <v>42</v>
      </c>
      <c r="AF279" s="386">
        <v>15</v>
      </c>
      <c r="AG279" s="386">
        <v>57</v>
      </c>
    </row>
    <row r="280" spans="1:33" x14ac:dyDescent="0.25">
      <c r="A280" s="381" t="s">
        <v>618</v>
      </c>
      <c r="B280" s="387" t="s">
        <v>619</v>
      </c>
      <c r="C280" s="383">
        <v>4068</v>
      </c>
      <c r="D280" s="383">
        <v>0</v>
      </c>
      <c r="E280" s="383">
        <v>75</v>
      </c>
      <c r="F280" s="383">
        <v>683</v>
      </c>
      <c r="G280" s="383">
        <v>113</v>
      </c>
      <c r="H280" s="383">
        <v>4939</v>
      </c>
      <c r="I280" s="382">
        <v>4826</v>
      </c>
      <c r="J280" s="382">
        <v>0</v>
      </c>
      <c r="K280" s="384">
        <v>93.2</v>
      </c>
      <c r="L280" s="384">
        <v>89.95</v>
      </c>
      <c r="M280" s="384">
        <v>6.69</v>
      </c>
      <c r="N280" s="384">
        <v>97.95</v>
      </c>
      <c r="O280" s="385">
        <v>3780</v>
      </c>
      <c r="P280" s="382">
        <v>82.03</v>
      </c>
      <c r="Q280" s="382">
        <v>78.91</v>
      </c>
      <c r="R280" s="382">
        <v>34.69</v>
      </c>
      <c r="S280" s="382">
        <v>115.79</v>
      </c>
      <c r="T280" s="382">
        <v>740</v>
      </c>
      <c r="U280" s="382">
        <v>117</v>
      </c>
      <c r="V280" s="382">
        <v>154</v>
      </c>
      <c r="W280" s="382">
        <v>0</v>
      </c>
      <c r="X280" s="382">
        <v>0</v>
      </c>
      <c r="Y280" s="382">
        <v>0</v>
      </c>
      <c r="Z280" s="382">
        <v>5</v>
      </c>
      <c r="AA280" s="382">
        <v>22</v>
      </c>
      <c r="AB280" s="382">
        <v>4</v>
      </c>
      <c r="AC280" s="382">
        <v>3</v>
      </c>
      <c r="AD280" s="386">
        <v>4068</v>
      </c>
      <c r="AE280" s="386">
        <v>33</v>
      </c>
      <c r="AF280" s="386">
        <v>13</v>
      </c>
      <c r="AG280" s="386">
        <v>46</v>
      </c>
    </row>
    <row r="281" spans="1:33" x14ac:dyDescent="0.25">
      <c r="A281" s="381" t="s">
        <v>620</v>
      </c>
      <c r="B281" s="387" t="s">
        <v>621</v>
      </c>
      <c r="C281" s="383">
        <v>4565</v>
      </c>
      <c r="D281" s="383">
        <v>24</v>
      </c>
      <c r="E281" s="383">
        <v>89</v>
      </c>
      <c r="F281" s="383">
        <v>899</v>
      </c>
      <c r="G281" s="383">
        <v>189</v>
      </c>
      <c r="H281" s="383">
        <v>5766</v>
      </c>
      <c r="I281" s="382">
        <v>5577</v>
      </c>
      <c r="J281" s="382">
        <v>2</v>
      </c>
      <c r="K281" s="384">
        <v>113.8</v>
      </c>
      <c r="L281" s="384">
        <v>120.44</v>
      </c>
      <c r="M281" s="384">
        <v>5.78</v>
      </c>
      <c r="N281" s="384">
        <v>116.37</v>
      </c>
      <c r="O281" s="385">
        <v>4438</v>
      </c>
      <c r="P281" s="382">
        <v>98.34</v>
      </c>
      <c r="Q281" s="382">
        <v>99.03</v>
      </c>
      <c r="R281" s="382">
        <v>18.32</v>
      </c>
      <c r="S281" s="382">
        <v>115.81</v>
      </c>
      <c r="T281" s="382">
        <v>929</v>
      </c>
      <c r="U281" s="382">
        <v>156.33000000000001</v>
      </c>
      <c r="V281" s="382">
        <v>105</v>
      </c>
      <c r="W281" s="382">
        <v>0</v>
      </c>
      <c r="X281" s="382">
        <v>0</v>
      </c>
      <c r="Y281" s="382">
        <v>0</v>
      </c>
      <c r="Z281" s="382">
        <v>34</v>
      </c>
      <c r="AA281" s="382">
        <v>1</v>
      </c>
      <c r="AB281" s="382">
        <v>7</v>
      </c>
      <c r="AC281" s="382">
        <v>3</v>
      </c>
      <c r="AD281" s="386">
        <v>4555</v>
      </c>
      <c r="AE281" s="386">
        <v>48</v>
      </c>
      <c r="AF281" s="386">
        <v>31</v>
      </c>
      <c r="AG281" s="386">
        <v>79</v>
      </c>
    </row>
    <row r="282" spans="1:33" x14ac:dyDescent="0.25">
      <c r="A282" s="381" t="s">
        <v>622</v>
      </c>
      <c r="B282" s="387" t="s">
        <v>623</v>
      </c>
      <c r="C282" s="383">
        <v>1478</v>
      </c>
      <c r="D282" s="383">
        <v>0</v>
      </c>
      <c r="E282" s="383">
        <v>68</v>
      </c>
      <c r="F282" s="383">
        <v>91</v>
      </c>
      <c r="G282" s="383">
        <v>260</v>
      </c>
      <c r="H282" s="383">
        <v>1897</v>
      </c>
      <c r="I282" s="382">
        <v>1637</v>
      </c>
      <c r="J282" s="382">
        <v>15</v>
      </c>
      <c r="K282" s="384">
        <v>103.27</v>
      </c>
      <c r="L282" s="384">
        <v>103.84</v>
      </c>
      <c r="M282" s="384">
        <v>7.37</v>
      </c>
      <c r="N282" s="384">
        <v>108.36</v>
      </c>
      <c r="O282" s="385">
        <v>1252</v>
      </c>
      <c r="P282" s="382">
        <v>106.57</v>
      </c>
      <c r="Q282" s="382">
        <v>104.31</v>
      </c>
      <c r="R282" s="382">
        <v>49.08</v>
      </c>
      <c r="S282" s="382">
        <v>155.65</v>
      </c>
      <c r="T282" s="382">
        <v>128</v>
      </c>
      <c r="U282" s="382">
        <v>146.83000000000001</v>
      </c>
      <c r="V282" s="382">
        <v>156</v>
      </c>
      <c r="W282" s="382">
        <v>0</v>
      </c>
      <c r="X282" s="382">
        <v>0</v>
      </c>
      <c r="Y282" s="382">
        <v>0</v>
      </c>
      <c r="Z282" s="382">
        <v>1</v>
      </c>
      <c r="AA282" s="382">
        <v>1</v>
      </c>
      <c r="AB282" s="382">
        <v>15</v>
      </c>
      <c r="AC282" s="382">
        <v>22</v>
      </c>
      <c r="AD282" s="386">
        <v>1460</v>
      </c>
      <c r="AE282" s="386">
        <v>10</v>
      </c>
      <c r="AF282" s="386">
        <v>0</v>
      </c>
      <c r="AG282" s="386">
        <v>10</v>
      </c>
    </row>
    <row r="283" spans="1:33" x14ac:dyDescent="0.25">
      <c r="A283" s="381" t="s">
        <v>624</v>
      </c>
      <c r="B283" s="387" t="s">
        <v>625</v>
      </c>
      <c r="C283" s="383">
        <v>7501</v>
      </c>
      <c r="D283" s="383">
        <v>13</v>
      </c>
      <c r="E283" s="383">
        <v>45</v>
      </c>
      <c r="F283" s="383">
        <v>516</v>
      </c>
      <c r="G283" s="383">
        <v>808</v>
      </c>
      <c r="H283" s="383">
        <v>8883</v>
      </c>
      <c r="I283" s="382">
        <v>8075</v>
      </c>
      <c r="J283" s="382">
        <v>9</v>
      </c>
      <c r="K283" s="384">
        <v>113.5</v>
      </c>
      <c r="L283" s="384">
        <v>114.34</v>
      </c>
      <c r="M283" s="384">
        <v>5.68</v>
      </c>
      <c r="N283" s="384">
        <v>114.31</v>
      </c>
      <c r="O283" s="385">
        <v>6619</v>
      </c>
      <c r="P283" s="382">
        <v>90.37</v>
      </c>
      <c r="Q283" s="382">
        <v>91.06</v>
      </c>
      <c r="R283" s="382">
        <v>21.78</v>
      </c>
      <c r="S283" s="382">
        <v>111.41</v>
      </c>
      <c r="T283" s="382">
        <v>527</v>
      </c>
      <c r="U283" s="382">
        <v>136.86000000000001</v>
      </c>
      <c r="V283" s="382">
        <v>773</v>
      </c>
      <c r="W283" s="382">
        <v>0</v>
      </c>
      <c r="X283" s="382">
        <v>0</v>
      </c>
      <c r="Y283" s="382">
        <v>0</v>
      </c>
      <c r="Z283" s="382">
        <v>5</v>
      </c>
      <c r="AA283" s="382">
        <v>0</v>
      </c>
      <c r="AB283" s="382">
        <v>24</v>
      </c>
      <c r="AC283" s="382">
        <v>11</v>
      </c>
      <c r="AD283" s="386">
        <v>7493</v>
      </c>
      <c r="AE283" s="386">
        <v>33</v>
      </c>
      <c r="AF283" s="386">
        <v>61</v>
      </c>
      <c r="AG283" s="386">
        <v>94</v>
      </c>
    </row>
    <row r="284" spans="1:33" x14ac:dyDescent="0.25">
      <c r="A284" s="381" t="s">
        <v>626</v>
      </c>
      <c r="B284" s="387" t="s">
        <v>627</v>
      </c>
      <c r="C284" s="383">
        <v>4094</v>
      </c>
      <c r="D284" s="383">
        <v>54</v>
      </c>
      <c r="E284" s="383">
        <v>275</v>
      </c>
      <c r="F284" s="383">
        <v>977</v>
      </c>
      <c r="G284" s="383">
        <v>505</v>
      </c>
      <c r="H284" s="383">
        <v>5905</v>
      </c>
      <c r="I284" s="382">
        <v>5400</v>
      </c>
      <c r="J284" s="382">
        <v>15</v>
      </c>
      <c r="K284" s="384">
        <v>88.16</v>
      </c>
      <c r="L284" s="384">
        <v>90.93</v>
      </c>
      <c r="M284" s="384">
        <v>5.44</v>
      </c>
      <c r="N284" s="384">
        <v>92.8</v>
      </c>
      <c r="O284" s="385">
        <v>3796</v>
      </c>
      <c r="P284" s="382">
        <v>79.22</v>
      </c>
      <c r="Q284" s="382">
        <v>80.42</v>
      </c>
      <c r="R284" s="382">
        <v>27.94</v>
      </c>
      <c r="S284" s="382">
        <v>106.29</v>
      </c>
      <c r="T284" s="382">
        <v>931</v>
      </c>
      <c r="U284" s="382">
        <v>110.47</v>
      </c>
      <c r="V284" s="382">
        <v>337</v>
      </c>
      <c r="W284" s="382">
        <v>0</v>
      </c>
      <c r="X284" s="382">
        <v>0</v>
      </c>
      <c r="Y284" s="382">
        <v>0</v>
      </c>
      <c r="Z284" s="382">
        <v>8</v>
      </c>
      <c r="AA284" s="382">
        <v>5</v>
      </c>
      <c r="AB284" s="382">
        <v>0</v>
      </c>
      <c r="AC284" s="382">
        <v>14</v>
      </c>
      <c r="AD284" s="386">
        <v>4094</v>
      </c>
      <c r="AE284" s="386">
        <v>24</v>
      </c>
      <c r="AF284" s="386">
        <v>21</v>
      </c>
      <c r="AG284" s="386">
        <v>45</v>
      </c>
    </row>
    <row r="285" spans="1:33" x14ac:dyDescent="0.25">
      <c r="A285" s="381" t="s">
        <v>628</v>
      </c>
      <c r="B285" s="387" t="s">
        <v>629</v>
      </c>
      <c r="C285" s="383">
        <v>2272</v>
      </c>
      <c r="D285" s="383">
        <v>0</v>
      </c>
      <c r="E285" s="383">
        <v>13</v>
      </c>
      <c r="F285" s="383">
        <v>419</v>
      </c>
      <c r="G285" s="383">
        <v>177</v>
      </c>
      <c r="H285" s="383">
        <v>2881</v>
      </c>
      <c r="I285" s="382">
        <v>2704</v>
      </c>
      <c r="J285" s="382">
        <v>84</v>
      </c>
      <c r="K285" s="384">
        <v>83.03</v>
      </c>
      <c r="L285" s="384">
        <v>81.83</v>
      </c>
      <c r="M285" s="384">
        <v>2.93</v>
      </c>
      <c r="N285" s="384">
        <v>84.4</v>
      </c>
      <c r="O285" s="385">
        <v>2190</v>
      </c>
      <c r="P285" s="382">
        <v>70.319999999999993</v>
      </c>
      <c r="Q285" s="382">
        <v>69.34</v>
      </c>
      <c r="R285" s="382">
        <v>24.81</v>
      </c>
      <c r="S285" s="382">
        <v>88.65</v>
      </c>
      <c r="T285" s="382">
        <v>402</v>
      </c>
      <c r="U285" s="382">
        <v>106.47</v>
      </c>
      <c r="V285" s="382">
        <v>77</v>
      </c>
      <c r="W285" s="382">
        <v>138.05000000000001</v>
      </c>
      <c r="X285" s="382">
        <v>10</v>
      </c>
      <c r="Y285" s="382">
        <v>0</v>
      </c>
      <c r="Z285" s="382">
        <v>7</v>
      </c>
      <c r="AA285" s="382">
        <v>0</v>
      </c>
      <c r="AB285" s="382">
        <v>2</v>
      </c>
      <c r="AC285" s="382">
        <v>6</v>
      </c>
      <c r="AD285" s="386">
        <v>2264</v>
      </c>
      <c r="AE285" s="386">
        <v>11</v>
      </c>
      <c r="AF285" s="386">
        <v>17</v>
      </c>
      <c r="AG285" s="386">
        <v>28</v>
      </c>
    </row>
    <row r="286" spans="1:33" x14ac:dyDescent="0.25">
      <c r="A286" s="381" t="s">
        <v>630</v>
      </c>
      <c r="B286" s="387" t="s">
        <v>631</v>
      </c>
      <c r="C286" s="383">
        <v>28253</v>
      </c>
      <c r="D286" s="383">
        <v>18</v>
      </c>
      <c r="E286" s="383">
        <v>1522</v>
      </c>
      <c r="F286" s="383">
        <v>1012</v>
      </c>
      <c r="G286" s="383">
        <v>2679</v>
      </c>
      <c r="H286" s="383">
        <v>33484</v>
      </c>
      <c r="I286" s="382">
        <v>30805</v>
      </c>
      <c r="J286" s="382">
        <v>109</v>
      </c>
      <c r="K286" s="384">
        <v>122.76</v>
      </c>
      <c r="L286" s="384">
        <v>130.08000000000001</v>
      </c>
      <c r="M286" s="384">
        <v>13.18</v>
      </c>
      <c r="N286" s="384">
        <v>135.09</v>
      </c>
      <c r="O286" s="385">
        <v>25789</v>
      </c>
      <c r="P286" s="382">
        <v>109.95</v>
      </c>
      <c r="Q286" s="382">
        <v>108.35</v>
      </c>
      <c r="R286" s="382">
        <v>51.69</v>
      </c>
      <c r="S286" s="382">
        <v>159.74</v>
      </c>
      <c r="T286" s="382">
        <v>2115</v>
      </c>
      <c r="U286" s="382">
        <v>185.18</v>
      </c>
      <c r="V286" s="382">
        <v>792</v>
      </c>
      <c r="W286" s="382">
        <v>180.44</v>
      </c>
      <c r="X286" s="382">
        <v>87</v>
      </c>
      <c r="Y286" s="382">
        <v>0</v>
      </c>
      <c r="Z286" s="382">
        <v>157</v>
      </c>
      <c r="AA286" s="382">
        <v>13</v>
      </c>
      <c r="AB286" s="382">
        <v>156</v>
      </c>
      <c r="AC286" s="382">
        <v>174</v>
      </c>
      <c r="AD286" s="386">
        <v>27108</v>
      </c>
      <c r="AE286" s="386">
        <v>97</v>
      </c>
      <c r="AF286" s="386">
        <v>291</v>
      </c>
      <c r="AG286" s="386">
        <v>388</v>
      </c>
    </row>
    <row r="287" spans="1:33" x14ac:dyDescent="0.25">
      <c r="A287" s="381" t="s">
        <v>632</v>
      </c>
      <c r="B287" s="387" t="s">
        <v>633</v>
      </c>
      <c r="C287" s="383">
        <v>11850</v>
      </c>
      <c r="D287" s="383">
        <v>4</v>
      </c>
      <c r="E287" s="383">
        <v>380</v>
      </c>
      <c r="F287" s="383">
        <v>3327</v>
      </c>
      <c r="G287" s="383">
        <v>588</v>
      </c>
      <c r="H287" s="383">
        <v>16149</v>
      </c>
      <c r="I287" s="382">
        <v>15561</v>
      </c>
      <c r="J287" s="382">
        <v>43</v>
      </c>
      <c r="K287" s="384">
        <v>88.13</v>
      </c>
      <c r="L287" s="384">
        <v>89.91</v>
      </c>
      <c r="M287" s="384">
        <v>4.88</v>
      </c>
      <c r="N287" s="384">
        <v>91.2</v>
      </c>
      <c r="O287" s="385">
        <v>10369</v>
      </c>
      <c r="P287" s="382">
        <v>84.5</v>
      </c>
      <c r="Q287" s="382">
        <v>84.97</v>
      </c>
      <c r="R287" s="382">
        <v>19.84</v>
      </c>
      <c r="S287" s="382">
        <v>104.14</v>
      </c>
      <c r="T287" s="382">
        <v>3595</v>
      </c>
      <c r="U287" s="382">
        <v>119.55</v>
      </c>
      <c r="V287" s="382">
        <v>1298</v>
      </c>
      <c r="W287" s="382">
        <v>168.67</v>
      </c>
      <c r="X287" s="382">
        <v>67</v>
      </c>
      <c r="Y287" s="382">
        <v>71</v>
      </c>
      <c r="Z287" s="382">
        <v>64</v>
      </c>
      <c r="AA287" s="382">
        <v>5</v>
      </c>
      <c r="AB287" s="382">
        <v>37</v>
      </c>
      <c r="AC287" s="382">
        <v>16</v>
      </c>
      <c r="AD287" s="386">
        <v>11710</v>
      </c>
      <c r="AE287" s="386">
        <v>77</v>
      </c>
      <c r="AF287" s="386">
        <v>24</v>
      </c>
      <c r="AG287" s="386">
        <v>101</v>
      </c>
    </row>
    <row r="288" spans="1:33" x14ac:dyDescent="0.25">
      <c r="A288" s="381" t="s">
        <v>634</v>
      </c>
      <c r="B288" s="387" t="s">
        <v>635</v>
      </c>
      <c r="C288" s="383">
        <v>6301</v>
      </c>
      <c r="D288" s="383">
        <v>0</v>
      </c>
      <c r="E288" s="383">
        <v>158</v>
      </c>
      <c r="F288" s="383">
        <v>730</v>
      </c>
      <c r="G288" s="383">
        <v>344</v>
      </c>
      <c r="H288" s="383">
        <v>7533</v>
      </c>
      <c r="I288" s="382">
        <v>7189</v>
      </c>
      <c r="J288" s="382">
        <v>0</v>
      </c>
      <c r="K288" s="384">
        <v>110.62</v>
      </c>
      <c r="L288" s="384">
        <v>110.55</v>
      </c>
      <c r="M288" s="384">
        <v>3.75</v>
      </c>
      <c r="N288" s="384">
        <v>113.64</v>
      </c>
      <c r="O288" s="385">
        <v>5697</v>
      </c>
      <c r="P288" s="382">
        <v>87.64</v>
      </c>
      <c r="Q288" s="382">
        <v>86.23</v>
      </c>
      <c r="R288" s="382">
        <v>20.52</v>
      </c>
      <c r="S288" s="382">
        <v>107.28</v>
      </c>
      <c r="T288" s="382">
        <v>683</v>
      </c>
      <c r="U288" s="382">
        <v>150.41999999999999</v>
      </c>
      <c r="V288" s="382">
        <v>427</v>
      </c>
      <c r="W288" s="382">
        <v>137.97999999999999</v>
      </c>
      <c r="X288" s="382">
        <v>2</v>
      </c>
      <c r="Y288" s="382">
        <v>0</v>
      </c>
      <c r="Z288" s="382">
        <v>5</v>
      </c>
      <c r="AA288" s="382">
        <v>0</v>
      </c>
      <c r="AB288" s="382">
        <v>22</v>
      </c>
      <c r="AC288" s="382">
        <v>4</v>
      </c>
      <c r="AD288" s="386">
        <v>6148</v>
      </c>
      <c r="AE288" s="386">
        <v>40</v>
      </c>
      <c r="AF288" s="386">
        <v>15</v>
      </c>
      <c r="AG288" s="386">
        <v>55</v>
      </c>
    </row>
    <row r="289" spans="1:33" x14ac:dyDescent="0.25">
      <c r="A289" s="381" t="s">
        <v>636</v>
      </c>
      <c r="B289" s="387" t="s">
        <v>637</v>
      </c>
      <c r="C289" s="383">
        <v>1276</v>
      </c>
      <c r="D289" s="383">
        <v>2</v>
      </c>
      <c r="E289" s="383">
        <v>51</v>
      </c>
      <c r="F289" s="383">
        <v>203</v>
      </c>
      <c r="G289" s="383">
        <v>327</v>
      </c>
      <c r="H289" s="383">
        <v>1859</v>
      </c>
      <c r="I289" s="382">
        <v>1532</v>
      </c>
      <c r="J289" s="382">
        <v>9</v>
      </c>
      <c r="K289" s="384">
        <v>108.24</v>
      </c>
      <c r="L289" s="384">
        <v>108.23</v>
      </c>
      <c r="M289" s="384">
        <v>5.66</v>
      </c>
      <c r="N289" s="384">
        <v>112.43</v>
      </c>
      <c r="O289" s="385">
        <v>1059</v>
      </c>
      <c r="P289" s="382">
        <v>93.39</v>
      </c>
      <c r="Q289" s="382">
        <v>92.17</v>
      </c>
      <c r="R289" s="382">
        <v>53.39</v>
      </c>
      <c r="S289" s="382">
        <v>146.13999999999999</v>
      </c>
      <c r="T289" s="382">
        <v>250</v>
      </c>
      <c r="U289" s="382">
        <v>146.69999999999999</v>
      </c>
      <c r="V289" s="382">
        <v>193</v>
      </c>
      <c r="W289" s="382">
        <v>0</v>
      </c>
      <c r="X289" s="382">
        <v>0</v>
      </c>
      <c r="Y289" s="382">
        <v>0</v>
      </c>
      <c r="Z289" s="382">
        <v>0</v>
      </c>
      <c r="AA289" s="382">
        <v>2</v>
      </c>
      <c r="AB289" s="382">
        <v>26</v>
      </c>
      <c r="AC289" s="382">
        <v>17</v>
      </c>
      <c r="AD289" s="386">
        <v>1267</v>
      </c>
      <c r="AE289" s="386">
        <v>5</v>
      </c>
      <c r="AF289" s="386">
        <v>5</v>
      </c>
      <c r="AG289" s="386">
        <v>10</v>
      </c>
    </row>
    <row r="290" spans="1:33" x14ac:dyDescent="0.25">
      <c r="A290" s="381" t="s">
        <v>638</v>
      </c>
      <c r="B290" s="387" t="s">
        <v>639</v>
      </c>
      <c r="C290" s="383">
        <v>5608</v>
      </c>
      <c r="D290" s="383">
        <v>0</v>
      </c>
      <c r="E290" s="383">
        <v>142</v>
      </c>
      <c r="F290" s="383">
        <v>973</v>
      </c>
      <c r="G290" s="383">
        <v>475</v>
      </c>
      <c r="H290" s="383">
        <v>7198</v>
      </c>
      <c r="I290" s="382">
        <v>6723</v>
      </c>
      <c r="J290" s="382">
        <v>1</v>
      </c>
      <c r="K290" s="384">
        <v>108.91</v>
      </c>
      <c r="L290" s="384">
        <v>119.66</v>
      </c>
      <c r="M290" s="384">
        <v>5.21</v>
      </c>
      <c r="N290" s="384">
        <v>109.67</v>
      </c>
      <c r="O290" s="385">
        <v>5022</v>
      </c>
      <c r="P290" s="382">
        <v>95.68</v>
      </c>
      <c r="Q290" s="382">
        <v>95.89</v>
      </c>
      <c r="R290" s="382">
        <v>25.62</v>
      </c>
      <c r="S290" s="382">
        <v>108.43</v>
      </c>
      <c r="T290" s="382">
        <v>1093</v>
      </c>
      <c r="U290" s="382">
        <v>149.86000000000001</v>
      </c>
      <c r="V290" s="382">
        <v>328</v>
      </c>
      <c r="W290" s="382">
        <v>0</v>
      </c>
      <c r="X290" s="382">
        <v>0</v>
      </c>
      <c r="Y290" s="382">
        <v>0</v>
      </c>
      <c r="Z290" s="382">
        <v>5</v>
      </c>
      <c r="AA290" s="382">
        <v>2</v>
      </c>
      <c r="AB290" s="382">
        <v>44</v>
      </c>
      <c r="AC290" s="382">
        <v>16</v>
      </c>
      <c r="AD290" s="386">
        <v>5550</v>
      </c>
      <c r="AE290" s="386">
        <v>41</v>
      </c>
      <c r="AF290" s="386">
        <v>6</v>
      </c>
      <c r="AG290" s="386">
        <v>47</v>
      </c>
    </row>
    <row r="291" spans="1:33" x14ac:dyDescent="0.25">
      <c r="A291" s="381" t="s">
        <v>640</v>
      </c>
      <c r="B291" s="387" t="s">
        <v>641</v>
      </c>
      <c r="C291" s="383">
        <v>32158</v>
      </c>
      <c r="D291" s="383">
        <v>0</v>
      </c>
      <c r="E291" s="383">
        <v>482</v>
      </c>
      <c r="F291" s="383">
        <v>2458</v>
      </c>
      <c r="G291" s="383">
        <v>420</v>
      </c>
      <c r="H291" s="383">
        <v>35518</v>
      </c>
      <c r="I291" s="382">
        <v>35098</v>
      </c>
      <c r="J291" s="382">
        <v>20</v>
      </c>
      <c r="K291" s="384">
        <v>82.81</v>
      </c>
      <c r="L291" s="384">
        <v>83.49</v>
      </c>
      <c r="M291" s="384">
        <v>5.92</v>
      </c>
      <c r="N291" s="384">
        <v>83.53</v>
      </c>
      <c r="O291" s="385">
        <v>30633</v>
      </c>
      <c r="P291" s="382">
        <v>77.61</v>
      </c>
      <c r="Q291" s="382">
        <v>76.91</v>
      </c>
      <c r="R291" s="382">
        <v>29.98</v>
      </c>
      <c r="S291" s="382">
        <v>105.23</v>
      </c>
      <c r="T291" s="382">
        <v>2802</v>
      </c>
      <c r="U291" s="382">
        <v>97.97</v>
      </c>
      <c r="V291" s="382">
        <v>1115</v>
      </c>
      <c r="W291" s="382">
        <v>93.11</v>
      </c>
      <c r="X291" s="382">
        <v>5</v>
      </c>
      <c r="Y291" s="382">
        <v>0</v>
      </c>
      <c r="Z291" s="382">
        <v>125</v>
      </c>
      <c r="AA291" s="382">
        <v>19</v>
      </c>
      <c r="AB291" s="382">
        <v>34</v>
      </c>
      <c r="AC291" s="382">
        <v>11</v>
      </c>
      <c r="AD291" s="386">
        <v>32129</v>
      </c>
      <c r="AE291" s="386">
        <v>95</v>
      </c>
      <c r="AF291" s="386">
        <v>96</v>
      </c>
      <c r="AG291" s="386">
        <v>191</v>
      </c>
    </row>
    <row r="292" spans="1:33" x14ac:dyDescent="0.25">
      <c r="A292" s="381" t="s">
        <v>642</v>
      </c>
      <c r="B292" s="387" t="s">
        <v>643</v>
      </c>
      <c r="C292" s="383">
        <v>26797</v>
      </c>
      <c r="D292" s="383">
        <v>0</v>
      </c>
      <c r="E292" s="383">
        <v>243</v>
      </c>
      <c r="F292" s="383">
        <v>783</v>
      </c>
      <c r="G292" s="383">
        <v>598</v>
      </c>
      <c r="H292" s="383">
        <v>28421</v>
      </c>
      <c r="I292" s="382">
        <v>27823</v>
      </c>
      <c r="J292" s="382">
        <v>0</v>
      </c>
      <c r="K292" s="384">
        <v>85.41</v>
      </c>
      <c r="L292" s="384">
        <v>85.56</v>
      </c>
      <c r="M292" s="384">
        <v>7.96</v>
      </c>
      <c r="N292" s="384">
        <v>89.3</v>
      </c>
      <c r="O292" s="385">
        <v>25336</v>
      </c>
      <c r="P292" s="382">
        <v>100.3</v>
      </c>
      <c r="Q292" s="382">
        <v>99.32</v>
      </c>
      <c r="R292" s="382">
        <v>39.22</v>
      </c>
      <c r="S292" s="382">
        <v>134.55000000000001</v>
      </c>
      <c r="T292" s="382">
        <v>940</v>
      </c>
      <c r="U292" s="382">
        <v>107.08</v>
      </c>
      <c r="V292" s="382">
        <v>1133</v>
      </c>
      <c r="W292" s="382">
        <v>96.32</v>
      </c>
      <c r="X292" s="382">
        <v>18</v>
      </c>
      <c r="Y292" s="382">
        <v>0</v>
      </c>
      <c r="Z292" s="382">
        <v>111</v>
      </c>
      <c r="AA292" s="382">
        <v>25</v>
      </c>
      <c r="AB292" s="382">
        <v>0</v>
      </c>
      <c r="AC292" s="382">
        <v>9</v>
      </c>
      <c r="AD292" s="386">
        <v>26734</v>
      </c>
      <c r="AE292" s="386">
        <v>248</v>
      </c>
      <c r="AF292" s="386">
        <v>66</v>
      </c>
      <c r="AG292" s="386">
        <v>314</v>
      </c>
    </row>
    <row r="293" spans="1:33" x14ac:dyDescent="0.25">
      <c r="A293" s="381" t="s">
        <v>644</v>
      </c>
      <c r="B293" s="387" t="s">
        <v>645</v>
      </c>
      <c r="C293" s="383">
        <v>10168</v>
      </c>
      <c r="D293" s="383">
        <v>0</v>
      </c>
      <c r="E293" s="383">
        <v>904</v>
      </c>
      <c r="F293" s="383">
        <v>820</v>
      </c>
      <c r="G293" s="383">
        <v>931</v>
      </c>
      <c r="H293" s="383">
        <v>12823</v>
      </c>
      <c r="I293" s="382">
        <v>11892</v>
      </c>
      <c r="J293" s="382">
        <v>8</v>
      </c>
      <c r="K293" s="384">
        <v>120.6</v>
      </c>
      <c r="L293" s="384">
        <v>115.99</v>
      </c>
      <c r="M293" s="384">
        <v>7.7</v>
      </c>
      <c r="N293" s="384">
        <v>124.26</v>
      </c>
      <c r="O293" s="385">
        <v>8851</v>
      </c>
      <c r="P293" s="382">
        <v>97.83</v>
      </c>
      <c r="Q293" s="382">
        <v>96.2</v>
      </c>
      <c r="R293" s="382">
        <v>35.46</v>
      </c>
      <c r="S293" s="382">
        <v>129.61000000000001</v>
      </c>
      <c r="T293" s="382">
        <v>1272</v>
      </c>
      <c r="U293" s="382">
        <v>159</v>
      </c>
      <c r="V293" s="382">
        <v>776</v>
      </c>
      <c r="W293" s="382">
        <v>0</v>
      </c>
      <c r="X293" s="382">
        <v>0</v>
      </c>
      <c r="Y293" s="382">
        <v>1</v>
      </c>
      <c r="Z293" s="382">
        <v>39</v>
      </c>
      <c r="AA293" s="382">
        <v>6</v>
      </c>
      <c r="AB293" s="382">
        <v>139</v>
      </c>
      <c r="AC293" s="382">
        <v>20</v>
      </c>
      <c r="AD293" s="386">
        <v>9825</v>
      </c>
      <c r="AE293" s="386">
        <v>41</v>
      </c>
      <c r="AF293" s="386">
        <v>17</v>
      </c>
      <c r="AG293" s="386">
        <v>58</v>
      </c>
    </row>
    <row r="294" spans="1:33" x14ac:dyDescent="0.25">
      <c r="A294" s="381" t="s">
        <v>646</v>
      </c>
      <c r="B294" s="387" t="s">
        <v>647</v>
      </c>
      <c r="C294" s="383">
        <v>8434</v>
      </c>
      <c r="D294" s="383">
        <v>10</v>
      </c>
      <c r="E294" s="383">
        <v>1047</v>
      </c>
      <c r="F294" s="383">
        <v>1055</v>
      </c>
      <c r="G294" s="383">
        <v>1834</v>
      </c>
      <c r="H294" s="383">
        <v>12380</v>
      </c>
      <c r="I294" s="382">
        <v>10546</v>
      </c>
      <c r="J294" s="382">
        <v>181</v>
      </c>
      <c r="K294" s="384">
        <v>127.43</v>
      </c>
      <c r="L294" s="384">
        <v>136.72999999999999</v>
      </c>
      <c r="M294" s="384">
        <v>6.14</v>
      </c>
      <c r="N294" s="384">
        <v>130.58000000000001</v>
      </c>
      <c r="O294" s="385">
        <v>7733</v>
      </c>
      <c r="P294" s="382">
        <v>124.97</v>
      </c>
      <c r="Q294" s="382">
        <v>117.13</v>
      </c>
      <c r="R294" s="382">
        <v>35.75</v>
      </c>
      <c r="S294" s="382">
        <v>157.55000000000001</v>
      </c>
      <c r="T294" s="382">
        <v>2008</v>
      </c>
      <c r="U294" s="382">
        <v>191.04</v>
      </c>
      <c r="V294" s="382">
        <v>251</v>
      </c>
      <c r="W294" s="382">
        <v>0</v>
      </c>
      <c r="X294" s="382">
        <v>0</v>
      </c>
      <c r="Y294" s="382">
        <v>0</v>
      </c>
      <c r="Z294" s="382">
        <v>2</v>
      </c>
      <c r="AA294" s="382">
        <v>12</v>
      </c>
      <c r="AB294" s="382">
        <v>137</v>
      </c>
      <c r="AC294" s="382">
        <v>119</v>
      </c>
      <c r="AD294" s="386">
        <v>8144</v>
      </c>
      <c r="AE294" s="386">
        <v>25</v>
      </c>
      <c r="AF294" s="386">
        <v>36</v>
      </c>
      <c r="AG294" s="386">
        <v>61</v>
      </c>
    </row>
    <row r="295" spans="1:33" x14ac:dyDescent="0.25">
      <c r="A295" s="381" t="s">
        <v>648</v>
      </c>
      <c r="B295" s="387" t="s">
        <v>649</v>
      </c>
      <c r="C295" s="383">
        <v>11837</v>
      </c>
      <c r="D295" s="383">
        <v>0</v>
      </c>
      <c r="E295" s="383">
        <v>492</v>
      </c>
      <c r="F295" s="383">
        <v>2215</v>
      </c>
      <c r="G295" s="383">
        <v>666</v>
      </c>
      <c r="H295" s="383">
        <v>15210</v>
      </c>
      <c r="I295" s="382">
        <v>14544</v>
      </c>
      <c r="J295" s="382">
        <v>328</v>
      </c>
      <c r="K295" s="384">
        <v>83.62</v>
      </c>
      <c r="L295" s="384">
        <v>84.1</v>
      </c>
      <c r="M295" s="384">
        <v>6.54</v>
      </c>
      <c r="N295" s="384">
        <v>85.75</v>
      </c>
      <c r="O295" s="385">
        <v>11225</v>
      </c>
      <c r="P295" s="382">
        <v>79.17</v>
      </c>
      <c r="Q295" s="382">
        <v>78.069999999999993</v>
      </c>
      <c r="R295" s="382">
        <v>24.9</v>
      </c>
      <c r="S295" s="382">
        <v>90.82</v>
      </c>
      <c r="T295" s="382">
        <v>2666</v>
      </c>
      <c r="U295" s="382">
        <v>103.65</v>
      </c>
      <c r="V295" s="382">
        <v>533</v>
      </c>
      <c r="W295" s="382">
        <v>107.32</v>
      </c>
      <c r="X295" s="382">
        <v>3</v>
      </c>
      <c r="Y295" s="382">
        <v>0</v>
      </c>
      <c r="Z295" s="382">
        <v>55</v>
      </c>
      <c r="AA295" s="382">
        <v>2</v>
      </c>
      <c r="AB295" s="382">
        <v>30</v>
      </c>
      <c r="AC295" s="382">
        <v>15</v>
      </c>
      <c r="AD295" s="386">
        <v>11837</v>
      </c>
      <c r="AE295" s="386">
        <v>74</v>
      </c>
      <c r="AF295" s="386">
        <v>116</v>
      </c>
      <c r="AG295" s="386">
        <v>190</v>
      </c>
    </row>
    <row r="296" spans="1:33" x14ac:dyDescent="0.25">
      <c r="A296" s="381" t="s">
        <v>650</v>
      </c>
      <c r="B296" s="387" t="s">
        <v>651</v>
      </c>
      <c r="C296" s="383">
        <v>2054</v>
      </c>
      <c r="D296" s="383">
        <v>8</v>
      </c>
      <c r="E296" s="383">
        <v>152</v>
      </c>
      <c r="F296" s="383">
        <v>550</v>
      </c>
      <c r="G296" s="383">
        <v>453</v>
      </c>
      <c r="H296" s="383">
        <v>3217</v>
      </c>
      <c r="I296" s="382">
        <v>2764</v>
      </c>
      <c r="J296" s="382">
        <v>4</v>
      </c>
      <c r="K296" s="384">
        <v>101.9</v>
      </c>
      <c r="L296" s="384">
        <v>99.37</v>
      </c>
      <c r="M296" s="384">
        <v>6.77</v>
      </c>
      <c r="N296" s="384">
        <v>107.88</v>
      </c>
      <c r="O296" s="385">
        <v>1762</v>
      </c>
      <c r="P296" s="382">
        <v>92.48</v>
      </c>
      <c r="Q296" s="382">
        <v>88.85</v>
      </c>
      <c r="R296" s="382">
        <v>38.33</v>
      </c>
      <c r="S296" s="382">
        <v>130.57</v>
      </c>
      <c r="T296" s="382">
        <v>635</v>
      </c>
      <c r="U296" s="382">
        <v>127.5</v>
      </c>
      <c r="V296" s="382">
        <v>190</v>
      </c>
      <c r="W296" s="382">
        <v>169.31</v>
      </c>
      <c r="X296" s="382">
        <v>21</v>
      </c>
      <c r="Y296" s="382">
        <v>9</v>
      </c>
      <c r="Z296" s="382">
        <v>5</v>
      </c>
      <c r="AA296" s="382">
        <v>4</v>
      </c>
      <c r="AB296" s="382">
        <v>27</v>
      </c>
      <c r="AC296" s="382">
        <v>13</v>
      </c>
      <c r="AD296" s="386">
        <v>1955</v>
      </c>
      <c r="AE296" s="386">
        <v>7</v>
      </c>
      <c r="AF296" s="386">
        <v>2</v>
      </c>
      <c r="AG296" s="386">
        <v>9</v>
      </c>
    </row>
    <row r="297" spans="1:33" x14ac:dyDescent="0.25">
      <c r="A297" s="381" t="s">
        <v>652</v>
      </c>
      <c r="B297" s="387" t="s">
        <v>653</v>
      </c>
      <c r="C297" s="383">
        <v>5473</v>
      </c>
      <c r="D297" s="383">
        <v>18</v>
      </c>
      <c r="E297" s="383">
        <v>356</v>
      </c>
      <c r="F297" s="383">
        <v>626</v>
      </c>
      <c r="G297" s="383">
        <v>366</v>
      </c>
      <c r="H297" s="383">
        <v>6839</v>
      </c>
      <c r="I297" s="382">
        <v>6473</v>
      </c>
      <c r="J297" s="382">
        <v>24</v>
      </c>
      <c r="K297" s="384">
        <v>115.4</v>
      </c>
      <c r="L297" s="384">
        <v>121.2</v>
      </c>
      <c r="M297" s="384">
        <v>7.29</v>
      </c>
      <c r="N297" s="384">
        <v>118.8</v>
      </c>
      <c r="O297" s="385">
        <v>5085</v>
      </c>
      <c r="P297" s="382">
        <v>88.92</v>
      </c>
      <c r="Q297" s="382">
        <v>92.12</v>
      </c>
      <c r="R297" s="382">
        <v>25.84</v>
      </c>
      <c r="S297" s="382">
        <v>113.49</v>
      </c>
      <c r="T297" s="382">
        <v>776</v>
      </c>
      <c r="U297" s="382">
        <v>169.67</v>
      </c>
      <c r="V297" s="382">
        <v>208</v>
      </c>
      <c r="W297" s="382">
        <v>0</v>
      </c>
      <c r="X297" s="382">
        <v>0</v>
      </c>
      <c r="Y297" s="382">
        <v>0</v>
      </c>
      <c r="Z297" s="382">
        <v>24</v>
      </c>
      <c r="AA297" s="382">
        <v>2</v>
      </c>
      <c r="AB297" s="382">
        <v>12</v>
      </c>
      <c r="AC297" s="382">
        <v>12</v>
      </c>
      <c r="AD297" s="386">
        <v>5473</v>
      </c>
      <c r="AE297" s="386">
        <v>15</v>
      </c>
      <c r="AF297" s="386">
        <v>7</v>
      </c>
      <c r="AG297" s="386">
        <v>22</v>
      </c>
    </row>
    <row r="298" spans="1:33" x14ac:dyDescent="0.25">
      <c r="A298" s="381" t="s">
        <v>654</v>
      </c>
      <c r="B298" s="387" t="s">
        <v>655</v>
      </c>
      <c r="C298" s="383">
        <v>1063</v>
      </c>
      <c r="D298" s="383">
        <v>0</v>
      </c>
      <c r="E298" s="383">
        <v>126</v>
      </c>
      <c r="F298" s="383">
        <v>204</v>
      </c>
      <c r="G298" s="383">
        <v>352</v>
      </c>
      <c r="H298" s="383">
        <v>1745</v>
      </c>
      <c r="I298" s="382">
        <v>1393</v>
      </c>
      <c r="J298" s="382">
        <v>8</v>
      </c>
      <c r="K298" s="384">
        <v>118.74</v>
      </c>
      <c r="L298" s="384">
        <v>119.05</v>
      </c>
      <c r="M298" s="384">
        <v>4.75</v>
      </c>
      <c r="N298" s="384">
        <v>123.13</v>
      </c>
      <c r="O298" s="385">
        <v>903</v>
      </c>
      <c r="P298" s="382">
        <v>104.28</v>
      </c>
      <c r="Q298" s="382">
        <v>98.13</v>
      </c>
      <c r="R298" s="382">
        <v>29.38</v>
      </c>
      <c r="S298" s="382">
        <v>133.49</v>
      </c>
      <c r="T298" s="382">
        <v>175</v>
      </c>
      <c r="U298" s="382">
        <v>168.13</v>
      </c>
      <c r="V298" s="382">
        <v>82</v>
      </c>
      <c r="W298" s="382">
        <v>121.1</v>
      </c>
      <c r="X298" s="382">
        <v>3</v>
      </c>
      <c r="Y298" s="382">
        <v>0</v>
      </c>
      <c r="Z298" s="382">
        <v>0</v>
      </c>
      <c r="AA298" s="382">
        <v>0</v>
      </c>
      <c r="AB298" s="382">
        <v>16</v>
      </c>
      <c r="AC298" s="382">
        <v>1</v>
      </c>
      <c r="AD298" s="386">
        <v>987</v>
      </c>
      <c r="AE298" s="386">
        <v>4</v>
      </c>
      <c r="AF298" s="386">
        <v>5</v>
      </c>
      <c r="AG298" s="386">
        <v>9</v>
      </c>
    </row>
    <row r="299" spans="1:33" x14ac:dyDescent="0.25">
      <c r="A299" s="381" t="s">
        <v>656</v>
      </c>
      <c r="B299" s="387" t="s">
        <v>657</v>
      </c>
      <c r="C299" s="383">
        <v>1971</v>
      </c>
      <c r="D299" s="383">
        <v>0</v>
      </c>
      <c r="E299" s="383">
        <v>68</v>
      </c>
      <c r="F299" s="383">
        <v>288</v>
      </c>
      <c r="G299" s="383">
        <v>463</v>
      </c>
      <c r="H299" s="383">
        <v>2790</v>
      </c>
      <c r="I299" s="382">
        <v>2327</v>
      </c>
      <c r="J299" s="382">
        <v>0</v>
      </c>
      <c r="K299" s="384">
        <v>105.01</v>
      </c>
      <c r="L299" s="384">
        <v>102.66</v>
      </c>
      <c r="M299" s="384">
        <v>5.14</v>
      </c>
      <c r="N299" s="384">
        <v>108.92</v>
      </c>
      <c r="O299" s="385">
        <v>1488</v>
      </c>
      <c r="P299" s="382">
        <v>78.55</v>
      </c>
      <c r="Q299" s="382">
        <v>74.319999999999993</v>
      </c>
      <c r="R299" s="382">
        <v>34.69</v>
      </c>
      <c r="S299" s="382">
        <v>109.94</v>
      </c>
      <c r="T299" s="382">
        <v>221</v>
      </c>
      <c r="U299" s="382">
        <v>142.61000000000001</v>
      </c>
      <c r="V299" s="382">
        <v>461</v>
      </c>
      <c r="W299" s="382">
        <v>125.86</v>
      </c>
      <c r="X299" s="382">
        <v>10</v>
      </c>
      <c r="Y299" s="382">
        <v>0</v>
      </c>
      <c r="Z299" s="382">
        <v>0</v>
      </c>
      <c r="AA299" s="382">
        <v>4</v>
      </c>
      <c r="AB299" s="382">
        <v>27</v>
      </c>
      <c r="AC299" s="382">
        <v>5</v>
      </c>
      <c r="AD299" s="386">
        <v>1971</v>
      </c>
      <c r="AE299" s="386">
        <v>20</v>
      </c>
      <c r="AF299" s="386">
        <v>4</v>
      </c>
      <c r="AG299" s="386">
        <v>24</v>
      </c>
    </row>
    <row r="300" spans="1:33" x14ac:dyDescent="0.25">
      <c r="A300" s="381" t="s">
        <v>658</v>
      </c>
      <c r="B300" s="387" t="s">
        <v>659</v>
      </c>
      <c r="C300" s="383">
        <v>2578</v>
      </c>
      <c r="D300" s="383">
        <v>0</v>
      </c>
      <c r="E300" s="383">
        <v>300</v>
      </c>
      <c r="F300" s="383">
        <v>350</v>
      </c>
      <c r="G300" s="383">
        <v>336</v>
      </c>
      <c r="H300" s="383">
        <v>3564</v>
      </c>
      <c r="I300" s="382">
        <v>3228</v>
      </c>
      <c r="J300" s="382">
        <v>125</v>
      </c>
      <c r="K300" s="384">
        <v>110.76</v>
      </c>
      <c r="L300" s="384">
        <v>109.84</v>
      </c>
      <c r="M300" s="384">
        <v>7.36</v>
      </c>
      <c r="N300" s="384">
        <v>116.64</v>
      </c>
      <c r="O300" s="385">
        <v>2256</v>
      </c>
      <c r="P300" s="382">
        <v>95.16</v>
      </c>
      <c r="Q300" s="382">
        <v>93.75</v>
      </c>
      <c r="R300" s="382">
        <v>41.74</v>
      </c>
      <c r="S300" s="382">
        <v>136.52000000000001</v>
      </c>
      <c r="T300" s="382">
        <v>220</v>
      </c>
      <c r="U300" s="382">
        <v>142.51</v>
      </c>
      <c r="V300" s="382">
        <v>204</v>
      </c>
      <c r="W300" s="382">
        <v>0</v>
      </c>
      <c r="X300" s="382">
        <v>0</v>
      </c>
      <c r="Y300" s="382">
        <v>0</v>
      </c>
      <c r="Z300" s="382">
        <v>2</v>
      </c>
      <c r="AA300" s="382">
        <v>0</v>
      </c>
      <c r="AB300" s="382">
        <v>10</v>
      </c>
      <c r="AC300" s="382">
        <v>19</v>
      </c>
      <c r="AD300" s="386">
        <v>2478</v>
      </c>
      <c r="AE300" s="386">
        <v>43</v>
      </c>
      <c r="AF300" s="386">
        <v>4</v>
      </c>
      <c r="AG300" s="386">
        <v>47</v>
      </c>
    </row>
    <row r="301" spans="1:33" x14ac:dyDescent="0.25">
      <c r="A301" s="381" t="s">
        <v>660</v>
      </c>
      <c r="B301" s="387" t="s">
        <v>661</v>
      </c>
      <c r="C301" s="383">
        <v>7463</v>
      </c>
      <c r="D301" s="383">
        <v>4</v>
      </c>
      <c r="E301" s="383">
        <v>290</v>
      </c>
      <c r="F301" s="383">
        <v>1154</v>
      </c>
      <c r="G301" s="383">
        <v>505</v>
      </c>
      <c r="H301" s="383">
        <v>9416</v>
      </c>
      <c r="I301" s="382">
        <v>8911</v>
      </c>
      <c r="J301" s="382">
        <v>1</v>
      </c>
      <c r="K301" s="384">
        <v>118.31</v>
      </c>
      <c r="L301" s="384">
        <v>122.16</v>
      </c>
      <c r="M301" s="384">
        <v>4.38</v>
      </c>
      <c r="N301" s="384">
        <v>120.46</v>
      </c>
      <c r="O301" s="385">
        <v>7136</v>
      </c>
      <c r="P301" s="382">
        <v>102.17</v>
      </c>
      <c r="Q301" s="382">
        <v>104.08</v>
      </c>
      <c r="R301" s="382">
        <v>22.9</v>
      </c>
      <c r="S301" s="382">
        <v>123.61</v>
      </c>
      <c r="T301" s="382">
        <v>1306</v>
      </c>
      <c r="U301" s="382">
        <v>150.83000000000001</v>
      </c>
      <c r="V301" s="382">
        <v>305</v>
      </c>
      <c r="W301" s="382">
        <v>177.74</v>
      </c>
      <c r="X301" s="382">
        <v>44</v>
      </c>
      <c r="Y301" s="382">
        <v>0</v>
      </c>
      <c r="Z301" s="382">
        <v>8</v>
      </c>
      <c r="AA301" s="382">
        <v>1</v>
      </c>
      <c r="AB301" s="382">
        <v>9</v>
      </c>
      <c r="AC301" s="382">
        <v>15</v>
      </c>
      <c r="AD301" s="386">
        <v>7450</v>
      </c>
      <c r="AE301" s="386">
        <v>37</v>
      </c>
      <c r="AF301" s="386">
        <v>8</v>
      </c>
      <c r="AG301" s="386">
        <v>45</v>
      </c>
    </row>
    <row r="302" spans="1:33" x14ac:dyDescent="0.25">
      <c r="A302" s="381" t="s">
        <v>662</v>
      </c>
      <c r="B302" s="387" t="s">
        <v>663</v>
      </c>
      <c r="C302" s="383">
        <v>2008</v>
      </c>
      <c r="D302" s="383">
        <v>2</v>
      </c>
      <c r="E302" s="383">
        <v>33</v>
      </c>
      <c r="F302" s="383">
        <v>349</v>
      </c>
      <c r="G302" s="383">
        <v>103</v>
      </c>
      <c r="H302" s="383">
        <v>2495</v>
      </c>
      <c r="I302" s="382">
        <v>2392</v>
      </c>
      <c r="J302" s="382">
        <v>4</v>
      </c>
      <c r="K302" s="384">
        <v>86.81</v>
      </c>
      <c r="L302" s="384">
        <v>83.4</v>
      </c>
      <c r="M302" s="384">
        <v>4.2</v>
      </c>
      <c r="N302" s="384">
        <v>87.94</v>
      </c>
      <c r="O302" s="385">
        <v>1875</v>
      </c>
      <c r="P302" s="382">
        <v>78.56</v>
      </c>
      <c r="Q302" s="382">
        <v>72.84</v>
      </c>
      <c r="R302" s="382">
        <v>18.16</v>
      </c>
      <c r="S302" s="382">
        <v>96.62</v>
      </c>
      <c r="T302" s="382">
        <v>335</v>
      </c>
      <c r="U302" s="382">
        <v>109.72</v>
      </c>
      <c r="V302" s="382">
        <v>71</v>
      </c>
      <c r="W302" s="382">
        <v>0</v>
      </c>
      <c r="X302" s="382">
        <v>0</v>
      </c>
      <c r="Y302" s="382">
        <v>0</v>
      </c>
      <c r="Z302" s="382">
        <v>4</v>
      </c>
      <c r="AA302" s="382">
        <v>0</v>
      </c>
      <c r="AB302" s="382">
        <v>2</v>
      </c>
      <c r="AC302" s="382">
        <v>3</v>
      </c>
      <c r="AD302" s="386">
        <v>1944</v>
      </c>
      <c r="AE302" s="386">
        <v>4</v>
      </c>
      <c r="AF302" s="386">
        <v>8</v>
      </c>
      <c r="AG302" s="386">
        <v>12</v>
      </c>
    </row>
    <row r="303" spans="1:33" x14ac:dyDescent="0.25">
      <c r="A303" s="381" t="s">
        <v>664</v>
      </c>
      <c r="B303" s="387" t="s">
        <v>665</v>
      </c>
      <c r="C303" s="383">
        <v>643</v>
      </c>
      <c r="D303" s="383">
        <v>1</v>
      </c>
      <c r="E303" s="383">
        <v>156</v>
      </c>
      <c r="F303" s="383">
        <v>373</v>
      </c>
      <c r="G303" s="383">
        <v>263</v>
      </c>
      <c r="H303" s="383">
        <v>1436</v>
      </c>
      <c r="I303" s="382">
        <v>1173</v>
      </c>
      <c r="J303" s="382">
        <v>18</v>
      </c>
      <c r="K303" s="384">
        <v>90.81</v>
      </c>
      <c r="L303" s="384">
        <v>90.85</v>
      </c>
      <c r="M303" s="384">
        <v>5.07</v>
      </c>
      <c r="N303" s="384">
        <v>93.9</v>
      </c>
      <c r="O303" s="385">
        <v>500</v>
      </c>
      <c r="P303" s="382">
        <v>97.73</v>
      </c>
      <c r="Q303" s="382">
        <v>93.06</v>
      </c>
      <c r="R303" s="382">
        <v>34.21</v>
      </c>
      <c r="S303" s="382">
        <v>131.74</v>
      </c>
      <c r="T303" s="382">
        <v>499</v>
      </c>
      <c r="U303" s="382">
        <v>104.03</v>
      </c>
      <c r="V303" s="382">
        <v>106</v>
      </c>
      <c r="W303" s="382">
        <v>0</v>
      </c>
      <c r="X303" s="382">
        <v>0</v>
      </c>
      <c r="Y303" s="382">
        <v>0</v>
      </c>
      <c r="Z303" s="382">
        <v>0</v>
      </c>
      <c r="AA303" s="382">
        <v>4</v>
      </c>
      <c r="AB303" s="382">
        <v>6</v>
      </c>
      <c r="AC303" s="382">
        <v>1</v>
      </c>
      <c r="AD303" s="386">
        <v>631</v>
      </c>
      <c r="AE303" s="386">
        <v>10</v>
      </c>
      <c r="AF303" s="386">
        <v>11</v>
      </c>
      <c r="AG303" s="386">
        <v>21</v>
      </c>
    </row>
    <row r="304" spans="1:33" x14ac:dyDescent="0.25">
      <c r="A304" s="381" t="s">
        <v>666</v>
      </c>
      <c r="B304" s="387" t="s">
        <v>667</v>
      </c>
      <c r="C304" s="383">
        <v>4153</v>
      </c>
      <c r="D304" s="383">
        <v>0</v>
      </c>
      <c r="E304" s="383">
        <v>78</v>
      </c>
      <c r="F304" s="383">
        <v>429</v>
      </c>
      <c r="G304" s="383">
        <v>317</v>
      </c>
      <c r="H304" s="383">
        <v>4977</v>
      </c>
      <c r="I304" s="382">
        <v>4660</v>
      </c>
      <c r="J304" s="382">
        <v>0</v>
      </c>
      <c r="K304" s="384">
        <v>79.41</v>
      </c>
      <c r="L304" s="384">
        <v>79.92</v>
      </c>
      <c r="M304" s="384">
        <v>3.38</v>
      </c>
      <c r="N304" s="384">
        <v>80.37</v>
      </c>
      <c r="O304" s="385">
        <v>4081</v>
      </c>
      <c r="P304" s="382">
        <v>72.67</v>
      </c>
      <c r="Q304" s="382">
        <v>71.48</v>
      </c>
      <c r="R304" s="382">
        <v>23.51</v>
      </c>
      <c r="S304" s="382">
        <v>95.84</v>
      </c>
      <c r="T304" s="382">
        <v>484</v>
      </c>
      <c r="U304" s="382">
        <v>94.8</v>
      </c>
      <c r="V304" s="382">
        <v>33</v>
      </c>
      <c r="W304" s="382">
        <v>113.65</v>
      </c>
      <c r="X304" s="382">
        <v>8</v>
      </c>
      <c r="Y304" s="382">
        <v>0</v>
      </c>
      <c r="Z304" s="382">
        <v>10</v>
      </c>
      <c r="AA304" s="382">
        <v>1</v>
      </c>
      <c r="AB304" s="382">
        <v>7</v>
      </c>
      <c r="AC304" s="382">
        <v>8</v>
      </c>
      <c r="AD304" s="386">
        <v>4142</v>
      </c>
      <c r="AE304" s="386">
        <v>39</v>
      </c>
      <c r="AF304" s="386">
        <v>5</v>
      </c>
      <c r="AG304" s="386">
        <v>44</v>
      </c>
    </row>
    <row r="305" spans="1:33" ht="14.5" x14ac:dyDescent="0.35">
      <c r="A305" s="388" t="s">
        <v>815</v>
      </c>
      <c r="B305" s="388" t="s">
        <v>813</v>
      </c>
      <c r="C305" s="382">
        <v>10190</v>
      </c>
      <c r="D305" s="382">
        <v>35</v>
      </c>
      <c r="E305" s="382">
        <v>439</v>
      </c>
      <c r="F305" s="382">
        <v>2436</v>
      </c>
      <c r="G305" s="382">
        <v>1921</v>
      </c>
      <c r="H305" s="382">
        <v>15021</v>
      </c>
      <c r="I305" s="382">
        <v>13100</v>
      </c>
      <c r="J305" s="382">
        <v>43</v>
      </c>
      <c r="K305" s="382">
        <v>97.66</v>
      </c>
      <c r="L305" s="382">
        <v>98.45</v>
      </c>
      <c r="M305" s="382">
        <v>7.12</v>
      </c>
      <c r="N305" s="382">
        <v>100.77</v>
      </c>
      <c r="O305" s="382">
        <v>9229</v>
      </c>
      <c r="P305" s="382">
        <v>91.6</v>
      </c>
      <c r="Q305" s="382">
        <v>91.3</v>
      </c>
      <c r="R305" s="382">
        <v>37.61</v>
      </c>
      <c r="S305" s="382">
        <v>108.99</v>
      </c>
      <c r="T305" s="382">
        <v>2825</v>
      </c>
      <c r="U305" s="382">
        <v>122.44</v>
      </c>
      <c r="V305" s="382">
        <v>555</v>
      </c>
      <c r="W305" s="382">
        <v>0</v>
      </c>
      <c r="X305" s="382">
        <v>0</v>
      </c>
      <c r="Y305" s="382">
        <v>0</v>
      </c>
      <c r="Z305" s="382">
        <v>46</v>
      </c>
      <c r="AA305" s="382">
        <v>21</v>
      </c>
      <c r="AB305" s="382">
        <v>124</v>
      </c>
      <c r="AC305" s="382">
        <v>47</v>
      </c>
      <c r="AD305" s="382">
        <v>9935</v>
      </c>
      <c r="AE305" s="382">
        <v>71</v>
      </c>
      <c r="AF305" s="382">
        <v>29</v>
      </c>
      <c r="AG305" s="382">
        <v>100</v>
      </c>
    </row>
    <row r="306" spans="1:33" x14ac:dyDescent="0.25">
      <c r="A306" s="381" t="s">
        <v>668</v>
      </c>
      <c r="B306" s="387" t="s">
        <v>669</v>
      </c>
      <c r="C306" s="383">
        <v>5182</v>
      </c>
      <c r="D306" s="383">
        <v>2</v>
      </c>
      <c r="E306" s="383">
        <v>124</v>
      </c>
      <c r="F306" s="383">
        <v>290</v>
      </c>
      <c r="G306" s="383">
        <v>505</v>
      </c>
      <c r="H306" s="383">
        <v>6103</v>
      </c>
      <c r="I306" s="382">
        <v>5598</v>
      </c>
      <c r="J306" s="382">
        <v>79</v>
      </c>
      <c r="K306" s="384">
        <v>109.25</v>
      </c>
      <c r="L306" s="384">
        <v>118.62</v>
      </c>
      <c r="M306" s="384">
        <v>4.5599999999999996</v>
      </c>
      <c r="N306" s="384">
        <v>110.69</v>
      </c>
      <c r="O306" s="385">
        <v>4780</v>
      </c>
      <c r="P306" s="382">
        <v>87.07</v>
      </c>
      <c r="Q306" s="382">
        <v>88.41</v>
      </c>
      <c r="R306" s="382">
        <v>30.99</v>
      </c>
      <c r="S306" s="382">
        <v>117.53</v>
      </c>
      <c r="T306" s="382">
        <v>407</v>
      </c>
      <c r="U306" s="382">
        <v>151.31</v>
      </c>
      <c r="V306" s="382">
        <v>250</v>
      </c>
      <c r="W306" s="382">
        <v>0</v>
      </c>
      <c r="X306" s="382">
        <v>0</v>
      </c>
      <c r="Y306" s="382">
        <v>0</v>
      </c>
      <c r="Z306" s="382">
        <v>9</v>
      </c>
      <c r="AA306" s="382">
        <v>1</v>
      </c>
      <c r="AB306" s="382">
        <v>6</v>
      </c>
      <c r="AC306" s="382">
        <v>12</v>
      </c>
      <c r="AD306" s="386">
        <v>5024</v>
      </c>
      <c r="AE306" s="386">
        <v>9</v>
      </c>
      <c r="AF306" s="386">
        <v>9</v>
      </c>
      <c r="AG306" s="386">
        <v>18</v>
      </c>
    </row>
    <row r="307" spans="1:33" x14ac:dyDescent="0.25">
      <c r="A307" s="381" t="s">
        <v>670</v>
      </c>
      <c r="B307" s="387" t="s">
        <v>671</v>
      </c>
      <c r="C307" s="382">
        <v>10325</v>
      </c>
      <c r="D307" s="382">
        <v>6</v>
      </c>
      <c r="E307" s="382">
        <v>398</v>
      </c>
      <c r="F307" s="382">
        <v>1283</v>
      </c>
      <c r="G307" s="382">
        <v>671</v>
      </c>
      <c r="H307" s="382">
        <v>12683</v>
      </c>
      <c r="I307" s="382">
        <v>12012</v>
      </c>
      <c r="J307" s="382">
        <v>4</v>
      </c>
      <c r="K307" s="382">
        <v>91.34</v>
      </c>
      <c r="L307" s="384">
        <v>91.42</v>
      </c>
      <c r="M307" s="384">
        <v>4.7300000000000004</v>
      </c>
      <c r="N307" s="384">
        <v>92.34</v>
      </c>
      <c r="O307" s="385">
        <v>9450</v>
      </c>
      <c r="P307" s="382">
        <v>81.739999999999995</v>
      </c>
      <c r="Q307" s="382">
        <v>81.87</v>
      </c>
      <c r="R307" s="382">
        <v>33.200000000000003</v>
      </c>
      <c r="S307" s="382">
        <v>112.05</v>
      </c>
      <c r="T307" s="382">
        <v>1599</v>
      </c>
      <c r="U307" s="382">
        <v>125.58</v>
      </c>
      <c r="V307" s="382">
        <v>696</v>
      </c>
      <c r="W307" s="382">
        <v>98.56</v>
      </c>
      <c r="X307" s="382">
        <v>10</v>
      </c>
      <c r="Y307" s="382">
        <v>0</v>
      </c>
      <c r="Z307" s="382">
        <v>42</v>
      </c>
      <c r="AA307" s="382">
        <v>20</v>
      </c>
      <c r="AB307" s="382">
        <v>12</v>
      </c>
      <c r="AC307" s="382">
        <v>17</v>
      </c>
      <c r="AD307" s="382">
        <v>10241</v>
      </c>
      <c r="AE307" s="382">
        <v>17</v>
      </c>
      <c r="AF307" s="382">
        <v>66</v>
      </c>
      <c r="AG307" s="382">
        <v>83</v>
      </c>
    </row>
    <row r="308" spans="1:33" x14ac:dyDescent="0.25">
      <c r="A308" s="381" t="s">
        <v>672</v>
      </c>
      <c r="B308" s="387" t="s">
        <v>673</v>
      </c>
      <c r="C308" s="383">
        <v>11940</v>
      </c>
      <c r="D308" s="383">
        <v>584</v>
      </c>
      <c r="E308" s="383">
        <v>1762</v>
      </c>
      <c r="F308" s="383">
        <v>975</v>
      </c>
      <c r="G308" s="383">
        <v>744</v>
      </c>
      <c r="H308" s="383">
        <v>16005</v>
      </c>
      <c r="I308" s="382">
        <v>15261</v>
      </c>
      <c r="J308" s="382">
        <v>125</v>
      </c>
      <c r="K308" s="384">
        <v>127.97</v>
      </c>
      <c r="L308" s="384">
        <v>142.26</v>
      </c>
      <c r="M308" s="384">
        <v>11.32</v>
      </c>
      <c r="N308" s="384">
        <v>136.86000000000001</v>
      </c>
      <c r="O308" s="385">
        <v>9861</v>
      </c>
      <c r="P308" s="382">
        <v>166.83</v>
      </c>
      <c r="Q308" s="382">
        <v>169.05</v>
      </c>
      <c r="R308" s="382">
        <v>47.2</v>
      </c>
      <c r="S308" s="382">
        <v>204.83</v>
      </c>
      <c r="T308" s="382">
        <v>2294</v>
      </c>
      <c r="U308" s="382">
        <v>211.83</v>
      </c>
      <c r="V308" s="382">
        <v>338</v>
      </c>
      <c r="W308" s="382">
        <v>149.68</v>
      </c>
      <c r="X308" s="382">
        <v>1</v>
      </c>
      <c r="Y308" s="382">
        <v>0</v>
      </c>
      <c r="Z308" s="382">
        <v>5</v>
      </c>
      <c r="AA308" s="382">
        <v>33</v>
      </c>
      <c r="AB308" s="382">
        <v>1</v>
      </c>
      <c r="AC308" s="382">
        <v>17</v>
      </c>
      <c r="AD308" s="386">
        <v>10431</v>
      </c>
      <c r="AE308" s="386">
        <v>20</v>
      </c>
      <c r="AF308" s="386">
        <v>129</v>
      </c>
      <c r="AG308" s="386">
        <v>149</v>
      </c>
    </row>
    <row r="309" spans="1:33" x14ac:dyDescent="0.25">
      <c r="A309" s="381" t="s">
        <v>674</v>
      </c>
      <c r="B309" s="387" t="s">
        <v>675</v>
      </c>
      <c r="C309" s="383">
        <v>1950</v>
      </c>
      <c r="D309" s="383">
        <v>1</v>
      </c>
      <c r="E309" s="383">
        <v>624</v>
      </c>
      <c r="F309" s="383">
        <v>987</v>
      </c>
      <c r="G309" s="383">
        <v>272</v>
      </c>
      <c r="H309" s="383">
        <v>3834</v>
      </c>
      <c r="I309" s="382">
        <v>3562</v>
      </c>
      <c r="J309" s="382">
        <v>69</v>
      </c>
      <c r="K309" s="384">
        <v>79.69</v>
      </c>
      <c r="L309" s="384">
        <v>78.3</v>
      </c>
      <c r="M309" s="384">
        <v>8.16</v>
      </c>
      <c r="N309" s="384">
        <v>83.78</v>
      </c>
      <c r="O309" s="385">
        <v>1756</v>
      </c>
      <c r="P309" s="382">
        <v>80.45</v>
      </c>
      <c r="Q309" s="382">
        <v>74.34</v>
      </c>
      <c r="R309" s="382">
        <v>43.4</v>
      </c>
      <c r="S309" s="382">
        <v>121.77</v>
      </c>
      <c r="T309" s="382">
        <v>1417</v>
      </c>
      <c r="U309" s="382">
        <v>98.1</v>
      </c>
      <c r="V309" s="382">
        <v>130</v>
      </c>
      <c r="W309" s="382">
        <v>0</v>
      </c>
      <c r="X309" s="382">
        <v>0</v>
      </c>
      <c r="Y309" s="382">
        <v>0</v>
      </c>
      <c r="Z309" s="382">
        <v>0</v>
      </c>
      <c r="AA309" s="382">
        <v>16</v>
      </c>
      <c r="AB309" s="382">
        <v>0</v>
      </c>
      <c r="AC309" s="382">
        <v>6</v>
      </c>
      <c r="AD309" s="386">
        <v>1890</v>
      </c>
      <c r="AE309" s="386">
        <v>32</v>
      </c>
      <c r="AF309" s="386">
        <v>12</v>
      </c>
      <c r="AG309" s="386">
        <v>44</v>
      </c>
    </row>
    <row r="310" spans="1:33" x14ac:dyDescent="0.25">
      <c r="A310" s="381" t="s">
        <v>676</v>
      </c>
      <c r="B310" s="387" t="s">
        <v>677</v>
      </c>
      <c r="C310" s="383">
        <v>20924</v>
      </c>
      <c r="D310" s="383">
        <v>25</v>
      </c>
      <c r="E310" s="383">
        <v>628</v>
      </c>
      <c r="F310" s="383">
        <v>3154</v>
      </c>
      <c r="G310" s="383">
        <v>1296</v>
      </c>
      <c r="H310" s="383">
        <v>26027</v>
      </c>
      <c r="I310" s="382">
        <v>24731</v>
      </c>
      <c r="J310" s="382">
        <v>14</v>
      </c>
      <c r="K310" s="384">
        <v>99.75</v>
      </c>
      <c r="L310" s="384">
        <v>99.01</v>
      </c>
      <c r="M310" s="384">
        <v>3.69</v>
      </c>
      <c r="N310" s="384">
        <v>101.58</v>
      </c>
      <c r="O310" s="385">
        <v>19083</v>
      </c>
      <c r="P310" s="382">
        <v>89.79</v>
      </c>
      <c r="Q310" s="382">
        <v>89.13</v>
      </c>
      <c r="R310" s="382">
        <v>21.61</v>
      </c>
      <c r="S310" s="382">
        <v>110.38</v>
      </c>
      <c r="T310" s="382">
        <v>3447</v>
      </c>
      <c r="U310" s="382">
        <v>121.62</v>
      </c>
      <c r="V310" s="382">
        <v>1233</v>
      </c>
      <c r="W310" s="382">
        <v>123.61</v>
      </c>
      <c r="X310" s="382">
        <v>30</v>
      </c>
      <c r="Y310" s="382">
        <v>145</v>
      </c>
      <c r="Z310" s="382">
        <v>35</v>
      </c>
      <c r="AA310" s="382">
        <v>71</v>
      </c>
      <c r="AB310" s="382">
        <v>52</v>
      </c>
      <c r="AC310" s="382">
        <v>24</v>
      </c>
      <c r="AD310" s="386">
        <v>20392</v>
      </c>
      <c r="AE310" s="386">
        <v>204</v>
      </c>
      <c r="AF310" s="386">
        <v>53</v>
      </c>
      <c r="AG310" s="386">
        <v>257</v>
      </c>
    </row>
    <row r="311" spans="1:33" x14ac:dyDescent="0.25">
      <c r="A311" s="381" t="s">
        <v>678</v>
      </c>
      <c r="B311" s="387" t="s">
        <v>679</v>
      </c>
      <c r="C311" s="383">
        <v>2033</v>
      </c>
      <c r="D311" s="383">
        <v>0</v>
      </c>
      <c r="E311" s="383">
        <v>266</v>
      </c>
      <c r="F311" s="383">
        <v>225</v>
      </c>
      <c r="G311" s="383">
        <v>315</v>
      </c>
      <c r="H311" s="383">
        <v>2839</v>
      </c>
      <c r="I311" s="382">
        <v>2524</v>
      </c>
      <c r="J311" s="382">
        <v>8</v>
      </c>
      <c r="K311" s="384">
        <v>113.39</v>
      </c>
      <c r="L311" s="384">
        <v>112.94</v>
      </c>
      <c r="M311" s="384">
        <v>6.32</v>
      </c>
      <c r="N311" s="384">
        <v>119.2</v>
      </c>
      <c r="O311" s="385">
        <v>1677</v>
      </c>
      <c r="P311" s="382">
        <v>91.74</v>
      </c>
      <c r="Q311" s="382">
        <v>92.6</v>
      </c>
      <c r="R311" s="382">
        <v>40.71</v>
      </c>
      <c r="S311" s="382">
        <v>128.35</v>
      </c>
      <c r="T311" s="382">
        <v>456</v>
      </c>
      <c r="U311" s="382">
        <v>162.80000000000001</v>
      </c>
      <c r="V311" s="382">
        <v>149</v>
      </c>
      <c r="W311" s="382">
        <v>0</v>
      </c>
      <c r="X311" s="382">
        <v>0</v>
      </c>
      <c r="Y311" s="382">
        <v>13</v>
      </c>
      <c r="Z311" s="382">
        <v>2</v>
      </c>
      <c r="AA311" s="382">
        <v>3</v>
      </c>
      <c r="AB311" s="382">
        <v>16</v>
      </c>
      <c r="AC311" s="382">
        <v>14</v>
      </c>
      <c r="AD311" s="386">
        <v>1863</v>
      </c>
      <c r="AE311" s="386">
        <v>9</v>
      </c>
      <c r="AF311" s="386">
        <v>8</v>
      </c>
      <c r="AG311" s="386">
        <v>17</v>
      </c>
    </row>
    <row r="312" spans="1:33" x14ac:dyDescent="0.25">
      <c r="A312" s="381" t="s">
        <v>680</v>
      </c>
      <c r="B312" s="387" t="s">
        <v>681</v>
      </c>
      <c r="C312" s="383">
        <v>6714</v>
      </c>
      <c r="D312" s="383">
        <v>16</v>
      </c>
      <c r="E312" s="383">
        <v>209</v>
      </c>
      <c r="F312" s="383">
        <v>915</v>
      </c>
      <c r="G312" s="383">
        <v>233</v>
      </c>
      <c r="H312" s="383">
        <v>8087</v>
      </c>
      <c r="I312" s="382">
        <v>7854</v>
      </c>
      <c r="J312" s="382">
        <v>1</v>
      </c>
      <c r="K312" s="384">
        <v>121.38</v>
      </c>
      <c r="L312" s="384">
        <v>124.09</v>
      </c>
      <c r="M312" s="384">
        <v>2.83</v>
      </c>
      <c r="N312" s="384">
        <v>124.01</v>
      </c>
      <c r="O312" s="385">
        <v>6456</v>
      </c>
      <c r="P312" s="382">
        <v>104.63</v>
      </c>
      <c r="Q312" s="382">
        <v>102.23</v>
      </c>
      <c r="R312" s="382">
        <v>20.12</v>
      </c>
      <c r="S312" s="382">
        <v>124.54</v>
      </c>
      <c r="T312" s="382">
        <v>1080</v>
      </c>
      <c r="U312" s="382">
        <v>177.46</v>
      </c>
      <c r="V312" s="382">
        <v>208</v>
      </c>
      <c r="W312" s="382">
        <v>151.5</v>
      </c>
      <c r="X312" s="382">
        <v>1</v>
      </c>
      <c r="Y312" s="382">
        <v>78</v>
      </c>
      <c r="Z312" s="382">
        <v>8</v>
      </c>
      <c r="AA312" s="382">
        <v>1</v>
      </c>
      <c r="AB312" s="382">
        <v>10</v>
      </c>
      <c r="AC312" s="382">
        <v>13</v>
      </c>
      <c r="AD312" s="386">
        <v>6713</v>
      </c>
      <c r="AE312" s="386">
        <v>20</v>
      </c>
      <c r="AF312" s="386">
        <v>23</v>
      </c>
      <c r="AG312" s="386">
        <v>43</v>
      </c>
    </row>
    <row r="313" spans="1:33" x14ac:dyDescent="0.25">
      <c r="A313" s="381" t="s">
        <v>682</v>
      </c>
      <c r="B313" s="387" t="s">
        <v>683</v>
      </c>
      <c r="C313" s="383">
        <v>17802</v>
      </c>
      <c r="D313" s="383">
        <v>26</v>
      </c>
      <c r="E313" s="383">
        <v>1083</v>
      </c>
      <c r="F313" s="383">
        <v>3760</v>
      </c>
      <c r="G313" s="383">
        <v>478</v>
      </c>
      <c r="H313" s="383">
        <v>23149</v>
      </c>
      <c r="I313" s="382">
        <v>22671</v>
      </c>
      <c r="J313" s="382">
        <v>87</v>
      </c>
      <c r="K313" s="384">
        <v>86.45</v>
      </c>
      <c r="L313" s="384">
        <v>84.6</v>
      </c>
      <c r="M313" s="384">
        <v>5.53</v>
      </c>
      <c r="N313" s="384">
        <v>88.26</v>
      </c>
      <c r="O313" s="385">
        <v>13958</v>
      </c>
      <c r="P313" s="382">
        <v>81.39</v>
      </c>
      <c r="Q313" s="382">
        <v>79.569999999999993</v>
      </c>
      <c r="R313" s="382">
        <v>26.47</v>
      </c>
      <c r="S313" s="382">
        <v>105.88</v>
      </c>
      <c r="T313" s="382">
        <v>3542</v>
      </c>
      <c r="U313" s="382">
        <v>109.16</v>
      </c>
      <c r="V313" s="382">
        <v>1331</v>
      </c>
      <c r="W313" s="382">
        <v>137.08000000000001</v>
      </c>
      <c r="X313" s="382">
        <v>89</v>
      </c>
      <c r="Y313" s="382">
        <v>0</v>
      </c>
      <c r="Z313" s="382">
        <v>52</v>
      </c>
      <c r="AA313" s="382">
        <v>12</v>
      </c>
      <c r="AB313" s="382">
        <v>18</v>
      </c>
      <c r="AC313" s="382">
        <v>5</v>
      </c>
      <c r="AD313" s="386">
        <v>15207</v>
      </c>
      <c r="AE313" s="386">
        <v>150</v>
      </c>
      <c r="AF313" s="386">
        <v>262</v>
      </c>
      <c r="AG313" s="386">
        <v>412</v>
      </c>
    </row>
    <row r="314" spans="1:33" x14ac:dyDescent="0.25">
      <c r="A314" s="381" t="s">
        <v>684</v>
      </c>
      <c r="B314" s="387" t="s">
        <v>685</v>
      </c>
      <c r="C314" s="383">
        <v>853</v>
      </c>
      <c r="D314" s="383">
        <v>4</v>
      </c>
      <c r="E314" s="383">
        <v>157</v>
      </c>
      <c r="F314" s="383">
        <v>337</v>
      </c>
      <c r="G314" s="383">
        <v>247</v>
      </c>
      <c r="H314" s="383">
        <v>1598</v>
      </c>
      <c r="I314" s="382">
        <v>1351</v>
      </c>
      <c r="J314" s="382">
        <v>5</v>
      </c>
      <c r="K314" s="384">
        <v>125.12</v>
      </c>
      <c r="L314" s="384">
        <v>122.72</v>
      </c>
      <c r="M314" s="384">
        <v>8.25</v>
      </c>
      <c r="N314" s="384">
        <v>131.83000000000001</v>
      </c>
      <c r="O314" s="385">
        <v>698</v>
      </c>
      <c r="P314" s="382">
        <v>99.45</v>
      </c>
      <c r="Q314" s="382">
        <v>96.24</v>
      </c>
      <c r="R314" s="382">
        <v>36.049999999999997</v>
      </c>
      <c r="S314" s="382">
        <v>134.44999999999999</v>
      </c>
      <c r="T314" s="382">
        <v>273</v>
      </c>
      <c r="U314" s="382">
        <v>166.24</v>
      </c>
      <c r="V314" s="382">
        <v>18</v>
      </c>
      <c r="W314" s="382">
        <v>130.9</v>
      </c>
      <c r="X314" s="382">
        <v>5</v>
      </c>
      <c r="Y314" s="382">
        <v>0</v>
      </c>
      <c r="Z314" s="382">
        <v>0</v>
      </c>
      <c r="AA314" s="382">
        <v>4</v>
      </c>
      <c r="AB314" s="382">
        <v>11</v>
      </c>
      <c r="AC314" s="382">
        <v>17</v>
      </c>
      <c r="AD314" s="386">
        <v>740</v>
      </c>
      <c r="AE314" s="386">
        <v>3</v>
      </c>
      <c r="AF314" s="386">
        <v>1</v>
      </c>
      <c r="AG314" s="386">
        <v>4</v>
      </c>
    </row>
    <row r="315" spans="1:33" x14ac:dyDescent="0.25">
      <c r="A315" s="381" t="s">
        <v>686</v>
      </c>
      <c r="B315" s="387" t="s">
        <v>687</v>
      </c>
      <c r="C315" s="383">
        <v>1260</v>
      </c>
      <c r="D315" s="383">
        <v>3</v>
      </c>
      <c r="E315" s="383">
        <v>98</v>
      </c>
      <c r="F315" s="383">
        <v>203</v>
      </c>
      <c r="G315" s="383">
        <v>556</v>
      </c>
      <c r="H315" s="383">
        <v>2120</v>
      </c>
      <c r="I315" s="382">
        <v>1564</v>
      </c>
      <c r="J315" s="382">
        <v>1</v>
      </c>
      <c r="K315" s="384">
        <v>127.05</v>
      </c>
      <c r="L315" s="384">
        <v>125.06</v>
      </c>
      <c r="M315" s="384">
        <v>6.09</v>
      </c>
      <c r="N315" s="384">
        <v>132.19999999999999</v>
      </c>
      <c r="O315" s="385">
        <v>1133</v>
      </c>
      <c r="P315" s="382">
        <v>106.53</v>
      </c>
      <c r="Q315" s="382">
        <v>109.41</v>
      </c>
      <c r="R315" s="382">
        <v>36.24</v>
      </c>
      <c r="S315" s="382">
        <v>142.63999999999999</v>
      </c>
      <c r="T315" s="382">
        <v>278</v>
      </c>
      <c r="U315" s="382">
        <v>157.66</v>
      </c>
      <c r="V315" s="382">
        <v>53</v>
      </c>
      <c r="W315" s="382">
        <v>0</v>
      </c>
      <c r="X315" s="382">
        <v>0</v>
      </c>
      <c r="Y315" s="382">
        <v>0</v>
      </c>
      <c r="Z315" s="382">
        <v>1</v>
      </c>
      <c r="AA315" s="382">
        <v>1</v>
      </c>
      <c r="AB315" s="382">
        <v>20</v>
      </c>
      <c r="AC315" s="382">
        <v>22</v>
      </c>
      <c r="AD315" s="386">
        <v>1196</v>
      </c>
      <c r="AE315" s="386">
        <v>5</v>
      </c>
      <c r="AF315" s="386">
        <v>0</v>
      </c>
      <c r="AG315" s="386">
        <v>5</v>
      </c>
    </row>
    <row r="316" spans="1:33" x14ac:dyDescent="0.25">
      <c r="A316" s="381" t="s">
        <v>688</v>
      </c>
      <c r="B316" s="387" t="s">
        <v>689</v>
      </c>
      <c r="C316" s="383">
        <v>4098</v>
      </c>
      <c r="D316" s="383">
        <v>0</v>
      </c>
      <c r="E316" s="383">
        <v>440</v>
      </c>
      <c r="F316" s="383">
        <v>1510</v>
      </c>
      <c r="G316" s="383">
        <v>305</v>
      </c>
      <c r="H316" s="383">
        <v>6353</v>
      </c>
      <c r="I316" s="382">
        <v>6048</v>
      </c>
      <c r="J316" s="382">
        <v>35</v>
      </c>
      <c r="K316" s="384">
        <v>88.09</v>
      </c>
      <c r="L316" s="384">
        <v>87.31</v>
      </c>
      <c r="M316" s="384">
        <v>6.71</v>
      </c>
      <c r="N316" s="384">
        <v>93.96</v>
      </c>
      <c r="O316" s="385">
        <v>3627</v>
      </c>
      <c r="P316" s="382">
        <v>91.68</v>
      </c>
      <c r="Q316" s="382">
        <v>89.52</v>
      </c>
      <c r="R316" s="382">
        <v>43.75</v>
      </c>
      <c r="S316" s="382">
        <v>133.66999999999999</v>
      </c>
      <c r="T316" s="382">
        <v>1793</v>
      </c>
      <c r="U316" s="382">
        <v>108.61</v>
      </c>
      <c r="V316" s="382">
        <v>142</v>
      </c>
      <c r="W316" s="382">
        <v>0</v>
      </c>
      <c r="X316" s="382">
        <v>0</v>
      </c>
      <c r="Y316" s="382">
        <v>1</v>
      </c>
      <c r="Z316" s="382">
        <v>0</v>
      </c>
      <c r="AA316" s="382">
        <v>3</v>
      </c>
      <c r="AB316" s="382">
        <v>0</v>
      </c>
      <c r="AC316" s="382">
        <v>10</v>
      </c>
      <c r="AD316" s="386">
        <v>3873</v>
      </c>
      <c r="AE316" s="386">
        <v>25</v>
      </c>
      <c r="AF316" s="386">
        <v>19</v>
      </c>
      <c r="AG316" s="386">
        <v>44</v>
      </c>
    </row>
    <row r="317" spans="1:33" x14ac:dyDescent="0.25">
      <c r="A317" s="381" t="s">
        <v>690</v>
      </c>
      <c r="B317" s="387" t="s">
        <v>691</v>
      </c>
      <c r="C317" s="383">
        <v>5816</v>
      </c>
      <c r="D317" s="383">
        <v>54</v>
      </c>
      <c r="E317" s="383">
        <v>375</v>
      </c>
      <c r="F317" s="383">
        <v>950</v>
      </c>
      <c r="G317" s="383">
        <v>487</v>
      </c>
      <c r="H317" s="383">
        <v>7682</v>
      </c>
      <c r="I317" s="382">
        <v>7195</v>
      </c>
      <c r="J317" s="382">
        <v>0</v>
      </c>
      <c r="K317" s="384">
        <v>86.82</v>
      </c>
      <c r="L317" s="384">
        <v>88.54</v>
      </c>
      <c r="M317" s="384">
        <v>5.34</v>
      </c>
      <c r="N317" s="384">
        <v>91.73</v>
      </c>
      <c r="O317" s="385">
        <v>5197</v>
      </c>
      <c r="P317" s="382">
        <v>76.599999999999994</v>
      </c>
      <c r="Q317" s="382">
        <v>77.650000000000006</v>
      </c>
      <c r="R317" s="382">
        <v>30.58</v>
      </c>
      <c r="S317" s="382">
        <v>106.4</v>
      </c>
      <c r="T317" s="382">
        <v>1168</v>
      </c>
      <c r="U317" s="382">
        <v>102.1</v>
      </c>
      <c r="V317" s="382">
        <v>520</v>
      </c>
      <c r="W317" s="382">
        <v>169.06</v>
      </c>
      <c r="X317" s="382">
        <v>51</v>
      </c>
      <c r="Y317" s="382">
        <v>1</v>
      </c>
      <c r="Z317" s="382">
        <v>17</v>
      </c>
      <c r="AA317" s="382">
        <v>0</v>
      </c>
      <c r="AB317" s="382">
        <v>19</v>
      </c>
      <c r="AC317" s="382">
        <v>8</v>
      </c>
      <c r="AD317" s="386">
        <v>5772</v>
      </c>
      <c r="AE317" s="386">
        <v>119</v>
      </c>
      <c r="AF317" s="386">
        <v>1</v>
      </c>
      <c r="AG317" s="386">
        <v>120</v>
      </c>
    </row>
    <row r="318" spans="1:33" x14ac:dyDescent="0.25">
      <c r="A318" s="381" t="s">
        <v>692</v>
      </c>
      <c r="B318" s="387" t="s">
        <v>693</v>
      </c>
      <c r="C318" s="383">
        <v>3919</v>
      </c>
      <c r="D318" s="383">
        <v>37</v>
      </c>
      <c r="E318" s="383">
        <v>264</v>
      </c>
      <c r="F318" s="383">
        <v>559</v>
      </c>
      <c r="G318" s="383">
        <v>152</v>
      </c>
      <c r="H318" s="383">
        <v>4931</v>
      </c>
      <c r="I318" s="382">
        <v>4779</v>
      </c>
      <c r="J318" s="382">
        <v>10</v>
      </c>
      <c r="K318" s="384">
        <v>101.37</v>
      </c>
      <c r="L318" s="384">
        <v>100.47</v>
      </c>
      <c r="M318" s="384">
        <v>5.84</v>
      </c>
      <c r="N318" s="384">
        <v>104.92</v>
      </c>
      <c r="O318" s="385">
        <v>3693</v>
      </c>
      <c r="P318" s="382">
        <v>87.03</v>
      </c>
      <c r="Q318" s="382">
        <v>84.45</v>
      </c>
      <c r="R318" s="382">
        <v>31.13</v>
      </c>
      <c r="S318" s="382">
        <v>116.13</v>
      </c>
      <c r="T318" s="382">
        <v>644</v>
      </c>
      <c r="U318" s="382">
        <v>136.71</v>
      </c>
      <c r="V318" s="382">
        <v>98</v>
      </c>
      <c r="W318" s="382">
        <v>0</v>
      </c>
      <c r="X318" s="382">
        <v>0</v>
      </c>
      <c r="Y318" s="382">
        <v>29</v>
      </c>
      <c r="Z318" s="382">
        <v>7</v>
      </c>
      <c r="AA318" s="382">
        <v>5</v>
      </c>
      <c r="AB318" s="382">
        <v>1</v>
      </c>
      <c r="AC318" s="382">
        <v>0</v>
      </c>
      <c r="AD318" s="386">
        <v>3888</v>
      </c>
      <c r="AE318" s="386">
        <v>9</v>
      </c>
      <c r="AF318" s="386">
        <v>15</v>
      </c>
      <c r="AG318" s="386">
        <v>24</v>
      </c>
    </row>
    <row r="319" spans="1:33" x14ac:dyDescent="0.25">
      <c r="A319" s="381" t="s">
        <v>694</v>
      </c>
      <c r="B319" s="387" t="s">
        <v>695</v>
      </c>
      <c r="C319" s="383">
        <v>6917</v>
      </c>
      <c r="D319" s="383">
        <v>7</v>
      </c>
      <c r="E319" s="383">
        <v>55</v>
      </c>
      <c r="F319" s="383">
        <v>954</v>
      </c>
      <c r="G319" s="383">
        <v>300</v>
      </c>
      <c r="H319" s="383">
        <v>8233</v>
      </c>
      <c r="I319" s="382">
        <v>7933</v>
      </c>
      <c r="J319" s="382">
        <v>0</v>
      </c>
      <c r="K319" s="384">
        <v>94.14</v>
      </c>
      <c r="L319" s="384">
        <v>94.56</v>
      </c>
      <c r="M319" s="384">
        <v>4.0199999999999996</v>
      </c>
      <c r="N319" s="384">
        <v>96.21</v>
      </c>
      <c r="O319" s="385">
        <v>6205</v>
      </c>
      <c r="P319" s="382">
        <v>82.76</v>
      </c>
      <c r="Q319" s="382">
        <v>83.62</v>
      </c>
      <c r="R319" s="382">
        <v>28.71</v>
      </c>
      <c r="S319" s="382">
        <v>110.96</v>
      </c>
      <c r="T319" s="382">
        <v>893</v>
      </c>
      <c r="U319" s="382">
        <v>113.03</v>
      </c>
      <c r="V319" s="382">
        <v>700</v>
      </c>
      <c r="W319" s="382">
        <v>197.11</v>
      </c>
      <c r="X319" s="382">
        <v>28</v>
      </c>
      <c r="Y319" s="382">
        <v>0</v>
      </c>
      <c r="Z319" s="382">
        <v>18</v>
      </c>
      <c r="AA319" s="382">
        <v>12</v>
      </c>
      <c r="AB319" s="382">
        <v>45</v>
      </c>
      <c r="AC319" s="382">
        <v>1</v>
      </c>
      <c r="AD319" s="386">
        <v>6917</v>
      </c>
      <c r="AE319" s="386">
        <v>29</v>
      </c>
      <c r="AF319" s="386">
        <v>5</v>
      </c>
      <c r="AG319" s="386">
        <v>34</v>
      </c>
    </row>
    <row r="320" spans="1:33" x14ac:dyDescent="0.25">
      <c r="A320" s="394" t="s">
        <v>696</v>
      </c>
      <c r="B320" s="395" t="s">
        <v>697</v>
      </c>
      <c r="C320" s="393">
        <v>3073</v>
      </c>
      <c r="D320" s="383">
        <v>0</v>
      </c>
      <c r="E320" s="383">
        <v>228</v>
      </c>
      <c r="F320" s="383">
        <v>483</v>
      </c>
      <c r="G320" s="383">
        <v>181</v>
      </c>
      <c r="H320" s="383">
        <v>3965</v>
      </c>
      <c r="I320" s="382">
        <v>3784</v>
      </c>
      <c r="J320" s="382">
        <v>3</v>
      </c>
      <c r="K320" s="384">
        <v>85.88</v>
      </c>
      <c r="L320" s="384">
        <v>85.83</v>
      </c>
      <c r="M320" s="384">
        <v>2.5499999999999998</v>
      </c>
      <c r="N320" s="384">
        <v>88.32</v>
      </c>
      <c r="O320" s="385">
        <v>2883</v>
      </c>
      <c r="P320" s="382">
        <v>88.52</v>
      </c>
      <c r="Q320" s="382">
        <v>80.5</v>
      </c>
      <c r="R320" s="382">
        <v>29.64</v>
      </c>
      <c r="S320" s="382">
        <v>116.9</v>
      </c>
      <c r="T320" s="382">
        <v>657</v>
      </c>
      <c r="U320" s="382">
        <v>107.3</v>
      </c>
      <c r="V320" s="382">
        <v>144</v>
      </c>
      <c r="W320" s="382">
        <v>0</v>
      </c>
      <c r="X320" s="382">
        <v>0</v>
      </c>
      <c r="Y320" s="382">
        <v>0</v>
      </c>
      <c r="Z320" s="382">
        <v>3</v>
      </c>
      <c r="AA320" s="382">
        <v>1</v>
      </c>
      <c r="AB320" s="382">
        <v>11</v>
      </c>
      <c r="AC320" s="382">
        <v>4</v>
      </c>
      <c r="AD320" s="386">
        <v>3039</v>
      </c>
      <c r="AE320" s="386">
        <v>30</v>
      </c>
      <c r="AF320" s="386">
        <v>14</v>
      </c>
      <c r="AG320" s="386">
        <v>44</v>
      </c>
    </row>
    <row r="321" spans="1:33" x14ac:dyDescent="0.25">
      <c r="A321" s="394" t="s">
        <v>698</v>
      </c>
      <c r="B321" s="395" t="s">
        <v>699</v>
      </c>
      <c r="C321" s="393">
        <v>4313</v>
      </c>
      <c r="D321" s="383">
        <v>0</v>
      </c>
      <c r="E321" s="383">
        <v>90</v>
      </c>
      <c r="F321" s="383">
        <v>2174</v>
      </c>
      <c r="G321" s="383">
        <v>361</v>
      </c>
      <c r="H321" s="383">
        <v>6938</v>
      </c>
      <c r="I321" s="382">
        <v>6577</v>
      </c>
      <c r="J321" s="382">
        <v>0</v>
      </c>
      <c r="K321" s="384">
        <v>88.75</v>
      </c>
      <c r="L321" s="384">
        <v>86.13</v>
      </c>
      <c r="M321" s="384">
        <v>4.4800000000000004</v>
      </c>
      <c r="N321" s="384">
        <v>93.03</v>
      </c>
      <c r="O321" s="385">
        <v>4076</v>
      </c>
      <c r="P321" s="382">
        <v>81.88</v>
      </c>
      <c r="Q321" s="382">
        <v>76.88</v>
      </c>
      <c r="R321" s="382">
        <v>14.12</v>
      </c>
      <c r="S321" s="382">
        <v>95.7</v>
      </c>
      <c r="T321" s="382">
        <v>2252</v>
      </c>
      <c r="U321" s="382">
        <v>97.65</v>
      </c>
      <c r="V321" s="382">
        <v>207</v>
      </c>
      <c r="W321" s="382">
        <v>107.86</v>
      </c>
      <c r="X321" s="382">
        <v>2</v>
      </c>
      <c r="Y321" s="382">
        <v>0</v>
      </c>
      <c r="Z321" s="382">
        <v>21</v>
      </c>
      <c r="AA321" s="382">
        <v>10</v>
      </c>
      <c r="AB321" s="382">
        <v>45</v>
      </c>
      <c r="AC321" s="382">
        <v>23</v>
      </c>
      <c r="AD321" s="386">
        <v>4313</v>
      </c>
      <c r="AE321" s="386">
        <v>30</v>
      </c>
      <c r="AF321" s="386">
        <v>31</v>
      </c>
      <c r="AG321" s="386">
        <v>61</v>
      </c>
    </row>
    <row r="322" spans="1:33" x14ac:dyDescent="0.25">
      <c r="A322" s="394" t="s">
        <v>700</v>
      </c>
      <c r="B322" s="395" t="s">
        <v>701</v>
      </c>
      <c r="C322" s="393">
        <v>3502</v>
      </c>
      <c r="D322" s="383">
        <v>10</v>
      </c>
      <c r="E322" s="383">
        <v>329</v>
      </c>
      <c r="F322" s="383">
        <v>1005</v>
      </c>
      <c r="G322" s="383">
        <v>448</v>
      </c>
      <c r="H322" s="383">
        <v>5294</v>
      </c>
      <c r="I322" s="382">
        <v>4846</v>
      </c>
      <c r="J322" s="382">
        <v>84</v>
      </c>
      <c r="K322" s="384">
        <v>93.28</v>
      </c>
      <c r="L322" s="384">
        <v>92.37</v>
      </c>
      <c r="M322" s="384">
        <v>6.3</v>
      </c>
      <c r="N322" s="384">
        <v>96.15</v>
      </c>
      <c r="O322" s="385">
        <v>2810</v>
      </c>
      <c r="P322" s="382">
        <v>82.13</v>
      </c>
      <c r="Q322" s="382">
        <v>75.84</v>
      </c>
      <c r="R322" s="382">
        <v>18.47</v>
      </c>
      <c r="S322" s="382">
        <v>97.97</v>
      </c>
      <c r="T322" s="382">
        <v>828</v>
      </c>
      <c r="U322" s="382">
        <v>109.7</v>
      </c>
      <c r="V322" s="382">
        <v>255</v>
      </c>
      <c r="W322" s="382">
        <v>96.66</v>
      </c>
      <c r="X322" s="382">
        <v>57</v>
      </c>
      <c r="Y322" s="382">
        <v>0</v>
      </c>
      <c r="Z322" s="382">
        <v>1</v>
      </c>
      <c r="AA322" s="382">
        <v>12</v>
      </c>
      <c r="AB322" s="382">
        <v>10</v>
      </c>
      <c r="AC322" s="382">
        <v>7</v>
      </c>
      <c r="AD322" s="386">
        <v>3176</v>
      </c>
      <c r="AE322" s="386">
        <v>18</v>
      </c>
      <c r="AF322" s="386">
        <v>4</v>
      </c>
      <c r="AG322" s="386">
        <v>22</v>
      </c>
    </row>
  </sheetData>
  <pageMargins left="0.7" right="0.7" top="0.75" bottom="0.75" header="0.3" footer="0.3"/>
  <pageSetup paperSize="9" orientation="portrait" r:id="rId1"/>
  <headerFooter>
    <oddFooter>&amp;C&amp;1#&amp;"Calibri"&amp;12&amp;K0078D7OFFICIAL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29CB3-1257-45BB-A432-856B9B8DE94A}">
  <sheetPr codeName="Sheet3">
    <tabColor rgb="FFFFFF00"/>
  </sheetPr>
  <dimension ref="A1:AG322"/>
  <sheetViews>
    <sheetView zoomScale="80" zoomScaleNormal="80" workbookViewId="0">
      <selection activeCell="A4" sqref="A4:AG322"/>
    </sheetView>
  </sheetViews>
  <sheetFormatPr defaultColWidth="9.1796875" defaultRowHeight="12.5" x14ac:dyDescent="0.25"/>
  <cols>
    <col min="1" max="8" width="9.1796875" style="164"/>
    <col min="9" max="10" width="10.453125" style="164" customWidth="1"/>
    <col min="11" max="11" width="10.453125" style="164" bestFit="1" customWidth="1"/>
    <col min="12" max="16384" width="9.1796875" style="164"/>
  </cols>
  <sheetData>
    <row r="1" spans="1:33" s="163" customFormat="1" ht="13" x14ac:dyDescent="0.3">
      <c r="A1" s="153"/>
      <c r="B1" s="153"/>
      <c r="C1" s="154" t="s">
        <v>42</v>
      </c>
      <c r="D1" s="154" t="s">
        <v>42</v>
      </c>
      <c r="E1" s="154" t="s">
        <v>42</v>
      </c>
      <c r="F1" s="154" t="s">
        <v>42</v>
      </c>
      <c r="G1" s="154" t="s">
        <v>42</v>
      </c>
      <c r="H1" s="154" t="s">
        <v>42</v>
      </c>
      <c r="I1" s="155" t="s">
        <v>43</v>
      </c>
      <c r="J1" s="155" t="s">
        <v>43</v>
      </c>
      <c r="K1" s="156" t="s">
        <v>44</v>
      </c>
      <c r="L1" s="156" t="s">
        <v>44</v>
      </c>
      <c r="M1" s="156" t="s">
        <v>44</v>
      </c>
      <c r="N1" s="157" t="s">
        <v>44</v>
      </c>
      <c r="O1" s="156" t="s">
        <v>44</v>
      </c>
      <c r="P1" s="158" t="s">
        <v>45</v>
      </c>
      <c r="Q1" s="158" t="s">
        <v>45</v>
      </c>
      <c r="R1" s="158" t="s">
        <v>45</v>
      </c>
      <c r="S1" s="158" t="s">
        <v>45</v>
      </c>
      <c r="T1" s="158" t="s">
        <v>45</v>
      </c>
      <c r="U1" s="159" t="s">
        <v>46</v>
      </c>
      <c r="V1" s="159" t="s">
        <v>46</v>
      </c>
      <c r="W1" s="160" t="s">
        <v>47</v>
      </c>
      <c r="X1" s="160" t="s">
        <v>47</v>
      </c>
      <c r="Y1" s="161" t="s">
        <v>48</v>
      </c>
      <c r="Z1" s="161" t="s">
        <v>48</v>
      </c>
      <c r="AA1" s="161" t="s">
        <v>48</v>
      </c>
      <c r="AB1" s="161" t="s">
        <v>48</v>
      </c>
      <c r="AC1" s="161" t="s">
        <v>48</v>
      </c>
      <c r="AD1" s="162" t="s">
        <v>49</v>
      </c>
      <c r="AE1" s="162" t="s">
        <v>49</v>
      </c>
      <c r="AF1" s="162" t="s">
        <v>49</v>
      </c>
      <c r="AG1" s="162" t="s">
        <v>49</v>
      </c>
    </row>
    <row r="2" spans="1:33" x14ac:dyDescent="0.25">
      <c r="B2" s="165">
        <v>1</v>
      </c>
      <c r="C2" s="165">
        <v>2</v>
      </c>
      <c r="D2" s="165">
        <v>3</v>
      </c>
      <c r="E2" s="165">
        <v>4</v>
      </c>
      <c r="F2" s="165">
        <v>5</v>
      </c>
      <c r="G2" s="165">
        <v>6</v>
      </c>
      <c r="H2" s="165">
        <v>7</v>
      </c>
      <c r="I2" s="165">
        <v>8</v>
      </c>
      <c r="J2" s="165">
        <v>9</v>
      </c>
      <c r="K2" s="165">
        <v>10</v>
      </c>
      <c r="L2" s="165">
        <v>11</v>
      </c>
      <c r="M2" s="165">
        <v>12</v>
      </c>
      <c r="N2" s="165">
        <v>13</v>
      </c>
      <c r="O2" s="165">
        <v>14</v>
      </c>
      <c r="P2" s="165">
        <v>15</v>
      </c>
      <c r="Q2" s="165">
        <v>16</v>
      </c>
      <c r="R2" s="165">
        <v>17</v>
      </c>
      <c r="S2" s="165">
        <v>18</v>
      </c>
      <c r="T2" s="165">
        <v>19</v>
      </c>
      <c r="U2" s="165">
        <v>20</v>
      </c>
      <c r="V2" s="165">
        <v>21</v>
      </c>
      <c r="W2" s="165">
        <v>22</v>
      </c>
      <c r="X2" s="165">
        <v>23</v>
      </c>
      <c r="Y2" s="165">
        <v>24</v>
      </c>
      <c r="Z2" s="165">
        <v>25</v>
      </c>
      <c r="AA2" s="165">
        <v>26</v>
      </c>
      <c r="AB2" s="165">
        <v>27</v>
      </c>
      <c r="AC2" s="165">
        <v>28</v>
      </c>
      <c r="AD2" s="165">
        <v>29</v>
      </c>
      <c r="AE2" s="165">
        <v>30</v>
      </c>
      <c r="AF2" s="165">
        <v>31</v>
      </c>
      <c r="AG2" s="165">
        <v>32</v>
      </c>
    </row>
    <row r="3" spans="1:33" ht="87.5" x14ac:dyDescent="0.25">
      <c r="A3" s="164" t="s">
        <v>50</v>
      </c>
      <c r="B3" s="164" t="s">
        <v>51</v>
      </c>
      <c r="C3" s="166" t="s">
        <v>52</v>
      </c>
      <c r="D3" s="166" t="s">
        <v>53</v>
      </c>
      <c r="E3" s="166" t="s">
        <v>54</v>
      </c>
      <c r="F3" s="166" t="s">
        <v>55</v>
      </c>
      <c r="G3" s="166" t="s">
        <v>56</v>
      </c>
      <c r="H3" s="166" t="s">
        <v>57</v>
      </c>
      <c r="I3" s="167" t="s">
        <v>58</v>
      </c>
      <c r="J3" s="167" t="s">
        <v>59</v>
      </c>
      <c r="K3" s="168" t="s">
        <v>60</v>
      </c>
      <c r="L3" s="168" t="s">
        <v>61</v>
      </c>
      <c r="M3" s="168" t="s">
        <v>62</v>
      </c>
      <c r="N3" s="169" t="s">
        <v>63</v>
      </c>
      <c r="O3" s="168" t="s">
        <v>64</v>
      </c>
      <c r="P3" s="170" t="s">
        <v>65</v>
      </c>
      <c r="Q3" s="170" t="s">
        <v>66</v>
      </c>
      <c r="R3" s="170" t="s">
        <v>62</v>
      </c>
      <c r="S3" s="170" t="s">
        <v>67</v>
      </c>
      <c r="T3" s="170" t="s">
        <v>68</v>
      </c>
      <c r="U3" s="171" t="s">
        <v>69</v>
      </c>
      <c r="V3" s="171" t="s">
        <v>70</v>
      </c>
      <c r="W3" s="172" t="s">
        <v>71</v>
      </c>
      <c r="X3" s="172" t="s">
        <v>72</v>
      </c>
      <c r="Y3" s="173" t="s">
        <v>73</v>
      </c>
      <c r="Z3" s="173" t="s">
        <v>74</v>
      </c>
      <c r="AA3" s="173" t="s">
        <v>75</v>
      </c>
      <c r="AB3" s="173" t="s">
        <v>76</v>
      </c>
      <c r="AC3" s="173" t="s">
        <v>77</v>
      </c>
      <c r="AD3" s="174" t="s">
        <v>78</v>
      </c>
      <c r="AE3" s="174" t="s">
        <v>79</v>
      </c>
      <c r="AF3" s="174" t="s">
        <v>80</v>
      </c>
      <c r="AG3" s="174" t="s">
        <v>81</v>
      </c>
    </row>
    <row r="4" spans="1:33" x14ac:dyDescent="0.25">
      <c r="A4" s="381" t="s">
        <v>15</v>
      </c>
      <c r="B4" s="381" t="s">
        <v>15</v>
      </c>
      <c r="C4" s="382">
        <v>2063742</v>
      </c>
      <c r="D4" s="382">
        <v>8350</v>
      </c>
      <c r="E4" s="382">
        <v>123223</v>
      </c>
      <c r="F4" s="382">
        <v>298637</v>
      </c>
      <c r="G4" s="382">
        <v>161549</v>
      </c>
      <c r="H4" s="383">
        <v>2655501</v>
      </c>
      <c r="I4" s="382">
        <v>2493952</v>
      </c>
      <c r="J4" s="382">
        <v>8053</v>
      </c>
      <c r="K4" s="384">
        <v>97.84</v>
      </c>
      <c r="L4" s="384">
        <v>98.83</v>
      </c>
      <c r="M4" s="384">
        <v>6.24</v>
      </c>
      <c r="N4" s="384">
        <v>101.35</v>
      </c>
      <c r="O4" s="385">
        <v>1832246</v>
      </c>
      <c r="P4" s="382">
        <v>89.43</v>
      </c>
      <c r="Q4" s="382">
        <v>86.91</v>
      </c>
      <c r="R4" s="382">
        <v>32.619999999999997</v>
      </c>
      <c r="S4" s="382">
        <v>118.78</v>
      </c>
      <c r="T4" s="382">
        <v>361336</v>
      </c>
      <c r="U4" s="382">
        <v>128.6</v>
      </c>
      <c r="V4" s="382">
        <v>151611</v>
      </c>
      <c r="W4" s="382">
        <v>154.62</v>
      </c>
      <c r="X4" s="382">
        <v>9582</v>
      </c>
      <c r="Y4" s="382">
        <v>3897</v>
      </c>
      <c r="Z4" s="382">
        <v>5335</v>
      </c>
      <c r="AA4" s="382">
        <v>4099</v>
      </c>
      <c r="AB4" s="382">
        <v>9960</v>
      </c>
      <c r="AC4" s="382">
        <v>5744</v>
      </c>
      <c r="AD4" s="386">
        <v>2008229</v>
      </c>
      <c r="AE4" s="382">
        <v>12436</v>
      </c>
      <c r="AF4" s="382">
        <v>11462</v>
      </c>
      <c r="AG4" s="382">
        <v>23898</v>
      </c>
    </row>
    <row r="5" spans="1:33" x14ac:dyDescent="0.25">
      <c r="A5" s="387" t="s">
        <v>82</v>
      </c>
      <c r="B5" s="387" t="s">
        <v>82</v>
      </c>
      <c r="C5" s="383">
        <v>105805</v>
      </c>
      <c r="D5" s="383">
        <v>145</v>
      </c>
      <c r="E5" s="383">
        <v>7463</v>
      </c>
      <c r="F5" s="383">
        <v>24742</v>
      </c>
      <c r="G5" s="383">
        <v>10974</v>
      </c>
      <c r="H5" s="383">
        <v>149129</v>
      </c>
      <c r="I5" s="382">
        <v>138155</v>
      </c>
      <c r="J5" s="382">
        <v>331</v>
      </c>
      <c r="K5" s="384">
        <v>89.68</v>
      </c>
      <c r="L5" s="384">
        <v>89.79</v>
      </c>
      <c r="M5" s="384">
        <v>4.53</v>
      </c>
      <c r="N5" s="384">
        <v>92.48</v>
      </c>
      <c r="O5" s="385">
        <v>94777</v>
      </c>
      <c r="P5" s="382">
        <v>86.12</v>
      </c>
      <c r="Q5" s="382">
        <v>83.53</v>
      </c>
      <c r="R5" s="382">
        <v>28.27</v>
      </c>
      <c r="S5" s="382">
        <v>111.61</v>
      </c>
      <c r="T5" s="382">
        <v>28379</v>
      </c>
      <c r="U5" s="382">
        <v>104.76</v>
      </c>
      <c r="V5" s="382">
        <v>6450</v>
      </c>
      <c r="W5" s="382">
        <v>143.82</v>
      </c>
      <c r="X5" s="382">
        <v>519</v>
      </c>
      <c r="Y5" s="382">
        <v>260</v>
      </c>
      <c r="Z5" s="382">
        <v>218</v>
      </c>
      <c r="AA5" s="382">
        <v>401</v>
      </c>
      <c r="AB5" s="382">
        <v>671</v>
      </c>
      <c r="AC5" s="382">
        <v>320</v>
      </c>
      <c r="AD5" s="386">
        <v>103137</v>
      </c>
      <c r="AE5" s="382">
        <v>698</v>
      </c>
      <c r="AF5" s="382">
        <v>515</v>
      </c>
      <c r="AG5" s="382">
        <v>1213</v>
      </c>
    </row>
    <row r="6" spans="1:33" x14ac:dyDescent="0.25">
      <c r="A6" s="387" t="s">
        <v>83</v>
      </c>
      <c r="B6" s="387" t="s">
        <v>83</v>
      </c>
      <c r="C6" s="383">
        <v>205065</v>
      </c>
      <c r="D6" s="383">
        <v>1321</v>
      </c>
      <c r="E6" s="383">
        <v>12624</v>
      </c>
      <c r="F6" s="383">
        <v>30541</v>
      </c>
      <c r="G6" s="383">
        <v>17256</v>
      </c>
      <c r="H6" s="383">
        <v>266807</v>
      </c>
      <c r="I6" s="382">
        <v>249551</v>
      </c>
      <c r="J6" s="382">
        <v>722</v>
      </c>
      <c r="K6" s="384">
        <v>101.91</v>
      </c>
      <c r="L6" s="384">
        <v>102.54</v>
      </c>
      <c r="M6" s="384">
        <v>5.44</v>
      </c>
      <c r="N6" s="384">
        <v>104.42</v>
      </c>
      <c r="O6" s="385">
        <v>182683</v>
      </c>
      <c r="P6" s="382">
        <v>91.06</v>
      </c>
      <c r="Q6" s="382">
        <v>89.03</v>
      </c>
      <c r="R6" s="382">
        <v>33.11</v>
      </c>
      <c r="S6" s="382">
        <v>121.2</v>
      </c>
      <c r="T6" s="382">
        <v>36901</v>
      </c>
      <c r="U6" s="382">
        <v>131.86000000000001</v>
      </c>
      <c r="V6" s="382">
        <v>16847</v>
      </c>
      <c r="W6" s="382">
        <v>153.53</v>
      </c>
      <c r="X6" s="382">
        <v>342</v>
      </c>
      <c r="Y6" s="382">
        <v>122</v>
      </c>
      <c r="Z6" s="382">
        <v>400</v>
      </c>
      <c r="AA6" s="382">
        <v>313</v>
      </c>
      <c r="AB6" s="382">
        <v>869</v>
      </c>
      <c r="AC6" s="382">
        <v>728</v>
      </c>
      <c r="AD6" s="386">
        <v>203125</v>
      </c>
      <c r="AE6" s="382">
        <v>934</v>
      </c>
      <c r="AF6" s="382">
        <v>557</v>
      </c>
      <c r="AG6" s="382">
        <v>1491</v>
      </c>
    </row>
    <row r="7" spans="1:33" x14ac:dyDescent="0.25">
      <c r="A7" s="387" t="s">
        <v>84</v>
      </c>
      <c r="B7" s="387" t="s">
        <v>84</v>
      </c>
      <c r="C7" s="383">
        <v>345361</v>
      </c>
      <c r="D7" s="383">
        <v>3824</v>
      </c>
      <c r="E7" s="383">
        <v>27735</v>
      </c>
      <c r="F7" s="383">
        <v>28408</v>
      </c>
      <c r="G7" s="383">
        <v>44123</v>
      </c>
      <c r="H7" s="383">
        <v>449451</v>
      </c>
      <c r="I7" s="382">
        <v>405328</v>
      </c>
      <c r="J7" s="382">
        <v>1449</v>
      </c>
      <c r="K7" s="384">
        <v>125.47</v>
      </c>
      <c r="L7" s="384">
        <v>128.76</v>
      </c>
      <c r="M7" s="384">
        <v>10.54</v>
      </c>
      <c r="N7" s="384">
        <v>132.91999999999999</v>
      </c>
      <c r="O7" s="385">
        <v>294548</v>
      </c>
      <c r="P7" s="382">
        <v>109.02</v>
      </c>
      <c r="Q7" s="382">
        <v>109.04</v>
      </c>
      <c r="R7" s="382">
        <v>44.68</v>
      </c>
      <c r="S7" s="382">
        <v>150.15</v>
      </c>
      <c r="T7" s="382">
        <v>44303</v>
      </c>
      <c r="U7" s="382">
        <v>185.54</v>
      </c>
      <c r="V7" s="382">
        <v>22383</v>
      </c>
      <c r="W7" s="382">
        <v>201.97</v>
      </c>
      <c r="X7" s="382">
        <v>853</v>
      </c>
      <c r="Y7" s="382">
        <v>1341</v>
      </c>
      <c r="Z7" s="382">
        <v>453</v>
      </c>
      <c r="AA7" s="382">
        <v>665</v>
      </c>
      <c r="AB7" s="382">
        <v>3629</v>
      </c>
      <c r="AC7" s="382">
        <v>1990</v>
      </c>
      <c r="AD7" s="386">
        <v>326341</v>
      </c>
      <c r="AE7" s="382">
        <v>1480</v>
      </c>
      <c r="AF7" s="382">
        <v>2258</v>
      </c>
      <c r="AG7" s="382">
        <v>3738</v>
      </c>
    </row>
    <row r="8" spans="1:33" x14ac:dyDescent="0.25">
      <c r="A8" s="387" t="s">
        <v>85</v>
      </c>
      <c r="B8" s="387" t="s">
        <v>85</v>
      </c>
      <c r="C8" s="383">
        <v>151395</v>
      </c>
      <c r="D8" s="383">
        <v>576</v>
      </c>
      <c r="E8" s="383">
        <v>6317</v>
      </c>
      <c r="F8" s="383">
        <v>20596</v>
      </c>
      <c r="G8" s="383">
        <v>3370</v>
      </c>
      <c r="H8" s="383">
        <v>182254</v>
      </c>
      <c r="I8" s="382">
        <v>178884</v>
      </c>
      <c r="J8" s="382">
        <v>435</v>
      </c>
      <c r="K8" s="384">
        <v>80.41</v>
      </c>
      <c r="L8" s="384">
        <v>81.92</v>
      </c>
      <c r="M8" s="384">
        <v>6.32</v>
      </c>
      <c r="N8" s="384">
        <v>82.41</v>
      </c>
      <c r="O8" s="385">
        <v>139317</v>
      </c>
      <c r="P8" s="382">
        <v>80.7</v>
      </c>
      <c r="Q8" s="382">
        <v>75.459999999999994</v>
      </c>
      <c r="R8" s="382">
        <v>35.79</v>
      </c>
      <c r="S8" s="382">
        <v>108.49</v>
      </c>
      <c r="T8" s="382">
        <v>24171</v>
      </c>
      <c r="U8" s="382">
        <v>96.74</v>
      </c>
      <c r="V8" s="382">
        <v>9648</v>
      </c>
      <c r="W8" s="382">
        <v>138.01</v>
      </c>
      <c r="X8" s="382">
        <v>1461</v>
      </c>
      <c r="Y8" s="382">
        <v>18</v>
      </c>
      <c r="Z8" s="382">
        <v>492</v>
      </c>
      <c r="AA8" s="382">
        <v>216</v>
      </c>
      <c r="AB8" s="382">
        <v>147</v>
      </c>
      <c r="AC8" s="382">
        <v>73</v>
      </c>
      <c r="AD8" s="386">
        <v>148758</v>
      </c>
      <c r="AE8" s="382">
        <v>1663</v>
      </c>
      <c r="AF8" s="382">
        <v>1049</v>
      </c>
      <c r="AG8" s="382">
        <v>2712</v>
      </c>
    </row>
    <row r="9" spans="1:33" x14ac:dyDescent="0.25">
      <c r="A9" s="387" t="s">
        <v>86</v>
      </c>
      <c r="B9" s="387" t="s">
        <v>86</v>
      </c>
      <c r="C9" s="383">
        <v>421908</v>
      </c>
      <c r="D9" s="383">
        <v>853</v>
      </c>
      <c r="E9" s="383">
        <v>20633</v>
      </c>
      <c r="F9" s="383">
        <v>57660</v>
      </c>
      <c r="G9" s="383">
        <v>13343</v>
      </c>
      <c r="H9" s="383">
        <v>514397</v>
      </c>
      <c r="I9" s="382">
        <v>501054</v>
      </c>
      <c r="J9" s="382">
        <v>2550</v>
      </c>
      <c r="K9" s="384">
        <v>84.59</v>
      </c>
      <c r="L9" s="384">
        <v>85.06</v>
      </c>
      <c r="M9" s="384">
        <v>4.6900000000000004</v>
      </c>
      <c r="N9" s="384">
        <v>86.91</v>
      </c>
      <c r="O9" s="385">
        <v>380599</v>
      </c>
      <c r="P9" s="382">
        <v>82.48</v>
      </c>
      <c r="Q9" s="382">
        <v>79.3</v>
      </c>
      <c r="R9" s="382">
        <v>29.97</v>
      </c>
      <c r="S9" s="382">
        <v>108.53</v>
      </c>
      <c r="T9" s="382">
        <v>71480</v>
      </c>
      <c r="U9" s="382">
        <v>105.19</v>
      </c>
      <c r="V9" s="382">
        <v>31093</v>
      </c>
      <c r="W9" s="382">
        <v>142.97999999999999</v>
      </c>
      <c r="X9" s="382">
        <v>1170</v>
      </c>
      <c r="Y9" s="382">
        <v>166</v>
      </c>
      <c r="Z9" s="382">
        <v>1717</v>
      </c>
      <c r="AA9" s="382">
        <v>868</v>
      </c>
      <c r="AB9" s="382">
        <v>599</v>
      </c>
      <c r="AC9" s="382">
        <v>279</v>
      </c>
      <c r="AD9" s="386">
        <v>412189</v>
      </c>
      <c r="AE9" s="382">
        <v>2955</v>
      </c>
      <c r="AF9" s="382">
        <v>2879</v>
      </c>
      <c r="AG9" s="382">
        <v>5834</v>
      </c>
    </row>
    <row r="10" spans="1:33" x14ac:dyDescent="0.25">
      <c r="A10" s="387" t="s">
        <v>87</v>
      </c>
      <c r="B10" s="387" t="s">
        <v>87</v>
      </c>
      <c r="C10" s="383">
        <v>280392</v>
      </c>
      <c r="D10" s="383">
        <v>565</v>
      </c>
      <c r="E10" s="383">
        <v>15180</v>
      </c>
      <c r="F10" s="383">
        <v>41319</v>
      </c>
      <c r="G10" s="383">
        <v>35650</v>
      </c>
      <c r="H10" s="383">
        <v>373106</v>
      </c>
      <c r="I10" s="382">
        <v>337456</v>
      </c>
      <c r="J10" s="382">
        <v>790</v>
      </c>
      <c r="K10" s="384">
        <v>111.05</v>
      </c>
      <c r="L10" s="384">
        <v>111.15</v>
      </c>
      <c r="M10" s="384">
        <v>5.42</v>
      </c>
      <c r="N10" s="384">
        <v>114.41</v>
      </c>
      <c r="O10" s="385">
        <v>243320</v>
      </c>
      <c r="P10" s="382">
        <v>95.73</v>
      </c>
      <c r="Q10" s="382">
        <v>93.63</v>
      </c>
      <c r="R10" s="382">
        <v>30.22</v>
      </c>
      <c r="S10" s="382">
        <v>123.74</v>
      </c>
      <c r="T10" s="382">
        <v>46237</v>
      </c>
      <c r="U10" s="382">
        <v>147.97999999999999</v>
      </c>
      <c r="V10" s="382">
        <v>26011</v>
      </c>
      <c r="W10" s="382">
        <v>166.19</v>
      </c>
      <c r="X10" s="382">
        <v>1883</v>
      </c>
      <c r="Y10" s="382">
        <v>926</v>
      </c>
      <c r="Z10" s="382">
        <v>713</v>
      </c>
      <c r="AA10" s="382">
        <v>330</v>
      </c>
      <c r="AB10" s="382">
        <v>2159</v>
      </c>
      <c r="AC10" s="382">
        <v>1352</v>
      </c>
      <c r="AD10" s="386">
        <v>273882</v>
      </c>
      <c r="AE10" s="382">
        <v>1123</v>
      </c>
      <c r="AF10" s="382">
        <v>1160</v>
      </c>
      <c r="AG10" s="382">
        <v>2283</v>
      </c>
    </row>
    <row r="11" spans="1:33" x14ac:dyDescent="0.25">
      <c r="A11" s="387" t="s">
        <v>88</v>
      </c>
      <c r="B11" s="387" t="s">
        <v>88</v>
      </c>
      <c r="C11" s="383">
        <v>184946</v>
      </c>
      <c r="D11" s="383">
        <v>339</v>
      </c>
      <c r="E11" s="383">
        <v>11953</v>
      </c>
      <c r="F11" s="383">
        <v>35743</v>
      </c>
      <c r="G11" s="383">
        <v>15997</v>
      </c>
      <c r="H11" s="383">
        <v>248978</v>
      </c>
      <c r="I11" s="382">
        <v>232981</v>
      </c>
      <c r="J11" s="382">
        <v>546</v>
      </c>
      <c r="K11" s="384">
        <v>94.66</v>
      </c>
      <c r="L11" s="384">
        <v>94.07</v>
      </c>
      <c r="M11" s="384">
        <v>4.71</v>
      </c>
      <c r="N11" s="384">
        <v>97.44</v>
      </c>
      <c r="O11" s="385">
        <v>161881</v>
      </c>
      <c r="P11" s="382">
        <v>85.84</v>
      </c>
      <c r="Q11" s="382">
        <v>83.18</v>
      </c>
      <c r="R11" s="382">
        <v>27.89</v>
      </c>
      <c r="S11" s="382">
        <v>111.94</v>
      </c>
      <c r="T11" s="382">
        <v>41794</v>
      </c>
      <c r="U11" s="382">
        <v>122.25</v>
      </c>
      <c r="V11" s="382">
        <v>15261</v>
      </c>
      <c r="W11" s="382">
        <v>153.87</v>
      </c>
      <c r="X11" s="382">
        <v>855</v>
      </c>
      <c r="Y11" s="382">
        <v>908</v>
      </c>
      <c r="Z11" s="382">
        <v>352</v>
      </c>
      <c r="AA11" s="382">
        <v>408</v>
      </c>
      <c r="AB11" s="382">
        <v>1004</v>
      </c>
      <c r="AC11" s="382">
        <v>386</v>
      </c>
      <c r="AD11" s="386">
        <v>178143</v>
      </c>
      <c r="AE11" s="382">
        <v>706</v>
      </c>
      <c r="AF11" s="382">
        <v>876</v>
      </c>
      <c r="AG11" s="382">
        <v>1582</v>
      </c>
    </row>
    <row r="12" spans="1:33" x14ac:dyDescent="0.25">
      <c r="A12" s="387" t="s">
        <v>89</v>
      </c>
      <c r="B12" s="387" t="s">
        <v>89</v>
      </c>
      <c r="C12" s="383">
        <v>209643</v>
      </c>
      <c r="D12" s="383">
        <v>283</v>
      </c>
      <c r="E12" s="383">
        <v>12555</v>
      </c>
      <c r="F12" s="383">
        <v>33785</v>
      </c>
      <c r="G12" s="383">
        <v>14234</v>
      </c>
      <c r="H12" s="383">
        <v>270500</v>
      </c>
      <c r="I12" s="382">
        <v>256266</v>
      </c>
      <c r="J12" s="382">
        <v>841</v>
      </c>
      <c r="K12" s="384">
        <v>90.72</v>
      </c>
      <c r="L12" s="384">
        <v>90.85</v>
      </c>
      <c r="M12" s="384">
        <v>5.43</v>
      </c>
      <c r="N12" s="384">
        <v>94.24</v>
      </c>
      <c r="O12" s="385">
        <v>189696</v>
      </c>
      <c r="P12" s="382">
        <v>86.4</v>
      </c>
      <c r="Q12" s="382">
        <v>84.99</v>
      </c>
      <c r="R12" s="382">
        <v>33.729999999999997</v>
      </c>
      <c r="S12" s="382">
        <v>116.39</v>
      </c>
      <c r="T12" s="382">
        <v>38085</v>
      </c>
      <c r="U12" s="382">
        <v>109.78</v>
      </c>
      <c r="V12" s="382">
        <v>13398</v>
      </c>
      <c r="W12" s="382">
        <v>161.99</v>
      </c>
      <c r="X12" s="382">
        <v>1623</v>
      </c>
      <c r="Y12" s="382">
        <v>130</v>
      </c>
      <c r="Z12" s="382">
        <v>517</v>
      </c>
      <c r="AA12" s="382">
        <v>470</v>
      </c>
      <c r="AB12" s="382">
        <v>661</v>
      </c>
      <c r="AC12" s="382">
        <v>494</v>
      </c>
      <c r="AD12" s="386">
        <v>205086</v>
      </c>
      <c r="AE12" s="382">
        <v>1081</v>
      </c>
      <c r="AF12" s="382">
        <v>912</v>
      </c>
      <c r="AG12" s="382">
        <v>1993</v>
      </c>
    </row>
    <row r="13" spans="1:33" x14ac:dyDescent="0.25">
      <c r="A13" s="387" t="s">
        <v>792</v>
      </c>
      <c r="B13" s="387" t="s">
        <v>792</v>
      </c>
      <c r="C13" s="383">
        <v>159227</v>
      </c>
      <c r="D13" s="383">
        <v>444</v>
      </c>
      <c r="E13" s="383">
        <v>8763</v>
      </c>
      <c r="F13" s="383">
        <v>25843</v>
      </c>
      <c r="G13" s="383">
        <v>6602</v>
      </c>
      <c r="H13" s="383">
        <v>200879</v>
      </c>
      <c r="I13" s="382">
        <v>194277</v>
      </c>
      <c r="J13" s="382">
        <v>389</v>
      </c>
      <c r="K13" s="384">
        <v>84.14</v>
      </c>
      <c r="L13" s="384">
        <v>84.01</v>
      </c>
      <c r="M13" s="384">
        <v>5.33</v>
      </c>
      <c r="N13" s="384">
        <v>87.07</v>
      </c>
      <c r="O13" s="385">
        <v>145425</v>
      </c>
      <c r="P13" s="382">
        <v>84.42</v>
      </c>
      <c r="Q13" s="382">
        <v>78.62</v>
      </c>
      <c r="R13" s="382">
        <v>31.15</v>
      </c>
      <c r="S13" s="382">
        <v>113.89</v>
      </c>
      <c r="T13" s="382">
        <v>29986</v>
      </c>
      <c r="U13" s="382">
        <v>100.45</v>
      </c>
      <c r="V13" s="382">
        <v>10520</v>
      </c>
      <c r="W13" s="382">
        <v>120.76</v>
      </c>
      <c r="X13" s="382">
        <v>876</v>
      </c>
      <c r="Y13" s="382">
        <v>26</v>
      </c>
      <c r="Z13" s="382">
        <v>473</v>
      </c>
      <c r="AA13" s="382">
        <v>428</v>
      </c>
      <c r="AB13" s="382">
        <v>221</v>
      </c>
      <c r="AC13" s="382">
        <v>122</v>
      </c>
      <c r="AD13" s="386">
        <v>157568</v>
      </c>
      <c r="AE13" s="382">
        <v>1796</v>
      </c>
      <c r="AF13" s="382">
        <v>1256</v>
      </c>
      <c r="AG13" s="382">
        <v>3052</v>
      </c>
    </row>
    <row r="14" spans="1:33" x14ac:dyDescent="0.25">
      <c r="A14" s="381" t="s">
        <v>90</v>
      </c>
      <c r="B14" s="387" t="s">
        <v>91</v>
      </c>
      <c r="C14" s="383">
        <v>799</v>
      </c>
      <c r="D14" s="383">
        <v>0</v>
      </c>
      <c r="E14" s="383">
        <v>59</v>
      </c>
      <c r="F14" s="383">
        <v>138</v>
      </c>
      <c r="G14" s="383">
        <v>108</v>
      </c>
      <c r="H14" s="383">
        <v>1104</v>
      </c>
      <c r="I14" s="382">
        <v>996</v>
      </c>
      <c r="J14" s="382">
        <v>0</v>
      </c>
      <c r="K14" s="384">
        <v>115.17</v>
      </c>
      <c r="L14" s="384">
        <v>116.95</v>
      </c>
      <c r="M14" s="384">
        <v>5.27</v>
      </c>
      <c r="N14" s="384">
        <v>119.04</v>
      </c>
      <c r="O14" s="385">
        <v>715</v>
      </c>
      <c r="P14" s="382">
        <v>85.46</v>
      </c>
      <c r="Q14" s="382">
        <v>86.87</v>
      </c>
      <c r="R14" s="382">
        <v>29.44</v>
      </c>
      <c r="S14" s="382">
        <v>114.9</v>
      </c>
      <c r="T14" s="382">
        <v>175</v>
      </c>
      <c r="U14" s="382">
        <v>146.36000000000001</v>
      </c>
      <c r="V14" s="382">
        <v>56</v>
      </c>
      <c r="W14" s="382">
        <v>141.29</v>
      </c>
      <c r="X14" s="382">
        <v>14</v>
      </c>
      <c r="Y14" s="382">
        <v>0</v>
      </c>
      <c r="Z14" s="382">
        <v>5</v>
      </c>
      <c r="AA14" s="382">
        <v>1</v>
      </c>
      <c r="AB14" s="382">
        <v>0</v>
      </c>
      <c r="AC14" s="382">
        <v>9</v>
      </c>
      <c r="AD14" s="386">
        <v>778</v>
      </c>
      <c r="AE14" s="386">
        <v>3</v>
      </c>
      <c r="AF14" s="386">
        <v>0</v>
      </c>
      <c r="AG14" s="386">
        <v>3</v>
      </c>
    </row>
    <row r="15" spans="1:33" x14ac:dyDescent="0.25">
      <c r="A15" s="381" t="s">
        <v>92</v>
      </c>
      <c r="B15" s="387" t="s">
        <v>93</v>
      </c>
      <c r="C15" s="383">
        <v>8072</v>
      </c>
      <c r="D15" s="383">
        <v>54</v>
      </c>
      <c r="E15" s="383">
        <v>165</v>
      </c>
      <c r="F15" s="383">
        <v>395</v>
      </c>
      <c r="G15" s="383">
        <v>99</v>
      </c>
      <c r="H15" s="383">
        <v>8785</v>
      </c>
      <c r="I15" s="382">
        <v>8686</v>
      </c>
      <c r="J15" s="382">
        <v>9</v>
      </c>
      <c r="K15" s="384">
        <v>86.08</v>
      </c>
      <c r="L15" s="384">
        <v>87.21</v>
      </c>
      <c r="M15" s="384">
        <v>2.52</v>
      </c>
      <c r="N15" s="384">
        <v>87.92</v>
      </c>
      <c r="O15" s="385">
        <v>7316</v>
      </c>
      <c r="P15" s="382">
        <v>78.95</v>
      </c>
      <c r="Q15" s="382">
        <v>76</v>
      </c>
      <c r="R15" s="382">
        <v>26.95</v>
      </c>
      <c r="S15" s="382">
        <v>103.47</v>
      </c>
      <c r="T15" s="382">
        <v>510</v>
      </c>
      <c r="U15" s="382">
        <v>105.55</v>
      </c>
      <c r="V15" s="382">
        <v>272</v>
      </c>
      <c r="W15" s="382">
        <v>133.44999999999999</v>
      </c>
      <c r="X15" s="382">
        <v>42</v>
      </c>
      <c r="Y15" s="382">
        <v>0</v>
      </c>
      <c r="Z15" s="382">
        <v>11</v>
      </c>
      <c r="AA15" s="382">
        <v>8</v>
      </c>
      <c r="AB15" s="382">
        <v>1</v>
      </c>
      <c r="AC15" s="382">
        <v>2</v>
      </c>
      <c r="AD15" s="386">
        <v>7440</v>
      </c>
      <c r="AE15" s="386">
        <v>101</v>
      </c>
      <c r="AF15" s="386">
        <v>48</v>
      </c>
      <c r="AG15" s="386">
        <v>149</v>
      </c>
    </row>
    <row r="16" spans="1:33" x14ac:dyDescent="0.25">
      <c r="A16" s="381" t="s">
        <v>94</v>
      </c>
      <c r="B16" s="387" t="s">
        <v>95</v>
      </c>
      <c r="C16" s="383">
        <v>4472</v>
      </c>
      <c r="D16" s="383">
        <v>0</v>
      </c>
      <c r="E16" s="383">
        <v>139</v>
      </c>
      <c r="F16" s="383">
        <v>2475</v>
      </c>
      <c r="G16" s="383">
        <v>121</v>
      </c>
      <c r="H16" s="383">
        <v>7207</v>
      </c>
      <c r="I16" s="382">
        <v>7086</v>
      </c>
      <c r="J16" s="382">
        <v>0</v>
      </c>
      <c r="K16" s="384">
        <v>90.4</v>
      </c>
      <c r="L16" s="384">
        <v>90.77</v>
      </c>
      <c r="M16" s="384">
        <v>2.27</v>
      </c>
      <c r="N16" s="384">
        <v>92.48</v>
      </c>
      <c r="O16" s="385">
        <v>4375</v>
      </c>
      <c r="P16" s="382">
        <v>84.34</v>
      </c>
      <c r="Q16" s="382">
        <v>89.41</v>
      </c>
      <c r="R16" s="382">
        <v>8.48</v>
      </c>
      <c r="S16" s="382">
        <v>92.7</v>
      </c>
      <c r="T16" s="382">
        <v>2589</v>
      </c>
      <c r="U16" s="382">
        <v>99.49</v>
      </c>
      <c r="V16" s="382">
        <v>84</v>
      </c>
      <c r="W16" s="382">
        <v>0</v>
      </c>
      <c r="X16" s="382">
        <v>0</v>
      </c>
      <c r="Y16" s="382">
        <v>0</v>
      </c>
      <c r="Z16" s="382">
        <v>26</v>
      </c>
      <c r="AA16" s="382">
        <v>7</v>
      </c>
      <c r="AB16" s="382">
        <v>0</v>
      </c>
      <c r="AC16" s="382">
        <v>2</v>
      </c>
      <c r="AD16" s="386">
        <v>4464</v>
      </c>
      <c r="AE16" s="386">
        <v>33</v>
      </c>
      <c r="AF16" s="386">
        <v>14</v>
      </c>
      <c r="AG16" s="386">
        <v>47</v>
      </c>
    </row>
    <row r="17" spans="1:33" x14ac:dyDescent="0.25">
      <c r="A17" s="381" t="s">
        <v>96</v>
      </c>
      <c r="B17" s="387" t="s">
        <v>97</v>
      </c>
      <c r="C17" s="383">
        <v>2714</v>
      </c>
      <c r="D17" s="383">
        <v>13</v>
      </c>
      <c r="E17" s="383">
        <v>221</v>
      </c>
      <c r="F17" s="383">
        <v>374</v>
      </c>
      <c r="G17" s="383">
        <v>466</v>
      </c>
      <c r="H17" s="383">
        <v>3788</v>
      </c>
      <c r="I17" s="382">
        <v>3322</v>
      </c>
      <c r="J17" s="382">
        <v>3</v>
      </c>
      <c r="K17" s="384">
        <v>112.13</v>
      </c>
      <c r="L17" s="384">
        <v>111.9</v>
      </c>
      <c r="M17" s="384">
        <v>4.78</v>
      </c>
      <c r="N17" s="384">
        <v>116.02</v>
      </c>
      <c r="O17" s="385">
        <v>2188</v>
      </c>
      <c r="P17" s="382">
        <v>93.31</v>
      </c>
      <c r="Q17" s="382">
        <v>89.95</v>
      </c>
      <c r="R17" s="382">
        <v>35.22</v>
      </c>
      <c r="S17" s="382">
        <v>125.94</v>
      </c>
      <c r="T17" s="382">
        <v>409</v>
      </c>
      <c r="U17" s="382">
        <v>154.47999999999999</v>
      </c>
      <c r="V17" s="382">
        <v>480</v>
      </c>
      <c r="W17" s="382">
        <v>0</v>
      </c>
      <c r="X17" s="382">
        <v>0</v>
      </c>
      <c r="Y17" s="382">
        <v>0</v>
      </c>
      <c r="Z17" s="382">
        <v>1</v>
      </c>
      <c r="AA17" s="382">
        <v>3</v>
      </c>
      <c r="AB17" s="382">
        <v>27</v>
      </c>
      <c r="AC17" s="382">
        <v>8</v>
      </c>
      <c r="AD17" s="386">
        <v>2712</v>
      </c>
      <c r="AE17" s="386">
        <v>4</v>
      </c>
      <c r="AF17" s="386">
        <v>3</v>
      </c>
      <c r="AG17" s="386">
        <v>7</v>
      </c>
    </row>
    <row r="18" spans="1:33" x14ac:dyDescent="0.25">
      <c r="A18" s="381" t="s">
        <v>98</v>
      </c>
      <c r="B18" s="387" t="s">
        <v>99</v>
      </c>
      <c r="C18" s="383">
        <v>1480</v>
      </c>
      <c r="D18" s="383">
        <v>0</v>
      </c>
      <c r="E18" s="383">
        <v>173</v>
      </c>
      <c r="F18" s="383">
        <v>291</v>
      </c>
      <c r="G18" s="383">
        <v>164</v>
      </c>
      <c r="H18" s="383">
        <v>2108</v>
      </c>
      <c r="I18" s="382">
        <v>1944</v>
      </c>
      <c r="J18" s="382">
        <v>0</v>
      </c>
      <c r="K18" s="384">
        <v>88.04</v>
      </c>
      <c r="L18" s="384">
        <v>86.57</v>
      </c>
      <c r="M18" s="384">
        <v>4.97</v>
      </c>
      <c r="N18" s="384">
        <v>90.49</v>
      </c>
      <c r="O18" s="385">
        <v>1357</v>
      </c>
      <c r="P18" s="382">
        <v>95.53</v>
      </c>
      <c r="Q18" s="382">
        <v>85.48</v>
      </c>
      <c r="R18" s="382">
        <v>31.53</v>
      </c>
      <c r="S18" s="382">
        <v>125.4</v>
      </c>
      <c r="T18" s="382">
        <v>398</v>
      </c>
      <c r="U18" s="382">
        <v>100.24</v>
      </c>
      <c r="V18" s="382">
        <v>47</v>
      </c>
      <c r="W18" s="382">
        <v>0</v>
      </c>
      <c r="X18" s="382">
        <v>0</v>
      </c>
      <c r="Y18" s="382">
        <v>0</v>
      </c>
      <c r="Z18" s="382">
        <v>0</v>
      </c>
      <c r="AA18" s="382">
        <v>9</v>
      </c>
      <c r="AB18" s="382">
        <v>1</v>
      </c>
      <c r="AC18" s="382">
        <v>5</v>
      </c>
      <c r="AD18" s="386">
        <v>1480</v>
      </c>
      <c r="AE18" s="386">
        <v>10</v>
      </c>
      <c r="AF18" s="386">
        <v>5</v>
      </c>
      <c r="AG18" s="386">
        <v>15</v>
      </c>
    </row>
    <row r="19" spans="1:33" x14ac:dyDescent="0.25">
      <c r="A19" s="381" t="s">
        <v>100</v>
      </c>
      <c r="B19" s="387" t="s">
        <v>101</v>
      </c>
      <c r="C19" s="383">
        <v>2125</v>
      </c>
      <c r="D19" s="383">
        <v>7</v>
      </c>
      <c r="E19" s="383">
        <v>113</v>
      </c>
      <c r="F19" s="383">
        <v>151</v>
      </c>
      <c r="G19" s="383">
        <v>644</v>
      </c>
      <c r="H19" s="383">
        <v>3040</v>
      </c>
      <c r="I19" s="382">
        <v>2396</v>
      </c>
      <c r="J19" s="382">
        <v>0</v>
      </c>
      <c r="K19" s="384">
        <v>102.79</v>
      </c>
      <c r="L19" s="384">
        <v>103.05</v>
      </c>
      <c r="M19" s="384">
        <v>5.33</v>
      </c>
      <c r="N19" s="384">
        <v>107.02</v>
      </c>
      <c r="O19" s="385">
        <v>1757</v>
      </c>
      <c r="P19" s="382">
        <v>88.75</v>
      </c>
      <c r="Q19" s="382">
        <v>89.12</v>
      </c>
      <c r="R19" s="382">
        <v>44.4</v>
      </c>
      <c r="S19" s="382">
        <v>131.15</v>
      </c>
      <c r="T19" s="382">
        <v>201</v>
      </c>
      <c r="U19" s="382">
        <v>130.27000000000001</v>
      </c>
      <c r="V19" s="382">
        <v>281</v>
      </c>
      <c r="W19" s="382">
        <v>192.44</v>
      </c>
      <c r="X19" s="382">
        <v>34</v>
      </c>
      <c r="Y19" s="382">
        <v>0</v>
      </c>
      <c r="Z19" s="382">
        <v>8</v>
      </c>
      <c r="AA19" s="382">
        <v>2</v>
      </c>
      <c r="AB19" s="382">
        <v>44</v>
      </c>
      <c r="AC19" s="382">
        <v>38</v>
      </c>
      <c r="AD19" s="386">
        <v>2063</v>
      </c>
      <c r="AE19" s="386">
        <v>10</v>
      </c>
      <c r="AF19" s="386">
        <v>0</v>
      </c>
      <c r="AG19" s="386">
        <v>10</v>
      </c>
    </row>
    <row r="20" spans="1:33" x14ac:dyDescent="0.25">
      <c r="A20" s="381" t="s">
        <v>102</v>
      </c>
      <c r="B20" s="387" t="s">
        <v>103</v>
      </c>
      <c r="C20" s="383">
        <v>1660</v>
      </c>
      <c r="D20" s="383">
        <v>0</v>
      </c>
      <c r="E20" s="383">
        <v>115</v>
      </c>
      <c r="F20" s="383">
        <v>125</v>
      </c>
      <c r="G20" s="383">
        <v>155</v>
      </c>
      <c r="H20" s="383">
        <v>2055</v>
      </c>
      <c r="I20" s="382">
        <v>1900</v>
      </c>
      <c r="J20" s="382">
        <v>17</v>
      </c>
      <c r="K20" s="384">
        <v>95.45</v>
      </c>
      <c r="L20" s="384">
        <v>94.23</v>
      </c>
      <c r="M20" s="384">
        <v>3.86</v>
      </c>
      <c r="N20" s="384">
        <v>97.45</v>
      </c>
      <c r="O20" s="385">
        <v>1296</v>
      </c>
      <c r="P20" s="382">
        <v>105.94</v>
      </c>
      <c r="Q20" s="382">
        <v>97.37</v>
      </c>
      <c r="R20" s="382">
        <v>52.63</v>
      </c>
      <c r="S20" s="382">
        <v>154.25</v>
      </c>
      <c r="T20" s="382">
        <v>183</v>
      </c>
      <c r="U20" s="382">
        <v>117.64</v>
      </c>
      <c r="V20" s="382">
        <v>308</v>
      </c>
      <c r="W20" s="382">
        <v>111.01</v>
      </c>
      <c r="X20" s="382">
        <v>2</v>
      </c>
      <c r="Y20" s="382">
        <v>1</v>
      </c>
      <c r="Z20" s="382">
        <v>0</v>
      </c>
      <c r="AA20" s="382">
        <v>4</v>
      </c>
      <c r="AB20" s="382">
        <v>2</v>
      </c>
      <c r="AC20" s="382">
        <v>1</v>
      </c>
      <c r="AD20" s="386">
        <v>1653</v>
      </c>
      <c r="AE20" s="386">
        <v>5</v>
      </c>
      <c r="AF20" s="386">
        <v>8</v>
      </c>
      <c r="AG20" s="386">
        <v>13</v>
      </c>
    </row>
    <row r="21" spans="1:33" x14ac:dyDescent="0.25">
      <c r="A21" s="381" t="s">
        <v>104</v>
      </c>
      <c r="B21" s="387" t="s">
        <v>105</v>
      </c>
      <c r="C21" s="383">
        <v>3972</v>
      </c>
      <c r="D21" s="383">
        <v>69</v>
      </c>
      <c r="E21" s="383">
        <v>227</v>
      </c>
      <c r="F21" s="383">
        <v>464</v>
      </c>
      <c r="G21" s="383">
        <v>820</v>
      </c>
      <c r="H21" s="383">
        <v>5552</v>
      </c>
      <c r="I21" s="382">
        <v>4732</v>
      </c>
      <c r="J21" s="382">
        <v>2</v>
      </c>
      <c r="K21" s="384">
        <v>128.51</v>
      </c>
      <c r="L21" s="384">
        <v>120.34</v>
      </c>
      <c r="M21" s="384">
        <v>7.08</v>
      </c>
      <c r="N21" s="384">
        <v>132.28</v>
      </c>
      <c r="O21" s="385">
        <v>2958</v>
      </c>
      <c r="P21" s="382">
        <v>103.43</v>
      </c>
      <c r="Q21" s="382">
        <v>102.09</v>
      </c>
      <c r="R21" s="382">
        <v>58.25</v>
      </c>
      <c r="S21" s="382">
        <v>158.63999999999999</v>
      </c>
      <c r="T21" s="382">
        <v>691</v>
      </c>
      <c r="U21" s="382">
        <v>174</v>
      </c>
      <c r="V21" s="382">
        <v>590</v>
      </c>
      <c r="W21" s="382">
        <v>0</v>
      </c>
      <c r="X21" s="382">
        <v>0</v>
      </c>
      <c r="Y21" s="382">
        <v>26</v>
      </c>
      <c r="Z21" s="382">
        <v>1</v>
      </c>
      <c r="AA21" s="382">
        <v>9</v>
      </c>
      <c r="AB21" s="382">
        <v>19</v>
      </c>
      <c r="AC21" s="382">
        <v>31</v>
      </c>
      <c r="AD21" s="386">
        <v>3972</v>
      </c>
      <c r="AE21" s="386">
        <v>17</v>
      </c>
      <c r="AF21" s="386">
        <v>8</v>
      </c>
      <c r="AG21" s="386">
        <v>25</v>
      </c>
    </row>
    <row r="22" spans="1:33" x14ac:dyDescent="0.25">
      <c r="A22" s="381" t="s">
        <v>106</v>
      </c>
      <c r="B22" s="387" t="s">
        <v>107</v>
      </c>
      <c r="C22" s="383">
        <v>6513</v>
      </c>
      <c r="D22" s="383">
        <v>9</v>
      </c>
      <c r="E22" s="383">
        <v>464</v>
      </c>
      <c r="F22" s="383">
        <v>1130</v>
      </c>
      <c r="G22" s="383">
        <v>1289</v>
      </c>
      <c r="H22" s="383">
        <v>9405</v>
      </c>
      <c r="I22" s="382">
        <v>8116</v>
      </c>
      <c r="J22" s="382">
        <v>26</v>
      </c>
      <c r="K22" s="384">
        <v>132.13</v>
      </c>
      <c r="L22" s="384">
        <v>131.91</v>
      </c>
      <c r="M22" s="384">
        <v>11.49</v>
      </c>
      <c r="N22" s="384">
        <v>141.62</v>
      </c>
      <c r="O22" s="385">
        <v>5588</v>
      </c>
      <c r="P22" s="382">
        <v>112.73</v>
      </c>
      <c r="Q22" s="382">
        <v>115.07</v>
      </c>
      <c r="R22" s="382">
        <v>46.36</v>
      </c>
      <c r="S22" s="382">
        <v>155.79</v>
      </c>
      <c r="T22" s="382">
        <v>802</v>
      </c>
      <c r="U22" s="382">
        <v>197.84</v>
      </c>
      <c r="V22" s="382">
        <v>508</v>
      </c>
      <c r="W22" s="382">
        <v>248.63</v>
      </c>
      <c r="X22" s="382">
        <v>9</v>
      </c>
      <c r="Y22" s="382">
        <v>48</v>
      </c>
      <c r="Z22" s="382">
        <v>2</v>
      </c>
      <c r="AA22" s="382">
        <v>21</v>
      </c>
      <c r="AB22" s="382">
        <v>24</v>
      </c>
      <c r="AC22" s="382">
        <v>53</v>
      </c>
      <c r="AD22" s="386">
        <v>6262</v>
      </c>
      <c r="AE22" s="386">
        <v>43</v>
      </c>
      <c r="AF22" s="386">
        <v>71</v>
      </c>
      <c r="AG22" s="386">
        <v>114</v>
      </c>
    </row>
    <row r="23" spans="1:33" x14ac:dyDescent="0.25">
      <c r="A23" s="381" t="s">
        <v>108</v>
      </c>
      <c r="B23" s="387" t="s">
        <v>109</v>
      </c>
      <c r="C23" s="383">
        <v>2598</v>
      </c>
      <c r="D23" s="383">
        <v>0</v>
      </c>
      <c r="E23" s="383">
        <v>357</v>
      </c>
      <c r="F23" s="383">
        <v>748</v>
      </c>
      <c r="G23" s="383">
        <v>257</v>
      </c>
      <c r="H23" s="383">
        <v>3960</v>
      </c>
      <c r="I23" s="382">
        <v>3703</v>
      </c>
      <c r="J23" s="382">
        <v>2</v>
      </c>
      <c r="K23" s="384">
        <v>87.88</v>
      </c>
      <c r="L23" s="384">
        <v>86.49</v>
      </c>
      <c r="M23" s="384">
        <v>5.35</v>
      </c>
      <c r="N23" s="384">
        <v>90.25</v>
      </c>
      <c r="O23" s="385">
        <v>1878</v>
      </c>
      <c r="P23" s="382">
        <v>88.5</v>
      </c>
      <c r="Q23" s="382">
        <v>82.56</v>
      </c>
      <c r="R23" s="382">
        <v>30.41</v>
      </c>
      <c r="S23" s="382">
        <v>117.49</v>
      </c>
      <c r="T23" s="382">
        <v>1048</v>
      </c>
      <c r="U23" s="382">
        <v>94.56</v>
      </c>
      <c r="V23" s="382">
        <v>602</v>
      </c>
      <c r="W23" s="382">
        <v>101.53</v>
      </c>
      <c r="X23" s="382">
        <v>2</v>
      </c>
      <c r="Y23" s="382">
        <v>1</v>
      </c>
      <c r="Z23" s="382">
        <v>1</v>
      </c>
      <c r="AA23" s="382">
        <v>3</v>
      </c>
      <c r="AB23" s="382">
        <v>5</v>
      </c>
      <c r="AC23" s="382">
        <v>0</v>
      </c>
      <c r="AD23" s="386">
        <v>2597</v>
      </c>
      <c r="AE23" s="386">
        <v>16</v>
      </c>
      <c r="AF23" s="386">
        <v>13</v>
      </c>
      <c r="AG23" s="386">
        <v>29</v>
      </c>
    </row>
    <row r="24" spans="1:33" x14ac:dyDescent="0.25">
      <c r="A24" s="381" t="s">
        <v>110</v>
      </c>
      <c r="B24" s="387" t="s">
        <v>111</v>
      </c>
      <c r="C24" s="383">
        <v>426</v>
      </c>
      <c r="D24" s="383">
        <v>0</v>
      </c>
      <c r="E24" s="383">
        <v>78</v>
      </c>
      <c r="F24" s="383">
        <v>291</v>
      </c>
      <c r="G24" s="383">
        <v>2</v>
      </c>
      <c r="H24" s="383">
        <v>797</v>
      </c>
      <c r="I24" s="382">
        <v>795</v>
      </c>
      <c r="J24" s="382">
        <v>60</v>
      </c>
      <c r="K24" s="384">
        <v>83.9</v>
      </c>
      <c r="L24" s="384">
        <v>84.25</v>
      </c>
      <c r="M24" s="384">
        <v>3.91</v>
      </c>
      <c r="N24" s="384">
        <v>85.91</v>
      </c>
      <c r="O24" s="385">
        <v>384</v>
      </c>
      <c r="P24" s="382">
        <v>81.27</v>
      </c>
      <c r="Q24" s="382">
        <v>82.13</v>
      </c>
      <c r="R24" s="382">
        <v>30.82</v>
      </c>
      <c r="S24" s="382">
        <v>110.29</v>
      </c>
      <c r="T24" s="382">
        <v>343</v>
      </c>
      <c r="U24" s="382">
        <v>112.03</v>
      </c>
      <c r="V24" s="382">
        <v>27</v>
      </c>
      <c r="W24" s="382">
        <v>0</v>
      </c>
      <c r="X24" s="382">
        <v>0</v>
      </c>
      <c r="Y24" s="382">
        <v>0</v>
      </c>
      <c r="Z24" s="382">
        <v>1</v>
      </c>
      <c r="AA24" s="382">
        <v>0</v>
      </c>
      <c r="AB24" s="382">
        <v>0</v>
      </c>
      <c r="AC24" s="382">
        <v>0</v>
      </c>
      <c r="AD24" s="386">
        <v>426</v>
      </c>
      <c r="AE24" s="386">
        <v>1</v>
      </c>
      <c r="AF24" s="386">
        <v>0</v>
      </c>
      <c r="AG24" s="386">
        <v>1</v>
      </c>
    </row>
    <row r="25" spans="1:33" x14ac:dyDescent="0.25">
      <c r="A25" s="381" t="s">
        <v>112</v>
      </c>
      <c r="B25" s="387" t="s">
        <v>113</v>
      </c>
      <c r="C25" s="383">
        <v>5253</v>
      </c>
      <c r="D25" s="383">
        <v>10</v>
      </c>
      <c r="E25" s="383">
        <v>232</v>
      </c>
      <c r="F25" s="383">
        <v>340</v>
      </c>
      <c r="G25" s="383">
        <v>633</v>
      </c>
      <c r="H25" s="383">
        <v>6468</v>
      </c>
      <c r="I25" s="382">
        <v>5835</v>
      </c>
      <c r="J25" s="382">
        <v>0</v>
      </c>
      <c r="K25" s="384">
        <v>110.5</v>
      </c>
      <c r="L25" s="384">
        <v>111.43</v>
      </c>
      <c r="M25" s="384">
        <v>4.9000000000000004</v>
      </c>
      <c r="N25" s="384">
        <v>112.82</v>
      </c>
      <c r="O25" s="385">
        <v>4906</v>
      </c>
      <c r="P25" s="382">
        <v>94.55</v>
      </c>
      <c r="Q25" s="382">
        <v>92.35</v>
      </c>
      <c r="R25" s="382">
        <v>40.53</v>
      </c>
      <c r="S25" s="382">
        <v>134.07</v>
      </c>
      <c r="T25" s="382">
        <v>437</v>
      </c>
      <c r="U25" s="382">
        <v>128.83000000000001</v>
      </c>
      <c r="V25" s="382">
        <v>157</v>
      </c>
      <c r="W25" s="382">
        <v>0</v>
      </c>
      <c r="X25" s="382">
        <v>0</v>
      </c>
      <c r="Y25" s="382">
        <v>0</v>
      </c>
      <c r="Z25" s="382">
        <v>3</v>
      </c>
      <c r="AA25" s="382">
        <v>33</v>
      </c>
      <c r="AB25" s="382">
        <v>24</v>
      </c>
      <c r="AC25" s="382">
        <v>8</v>
      </c>
      <c r="AD25" s="386">
        <v>5253</v>
      </c>
      <c r="AE25" s="386">
        <v>13</v>
      </c>
      <c r="AF25" s="386">
        <v>15</v>
      </c>
      <c r="AG25" s="386">
        <v>28</v>
      </c>
    </row>
    <row r="26" spans="1:33" x14ac:dyDescent="0.25">
      <c r="A26" s="381" t="s">
        <v>114</v>
      </c>
      <c r="B26" s="387" t="s">
        <v>115</v>
      </c>
      <c r="C26" s="383">
        <v>12011</v>
      </c>
      <c r="D26" s="383">
        <v>0</v>
      </c>
      <c r="E26" s="383">
        <v>363</v>
      </c>
      <c r="F26" s="383">
        <v>897</v>
      </c>
      <c r="G26" s="383">
        <v>938</v>
      </c>
      <c r="H26" s="383">
        <v>14209</v>
      </c>
      <c r="I26" s="382">
        <v>13271</v>
      </c>
      <c r="J26" s="382">
        <v>0</v>
      </c>
      <c r="K26" s="384">
        <v>115.9</v>
      </c>
      <c r="L26" s="384">
        <v>115.3</v>
      </c>
      <c r="M26" s="384">
        <v>4.59</v>
      </c>
      <c r="N26" s="384">
        <v>117.67</v>
      </c>
      <c r="O26" s="385">
        <v>11135</v>
      </c>
      <c r="P26" s="382">
        <v>95.75</v>
      </c>
      <c r="Q26" s="382">
        <v>94.76</v>
      </c>
      <c r="R26" s="382">
        <v>29.23</v>
      </c>
      <c r="S26" s="382">
        <v>124.69</v>
      </c>
      <c r="T26" s="382">
        <v>1092</v>
      </c>
      <c r="U26" s="382">
        <v>141.07</v>
      </c>
      <c r="V26" s="382">
        <v>554</v>
      </c>
      <c r="W26" s="382">
        <v>0</v>
      </c>
      <c r="X26" s="382">
        <v>0</v>
      </c>
      <c r="Y26" s="382">
        <v>3</v>
      </c>
      <c r="Z26" s="382">
        <v>6</v>
      </c>
      <c r="AA26" s="382">
        <v>2</v>
      </c>
      <c r="AB26" s="382">
        <v>39</v>
      </c>
      <c r="AC26" s="382">
        <v>60</v>
      </c>
      <c r="AD26" s="386">
        <v>12011</v>
      </c>
      <c r="AE26" s="386">
        <v>24</v>
      </c>
      <c r="AF26" s="386">
        <v>14</v>
      </c>
      <c r="AG26" s="386">
        <v>38</v>
      </c>
    </row>
    <row r="27" spans="1:33" x14ac:dyDescent="0.25">
      <c r="A27" s="381" t="s">
        <v>116</v>
      </c>
      <c r="B27" s="387" t="s">
        <v>117</v>
      </c>
      <c r="C27" s="383">
        <v>861</v>
      </c>
      <c r="D27" s="383">
        <v>0</v>
      </c>
      <c r="E27" s="383">
        <v>264</v>
      </c>
      <c r="F27" s="383">
        <v>154</v>
      </c>
      <c r="G27" s="383">
        <v>73</v>
      </c>
      <c r="H27" s="383">
        <v>1352</v>
      </c>
      <c r="I27" s="382">
        <v>1279</v>
      </c>
      <c r="J27" s="382">
        <v>3</v>
      </c>
      <c r="K27" s="384">
        <v>88.77</v>
      </c>
      <c r="L27" s="384">
        <v>87.06</v>
      </c>
      <c r="M27" s="384">
        <v>2.89</v>
      </c>
      <c r="N27" s="384">
        <v>90.49</v>
      </c>
      <c r="O27" s="385">
        <v>799</v>
      </c>
      <c r="P27" s="382">
        <v>127.08</v>
      </c>
      <c r="Q27" s="382">
        <v>69.650000000000006</v>
      </c>
      <c r="R27" s="382">
        <v>41.86</v>
      </c>
      <c r="S27" s="382">
        <v>168.26</v>
      </c>
      <c r="T27" s="382">
        <v>312</v>
      </c>
      <c r="U27" s="382">
        <v>94.05</v>
      </c>
      <c r="V27" s="382">
        <v>32</v>
      </c>
      <c r="W27" s="382">
        <v>173.18</v>
      </c>
      <c r="X27" s="382">
        <v>4</v>
      </c>
      <c r="Y27" s="382">
        <v>0</v>
      </c>
      <c r="Z27" s="382">
        <v>0</v>
      </c>
      <c r="AA27" s="382">
        <v>23</v>
      </c>
      <c r="AB27" s="382">
        <v>2</v>
      </c>
      <c r="AC27" s="382">
        <v>5</v>
      </c>
      <c r="AD27" s="386">
        <v>858</v>
      </c>
      <c r="AE27" s="386">
        <v>6</v>
      </c>
      <c r="AF27" s="386">
        <v>1</v>
      </c>
      <c r="AG27" s="386">
        <v>7</v>
      </c>
    </row>
    <row r="28" spans="1:33" x14ac:dyDescent="0.25">
      <c r="A28" s="381" t="s">
        <v>118</v>
      </c>
      <c r="B28" s="387" t="s">
        <v>119</v>
      </c>
      <c r="C28" s="383">
        <v>8808</v>
      </c>
      <c r="D28" s="383">
        <v>0</v>
      </c>
      <c r="E28" s="383">
        <v>357</v>
      </c>
      <c r="F28" s="383">
        <v>2178</v>
      </c>
      <c r="G28" s="383">
        <v>425</v>
      </c>
      <c r="H28" s="383">
        <v>11768</v>
      </c>
      <c r="I28" s="382">
        <v>11343</v>
      </c>
      <c r="J28" s="382">
        <v>43</v>
      </c>
      <c r="K28" s="384">
        <v>102.38</v>
      </c>
      <c r="L28" s="384">
        <v>103.87</v>
      </c>
      <c r="M28" s="384">
        <v>4.8099999999999996</v>
      </c>
      <c r="N28" s="384">
        <v>105.2</v>
      </c>
      <c r="O28" s="385">
        <v>8076</v>
      </c>
      <c r="P28" s="382">
        <v>92.15</v>
      </c>
      <c r="Q28" s="382">
        <v>93.64</v>
      </c>
      <c r="R28" s="382">
        <v>14.43</v>
      </c>
      <c r="S28" s="382">
        <v>105.16</v>
      </c>
      <c r="T28" s="382">
        <v>2269</v>
      </c>
      <c r="U28" s="382">
        <v>132.43</v>
      </c>
      <c r="V28" s="382">
        <v>616</v>
      </c>
      <c r="W28" s="382">
        <v>118.85</v>
      </c>
      <c r="X28" s="382">
        <v>76</v>
      </c>
      <c r="Y28" s="382">
        <v>0</v>
      </c>
      <c r="Z28" s="382">
        <v>19</v>
      </c>
      <c r="AA28" s="382">
        <v>20</v>
      </c>
      <c r="AB28" s="382">
        <v>37</v>
      </c>
      <c r="AC28" s="382">
        <v>16</v>
      </c>
      <c r="AD28" s="386">
        <v>8725</v>
      </c>
      <c r="AE28" s="386">
        <v>16</v>
      </c>
      <c r="AF28" s="386">
        <v>38</v>
      </c>
      <c r="AG28" s="386">
        <v>54</v>
      </c>
    </row>
    <row r="29" spans="1:33" x14ac:dyDescent="0.25">
      <c r="A29" s="381" t="s">
        <v>120</v>
      </c>
      <c r="B29" s="387" t="s">
        <v>121</v>
      </c>
      <c r="C29" s="383">
        <v>10386</v>
      </c>
      <c r="D29" s="383">
        <v>0</v>
      </c>
      <c r="E29" s="383">
        <v>281</v>
      </c>
      <c r="F29" s="383">
        <v>1192</v>
      </c>
      <c r="G29" s="383">
        <v>1013</v>
      </c>
      <c r="H29" s="383">
        <v>12872</v>
      </c>
      <c r="I29" s="382">
        <v>11859</v>
      </c>
      <c r="J29" s="382">
        <v>4</v>
      </c>
      <c r="K29" s="384">
        <v>100.89</v>
      </c>
      <c r="L29" s="384">
        <v>100.38</v>
      </c>
      <c r="M29" s="384">
        <v>7.23</v>
      </c>
      <c r="N29" s="384">
        <v>106.11</v>
      </c>
      <c r="O29" s="385">
        <v>9264</v>
      </c>
      <c r="P29" s="382">
        <v>96.27</v>
      </c>
      <c r="Q29" s="382">
        <v>94.44</v>
      </c>
      <c r="R29" s="382">
        <v>41.12</v>
      </c>
      <c r="S29" s="382">
        <v>137.04</v>
      </c>
      <c r="T29" s="382">
        <v>1319</v>
      </c>
      <c r="U29" s="382">
        <v>127.26</v>
      </c>
      <c r="V29" s="382">
        <v>778</v>
      </c>
      <c r="W29" s="382">
        <v>102.65</v>
      </c>
      <c r="X29" s="382">
        <v>5</v>
      </c>
      <c r="Y29" s="382">
        <v>0</v>
      </c>
      <c r="Z29" s="382">
        <v>8</v>
      </c>
      <c r="AA29" s="382">
        <v>20</v>
      </c>
      <c r="AB29" s="382">
        <v>74</v>
      </c>
      <c r="AC29" s="382">
        <v>80</v>
      </c>
      <c r="AD29" s="386">
        <v>10323</v>
      </c>
      <c r="AE29" s="386">
        <v>43</v>
      </c>
      <c r="AF29" s="386">
        <v>9</v>
      </c>
      <c r="AG29" s="386">
        <v>52</v>
      </c>
    </row>
    <row r="30" spans="1:33" x14ac:dyDescent="0.25">
      <c r="A30" s="381" t="s">
        <v>122</v>
      </c>
      <c r="B30" s="387" t="s">
        <v>123</v>
      </c>
      <c r="C30" s="383">
        <v>12027</v>
      </c>
      <c r="D30" s="383">
        <v>4</v>
      </c>
      <c r="E30" s="383">
        <v>133</v>
      </c>
      <c r="F30" s="383">
        <v>1327</v>
      </c>
      <c r="G30" s="383">
        <v>974</v>
      </c>
      <c r="H30" s="383">
        <v>14465</v>
      </c>
      <c r="I30" s="382">
        <v>13491</v>
      </c>
      <c r="J30" s="382">
        <v>27</v>
      </c>
      <c r="K30" s="384">
        <v>112.89</v>
      </c>
      <c r="L30" s="384">
        <v>110.66</v>
      </c>
      <c r="M30" s="384">
        <v>9.4499999999999993</v>
      </c>
      <c r="N30" s="384">
        <v>121.64</v>
      </c>
      <c r="O30" s="385">
        <v>10150</v>
      </c>
      <c r="P30" s="382">
        <v>94.65</v>
      </c>
      <c r="Q30" s="382">
        <v>94.44</v>
      </c>
      <c r="R30" s="382">
        <v>26.37</v>
      </c>
      <c r="S30" s="382">
        <v>120.59</v>
      </c>
      <c r="T30" s="382">
        <v>1284</v>
      </c>
      <c r="U30" s="382">
        <v>156.53</v>
      </c>
      <c r="V30" s="382">
        <v>1143</v>
      </c>
      <c r="W30" s="382">
        <v>0</v>
      </c>
      <c r="X30" s="382">
        <v>0</v>
      </c>
      <c r="Y30" s="382">
        <v>135</v>
      </c>
      <c r="Z30" s="382">
        <v>23</v>
      </c>
      <c r="AA30" s="382">
        <v>5</v>
      </c>
      <c r="AB30" s="382">
        <v>118</v>
      </c>
      <c r="AC30" s="382">
        <v>42</v>
      </c>
      <c r="AD30" s="386">
        <v>11358</v>
      </c>
      <c r="AE30" s="386">
        <v>56</v>
      </c>
      <c r="AF30" s="386">
        <v>92</v>
      </c>
      <c r="AG30" s="386">
        <v>148</v>
      </c>
    </row>
    <row r="31" spans="1:33" x14ac:dyDescent="0.25">
      <c r="A31" s="381" t="s">
        <v>124</v>
      </c>
      <c r="B31" s="387" t="s">
        <v>125</v>
      </c>
      <c r="C31" s="383">
        <v>32644</v>
      </c>
      <c r="D31" s="383">
        <v>145</v>
      </c>
      <c r="E31" s="383">
        <v>5319</v>
      </c>
      <c r="F31" s="383">
        <v>5303</v>
      </c>
      <c r="G31" s="383">
        <v>3476</v>
      </c>
      <c r="H31" s="383">
        <v>46887</v>
      </c>
      <c r="I31" s="382">
        <v>43411</v>
      </c>
      <c r="J31" s="382">
        <v>407</v>
      </c>
      <c r="K31" s="384">
        <v>95.05</v>
      </c>
      <c r="L31" s="384">
        <v>96.25</v>
      </c>
      <c r="M31" s="384">
        <v>6.95</v>
      </c>
      <c r="N31" s="384">
        <v>100.26</v>
      </c>
      <c r="O31" s="385">
        <v>29433</v>
      </c>
      <c r="P31" s="382">
        <v>86.98</v>
      </c>
      <c r="Q31" s="382">
        <v>84.87</v>
      </c>
      <c r="R31" s="382">
        <v>42.81</v>
      </c>
      <c r="S31" s="382">
        <v>126.87</v>
      </c>
      <c r="T31" s="382">
        <v>6497</v>
      </c>
      <c r="U31" s="382">
        <v>115.81</v>
      </c>
      <c r="V31" s="382">
        <v>946</v>
      </c>
      <c r="W31" s="382">
        <v>167.3</v>
      </c>
      <c r="X31" s="382">
        <v>145</v>
      </c>
      <c r="Y31" s="382">
        <v>13</v>
      </c>
      <c r="Z31" s="382">
        <v>26</v>
      </c>
      <c r="AA31" s="382">
        <v>26</v>
      </c>
      <c r="AB31" s="382">
        <v>13</v>
      </c>
      <c r="AC31" s="382">
        <v>126</v>
      </c>
      <c r="AD31" s="386">
        <v>30761</v>
      </c>
      <c r="AE31" s="386">
        <v>150</v>
      </c>
      <c r="AF31" s="386">
        <v>72</v>
      </c>
      <c r="AG31" s="386">
        <v>222</v>
      </c>
    </row>
    <row r="32" spans="1:33" x14ac:dyDescent="0.25">
      <c r="A32" s="381" t="s">
        <v>126</v>
      </c>
      <c r="B32" s="387" t="s">
        <v>127</v>
      </c>
      <c r="C32" s="383">
        <v>1927</v>
      </c>
      <c r="D32" s="383">
        <v>0</v>
      </c>
      <c r="E32" s="383">
        <v>115</v>
      </c>
      <c r="F32" s="383">
        <v>1348</v>
      </c>
      <c r="G32" s="383">
        <v>306</v>
      </c>
      <c r="H32" s="383">
        <v>3696</v>
      </c>
      <c r="I32" s="382">
        <v>3390</v>
      </c>
      <c r="J32" s="382">
        <v>3</v>
      </c>
      <c r="K32" s="384">
        <v>88.24</v>
      </c>
      <c r="L32" s="384">
        <v>88.21</v>
      </c>
      <c r="M32" s="384">
        <v>3.79</v>
      </c>
      <c r="N32" s="384">
        <v>90.23</v>
      </c>
      <c r="O32" s="385">
        <v>1626</v>
      </c>
      <c r="P32" s="382">
        <v>78.709999999999994</v>
      </c>
      <c r="Q32" s="382">
        <v>77.89</v>
      </c>
      <c r="R32" s="382">
        <v>17.829999999999998</v>
      </c>
      <c r="S32" s="382">
        <v>96.39</v>
      </c>
      <c r="T32" s="382">
        <v>1457</v>
      </c>
      <c r="U32" s="382">
        <v>106.91</v>
      </c>
      <c r="V32" s="382">
        <v>205</v>
      </c>
      <c r="W32" s="382">
        <v>0</v>
      </c>
      <c r="X32" s="382">
        <v>0</v>
      </c>
      <c r="Y32" s="382">
        <v>0</v>
      </c>
      <c r="Z32" s="382">
        <v>8</v>
      </c>
      <c r="AA32" s="382">
        <v>1</v>
      </c>
      <c r="AB32" s="382">
        <v>38</v>
      </c>
      <c r="AC32" s="382">
        <v>11</v>
      </c>
      <c r="AD32" s="386">
        <v>1927</v>
      </c>
      <c r="AE32" s="386">
        <v>11</v>
      </c>
      <c r="AF32" s="386">
        <v>16</v>
      </c>
      <c r="AG32" s="386">
        <v>27</v>
      </c>
    </row>
    <row r="33" spans="1:33" x14ac:dyDescent="0.25">
      <c r="A33" s="381" t="s">
        <v>128</v>
      </c>
      <c r="B33" s="387" t="s">
        <v>129</v>
      </c>
      <c r="C33" s="383">
        <v>9535</v>
      </c>
      <c r="D33" s="383">
        <v>0</v>
      </c>
      <c r="E33" s="383">
        <v>428</v>
      </c>
      <c r="F33" s="383">
        <v>1511</v>
      </c>
      <c r="G33" s="383">
        <v>293</v>
      </c>
      <c r="H33" s="383">
        <v>11767</v>
      </c>
      <c r="I33" s="382">
        <v>11474</v>
      </c>
      <c r="J33" s="382">
        <v>4</v>
      </c>
      <c r="K33" s="384">
        <v>81.2</v>
      </c>
      <c r="L33" s="384">
        <v>80.7</v>
      </c>
      <c r="M33" s="384">
        <v>1.87</v>
      </c>
      <c r="N33" s="384">
        <v>82.84</v>
      </c>
      <c r="O33" s="385">
        <v>8698</v>
      </c>
      <c r="P33" s="382">
        <v>78.64</v>
      </c>
      <c r="Q33" s="382">
        <v>72.14</v>
      </c>
      <c r="R33" s="382">
        <v>30.4</v>
      </c>
      <c r="S33" s="382">
        <v>108.83</v>
      </c>
      <c r="T33" s="382">
        <v>1769</v>
      </c>
      <c r="U33" s="382">
        <v>95.38</v>
      </c>
      <c r="V33" s="382">
        <v>829</v>
      </c>
      <c r="W33" s="382">
        <v>142.99</v>
      </c>
      <c r="X33" s="382">
        <v>55</v>
      </c>
      <c r="Y33" s="382">
        <v>0</v>
      </c>
      <c r="Z33" s="382">
        <v>34</v>
      </c>
      <c r="AA33" s="382">
        <v>13</v>
      </c>
      <c r="AB33" s="382">
        <v>8</v>
      </c>
      <c r="AC33" s="382">
        <v>8</v>
      </c>
      <c r="AD33" s="386">
        <v>9527</v>
      </c>
      <c r="AE33" s="386">
        <v>53</v>
      </c>
      <c r="AF33" s="386">
        <v>69</v>
      </c>
      <c r="AG33" s="386">
        <v>122</v>
      </c>
    </row>
    <row r="34" spans="1:33" x14ac:dyDescent="0.25">
      <c r="A34" s="381" t="s">
        <v>130</v>
      </c>
      <c r="B34" s="387" t="s">
        <v>131</v>
      </c>
      <c r="C34" s="383">
        <v>1672</v>
      </c>
      <c r="D34" s="383">
        <v>0</v>
      </c>
      <c r="E34" s="383">
        <v>352</v>
      </c>
      <c r="F34" s="383">
        <v>198</v>
      </c>
      <c r="G34" s="383">
        <v>141</v>
      </c>
      <c r="H34" s="383">
        <v>2363</v>
      </c>
      <c r="I34" s="382">
        <v>2222</v>
      </c>
      <c r="J34" s="382">
        <v>0</v>
      </c>
      <c r="K34" s="384">
        <v>88.21</v>
      </c>
      <c r="L34" s="384">
        <v>85.44</v>
      </c>
      <c r="M34" s="384">
        <v>4.8099999999999996</v>
      </c>
      <c r="N34" s="384">
        <v>91.9</v>
      </c>
      <c r="O34" s="385">
        <v>1251</v>
      </c>
      <c r="P34" s="382">
        <v>96.82</v>
      </c>
      <c r="Q34" s="382">
        <v>84.16</v>
      </c>
      <c r="R34" s="382">
        <v>48.39</v>
      </c>
      <c r="S34" s="382">
        <v>143.47999999999999</v>
      </c>
      <c r="T34" s="382">
        <v>506</v>
      </c>
      <c r="U34" s="382">
        <v>107.15</v>
      </c>
      <c r="V34" s="382">
        <v>281</v>
      </c>
      <c r="W34" s="382">
        <v>97.13</v>
      </c>
      <c r="X34" s="382">
        <v>1</v>
      </c>
      <c r="Y34" s="382">
        <v>0</v>
      </c>
      <c r="Z34" s="382">
        <v>0</v>
      </c>
      <c r="AA34" s="382">
        <v>43</v>
      </c>
      <c r="AB34" s="382">
        <v>0</v>
      </c>
      <c r="AC34" s="382">
        <v>6</v>
      </c>
      <c r="AD34" s="386">
        <v>1614</v>
      </c>
      <c r="AE34" s="386">
        <v>13</v>
      </c>
      <c r="AF34" s="386">
        <v>12</v>
      </c>
      <c r="AG34" s="386">
        <v>25</v>
      </c>
    </row>
    <row r="35" spans="1:33" x14ac:dyDescent="0.25">
      <c r="A35" s="381" t="s">
        <v>132</v>
      </c>
      <c r="B35" s="387" t="s">
        <v>133</v>
      </c>
      <c r="C35" s="383">
        <v>759</v>
      </c>
      <c r="D35" s="383">
        <v>0</v>
      </c>
      <c r="E35" s="383">
        <v>55</v>
      </c>
      <c r="F35" s="383">
        <v>262</v>
      </c>
      <c r="G35" s="383">
        <v>23</v>
      </c>
      <c r="H35" s="383">
        <v>1099</v>
      </c>
      <c r="I35" s="382">
        <v>1076</v>
      </c>
      <c r="J35" s="382">
        <v>1</v>
      </c>
      <c r="K35" s="384">
        <v>91.27</v>
      </c>
      <c r="L35" s="384">
        <v>90.87</v>
      </c>
      <c r="M35" s="384">
        <v>3.14</v>
      </c>
      <c r="N35" s="384">
        <v>93.06</v>
      </c>
      <c r="O35" s="385">
        <v>675</v>
      </c>
      <c r="P35" s="382">
        <v>91.64</v>
      </c>
      <c r="Q35" s="382">
        <v>91.4</v>
      </c>
      <c r="R35" s="382">
        <v>15.74</v>
      </c>
      <c r="S35" s="382">
        <v>106.8</v>
      </c>
      <c r="T35" s="382">
        <v>299</v>
      </c>
      <c r="U35" s="382">
        <v>92.82</v>
      </c>
      <c r="V35" s="382">
        <v>45</v>
      </c>
      <c r="W35" s="382">
        <v>0</v>
      </c>
      <c r="X35" s="382">
        <v>0</v>
      </c>
      <c r="Y35" s="382">
        <v>0</v>
      </c>
      <c r="Z35" s="382">
        <v>0</v>
      </c>
      <c r="AA35" s="382">
        <v>2</v>
      </c>
      <c r="AB35" s="382">
        <v>9</v>
      </c>
      <c r="AC35" s="382">
        <v>1</v>
      </c>
      <c r="AD35" s="386">
        <v>755</v>
      </c>
      <c r="AE35" s="386">
        <v>9</v>
      </c>
      <c r="AF35" s="386">
        <v>2</v>
      </c>
      <c r="AG35" s="386">
        <v>11</v>
      </c>
    </row>
    <row r="36" spans="1:33" x14ac:dyDescent="0.25">
      <c r="A36" s="381" t="s">
        <v>134</v>
      </c>
      <c r="B36" s="387" t="s">
        <v>135</v>
      </c>
      <c r="C36" s="383">
        <v>20850</v>
      </c>
      <c r="D36" s="383">
        <v>6</v>
      </c>
      <c r="E36" s="383">
        <v>657</v>
      </c>
      <c r="F36" s="383">
        <v>4117</v>
      </c>
      <c r="G36" s="383">
        <v>470</v>
      </c>
      <c r="H36" s="383">
        <v>26100</v>
      </c>
      <c r="I36" s="382">
        <v>25630</v>
      </c>
      <c r="J36" s="382">
        <v>1</v>
      </c>
      <c r="K36" s="384">
        <v>79.459999999999994</v>
      </c>
      <c r="L36" s="384">
        <v>81.819999999999993</v>
      </c>
      <c r="M36" s="384">
        <v>8.25</v>
      </c>
      <c r="N36" s="384">
        <v>81.89</v>
      </c>
      <c r="O36" s="385">
        <v>18303</v>
      </c>
      <c r="P36" s="382">
        <v>73.66</v>
      </c>
      <c r="Q36" s="382">
        <v>71.28</v>
      </c>
      <c r="R36" s="382">
        <v>26.84</v>
      </c>
      <c r="S36" s="382">
        <v>99.6</v>
      </c>
      <c r="T36" s="382">
        <v>4757</v>
      </c>
      <c r="U36" s="382">
        <v>98.36</v>
      </c>
      <c r="V36" s="382">
        <v>2454</v>
      </c>
      <c r="W36" s="382">
        <v>0</v>
      </c>
      <c r="X36" s="382">
        <v>0</v>
      </c>
      <c r="Y36" s="382">
        <v>0</v>
      </c>
      <c r="Z36" s="382">
        <v>115</v>
      </c>
      <c r="AA36" s="382">
        <v>10</v>
      </c>
      <c r="AB36" s="382">
        <v>2</v>
      </c>
      <c r="AC36" s="382">
        <v>6</v>
      </c>
      <c r="AD36" s="386">
        <v>20815</v>
      </c>
      <c r="AE36" s="386">
        <v>156</v>
      </c>
      <c r="AF36" s="386">
        <v>176</v>
      </c>
      <c r="AG36" s="386">
        <v>332</v>
      </c>
    </row>
    <row r="37" spans="1:33" x14ac:dyDescent="0.25">
      <c r="A37" s="381" t="s">
        <v>136</v>
      </c>
      <c r="B37" s="387" t="s">
        <v>137</v>
      </c>
      <c r="C37" s="383">
        <v>4230</v>
      </c>
      <c r="D37" s="383">
        <v>0</v>
      </c>
      <c r="E37" s="383">
        <v>136</v>
      </c>
      <c r="F37" s="383">
        <v>947</v>
      </c>
      <c r="G37" s="383">
        <v>188</v>
      </c>
      <c r="H37" s="383">
        <v>5501</v>
      </c>
      <c r="I37" s="382">
        <v>5313</v>
      </c>
      <c r="J37" s="382">
        <v>0</v>
      </c>
      <c r="K37" s="384">
        <v>82.13</v>
      </c>
      <c r="L37" s="384">
        <v>79.42</v>
      </c>
      <c r="M37" s="384">
        <v>1.71</v>
      </c>
      <c r="N37" s="384">
        <v>83.63</v>
      </c>
      <c r="O37" s="385">
        <v>4069</v>
      </c>
      <c r="P37" s="382">
        <v>76.3</v>
      </c>
      <c r="Q37" s="382">
        <v>72.150000000000006</v>
      </c>
      <c r="R37" s="382">
        <v>15.46</v>
      </c>
      <c r="S37" s="382">
        <v>91.55</v>
      </c>
      <c r="T37" s="382">
        <v>1031</v>
      </c>
      <c r="U37" s="382">
        <v>101.04</v>
      </c>
      <c r="V37" s="382">
        <v>100</v>
      </c>
      <c r="W37" s="382">
        <v>266.35000000000002</v>
      </c>
      <c r="X37" s="382">
        <v>6</v>
      </c>
      <c r="Y37" s="382">
        <v>17</v>
      </c>
      <c r="Z37" s="382">
        <v>12</v>
      </c>
      <c r="AA37" s="382">
        <v>4</v>
      </c>
      <c r="AB37" s="382">
        <v>13</v>
      </c>
      <c r="AC37" s="382">
        <v>10</v>
      </c>
      <c r="AD37" s="386">
        <v>4184</v>
      </c>
      <c r="AE37" s="386">
        <v>13</v>
      </c>
      <c r="AF37" s="386">
        <v>8</v>
      </c>
      <c r="AG37" s="386">
        <v>21</v>
      </c>
    </row>
    <row r="38" spans="1:33" x14ac:dyDescent="0.25">
      <c r="A38" s="381" t="s">
        <v>138</v>
      </c>
      <c r="B38" s="387" t="s">
        <v>139</v>
      </c>
      <c r="C38" s="383">
        <v>6252</v>
      </c>
      <c r="D38" s="383">
        <v>13</v>
      </c>
      <c r="E38" s="383">
        <v>966</v>
      </c>
      <c r="F38" s="383">
        <v>1643</v>
      </c>
      <c r="G38" s="383">
        <v>875</v>
      </c>
      <c r="H38" s="383">
        <v>9749</v>
      </c>
      <c r="I38" s="382">
        <v>8874</v>
      </c>
      <c r="J38" s="382">
        <v>1</v>
      </c>
      <c r="K38" s="384">
        <v>106.46</v>
      </c>
      <c r="L38" s="384">
        <v>106.06</v>
      </c>
      <c r="M38" s="384">
        <v>5.64</v>
      </c>
      <c r="N38" s="384">
        <v>110.48</v>
      </c>
      <c r="O38" s="385">
        <v>5489</v>
      </c>
      <c r="P38" s="382">
        <v>90.26</v>
      </c>
      <c r="Q38" s="382">
        <v>88.15</v>
      </c>
      <c r="R38" s="382">
        <v>43.64</v>
      </c>
      <c r="S38" s="382">
        <v>131.41</v>
      </c>
      <c r="T38" s="382">
        <v>1856</v>
      </c>
      <c r="U38" s="382">
        <v>143.66999999999999</v>
      </c>
      <c r="V38" s="382">
        <v>393</v>
      </c>
      <c r="W38" s="382">
        <v>0</v>
      </c>
      <c r="X38" s="382">
        <v>0</v>
      </c>
      <c r="Y38" s="382">
        <v>76</v>
      </c>
      <c r="Z38" s="382">
        <v>4</v>
      </c>
      <c r="AA38" s="382">
        <v>13</v>
      </c>
      <c r="AB38" s="382">
        <v>1</v>
      </c>
      <c r="AC38" s="382">
        <v>22</v>
      </c>
      <c r="AD38" s="386">
        <v>5902</v>
      </c>
      <c r="AE38" s="386">
        <v>7</v>
      </c>
      <c r="AF38" s="386">
        <v>11</v>
      </c>
      <c r="AG38" s="386">
        <v>18</v>
      </c>
    </row>
    <row r="39" spans="1:33" x14ac:dyDescent="0.25">
      <c r="A39" s="381" t="s">
        <v>140</v>
      </c>
      <c r="B39" s="387" t="s">
        <v>141</v>
      </c>
      <c r="C39" s="383">
        <v>7226</v>
      </c>
      <c r="D39" s="383">
        <v>5</v>
      </c>
      <c r="E39" s="383">
        <v>218</v>
      </c>
      <c r="F39" s="383">
        <v>579</v>
      </c>
      <c r="G39" s="383">
        <v>559</v>
      </c>
      <c r="H39" s="383">
        <v>8587</v>
      </c>
      <c r="I39" s="382">
        <v>8028</v>
      </c>
      <c r="J39" s="382">
        <v>2</v>
      </c>
      <c r="K39" s="384">
        <v>111.85</v>
      </c>
      <c r="L39" s="384">
        <v>112.15</v>
      </c>
      <c r="M39" s="384">
        <v>7.39</v>
      </c>
      <c r="N39" s="384">
        <v>113.99</v>
      </c>
      <c r="O39" s="385">
        <v>6750</v>
      </c>
      <c r="P39" s="382">
        <v>94.87</v>
      </c>
      <c r="Q39" s="382">
        <v>98.16</v>
      </c>
      <c r="R39" s="382">
        <v>30.52</v>
      </c>
      <c r="S39" s="382">
        <v>124.22</v>
      </c>
      <c r="T39" s="382">
        <v>781</v>
      </c>
      <c r="U39" s="382">
        <v>155.79</v>
      </c>
      <c r="V39" s="382">
        <v>408</v>
      </c>
      <c r="W39" s="382">
        <v>0</v>
      </c>
      <c r="X39" s="382">
        <v>0</v>
      </c>
      <c r="Y39" s="382">
        <v>16</v>
      </c>
      <c r="Z39" s="382">
        <v>15</v>
      </c>
      <c r="AA39" s="382">
        <v>1</v>
      </c>
      <c r="AB39" s="382">
        <v>10</v>
      </c>
      <c r="AC39" s="382">
        <v>14</v>
      </c>
      <c r="AD39" s="386">
        <v>7204</v>
      </c>
      <c r="AE39" s="386">
        <v>53</v>
      </c>
      <c r="AF39" s="386">
        <v>44</v>
      </c>
      <c r="AG39" s="386">
        <v>97</v>
      </c>
    </row>
    <row r="40" spans="1:33" x14ac:dyDescent="0.25">
      <c r="A40" s="381" t="s">
        <v>142</v>
      </c>
      <c r="B40" s="387" t="s">
        <v>143</v>
      </c>
      <c r="C40" s="383">
        <v>27029</v>
      </c>
      <c r="D40" s="383">
        <v>169</v>
      </c>
      <c r="E40" s="383">
        <v>1202</v>
      </c>
      <c r="F40" s="383">
        <v>3299</v>
      </c>
      <c r="G40" s="383">
        <v>772</v>
      </c>
      <c r="H40" s="383">
        <v>32471</v>
      </c>
      <c r="I40" s="382">
        <v>31699</v>
      </c>
      <c r="J40" s="382">
        <v>169</v>
      </c>
      <c r="K40" s="384">
        <v>80.91</v>
      </c>
      <c r="L40" s="384">
        <v>81.16</v>
      </c>
      <c r="M40" s="384">
        <v>5.56</v>
      </c>
      <c r="N40" s="384">
        <v>86.17</v>
      </c>
      <c r="O40" s="385">
        <v>25275</v>
      </c>
      <c r="P40" s="382">
        <v>81.72</v>
      </c>
      <c r="Q40" s="382">
        <v>76.819999999999993</v>
      </c>
      <c r="R40" s="382">
        <v>28.81</v>
      </c>
      <c r="S40" s="382">
        <v>109.85</v>
      </c>
      <c r="T40" s="382">
        <v>3860</v>
      </c>
      <c r="U40" s="382">
        <v>101.61</v>
      </c>
      <c r="V40" s="382">
        <v>1773</v>
      </c>
      <c r="W40" s="382">
        <v>145.21</v>
      </c>
      <c r="X40" s="382">
        <v>82</v>
      </c>
      <c r="Y40" s="382">
        <v>4</v>
      </c>
      <c r="Z40" s="382">
        <v>76</v>
      </c>
      <c r="AA40" s="382">
        <v>222</v>
      </c>
      <c r="AB40" s="382">
        <v>0</v>
      </c>
      <c r="AC40" s="382">
        <v>7</v>
      </c>
      <c r="AD40" s="386">
        <v>26997</v>
      </c>
      <c r="AE40" s="386">
        <v>750</v>
      </c>
      <c r="AF40" s="386">
        <v>53</v>
      </c>
      <c r="AG40" s="386">
        <v>803</v>
      </c>
    </row>
    <row r="41" spans="1:33" x14ac:dyDescent="0.25">
      <c r="A41" s="381" t="s">
        <v>144</v>
      </c>
      <c r="B41" s="387" t="s">
        <v>145</v>
      </c>
      <c r="C41" s="383">
        <v>9424</v>
      </c>
      <c r="D41" s="383">
        <v>37</v>
      </c>
      <c r="E41" s="383">
        <v>286</v>
      </c>
      <c r="F41" s="383">
        <v>686</v>
      </c>
      <c r="G41" s="383">
        <v>280</v>
      </c>
      <c r="H41" s="383">
        <v>10713</v>
      </c>
      <c r="I41" s="382">
        <v>10433</v>
      </c>
      <c r="J41" s="382">
        <v>40</v>
      </c>
      <c r="K41" s="384">
        <v>98.67</v>
      </c>
      <c r="L41" s="384">
        <v>98.71</v>
      </c>
      <c r="M41" s="384">
        <v>2.94</v>
      </c>
      <c r="N41" s="384">
        <v>99.46</v>
      </c>
      <c r="O41" s="385">
        <v>8919</v>
      </c>
      <c r="P41" s="382">
        <v>87.9</v>
      </c>
      <c r="Q41" s="382">
        <v>86.01</v>
      </c>
      <c r="R41" s="382">
        <v>33.43</v>
      </c>
      <c r="S41" s="382">
        <v>120.73</v>
      </c>
      <c r="T41" s="382">
        <v>793</v>
      </c>
      <c r="U41" s="382">
        <v>131.53</v>
      </c>
      <c r="V41" s="382">
        <v>473</v>
      </c>
      <c r="W41" s="382">
        <v>118.38</v>
      </c>
      <c r="X41" s="382">
        <v>4</v>
      </c>
      <c r="Y41" s="382">
        <v>0</v>
      </c>
      <c r="Z41" s="382">
        <v>24</v>
      </c>
      <c r="AA41" s="382">
        <v>3</v>
      </c>
      <c r="AB41" s="382">
        <v>11</v>
      </c>
      <c r="AC41" s="382">
        <v>7</v>
      </c>
      <c r="AD41" s="386">
        <v>9420</v>
      </c>
      <c r="AE41" s="386">
        <v>10</v>
      </c>
      <c r="AF41" s="386">
        <v>41</v>
      </c>
      <c r="AG41" s="386">
        <v>51</v>
      </c>
    </row>
    <row r="42" spans="1:33" x14ac:dyDescent="0.25">
      <c r="A42" s="381" t="s">
        <v>146</v>
      </c>
      <c r="B42" s="387" t="s">
        <v>147</v>
      </c>
      <c r="C42" s="383">
        <v>7090</v>
      </c>
      <c r="D42" s="383">
        <v>0</v>
      </c>
      <c r="E42" s="383">
        <v>215</v>
      </c>
      <c r="F42" s="383">
        <v>1029</v>
      </c>
      <c r="G42" s="383">
        <v>216</v>
      </c>
      <c r="H42" s="383">
        <v>8550</v>
      </c>
      <c r="I42" s="382">
        <v>8334</v>
      </c>
      <c r="J42" s="382">
        <v>20</v>
      </c>
      <c r="K42" s="384">
        <v>90.88</v>
      </c>
      <c r="L42" s="384">
        <v>89.28</v>
      </c>
      <c r="M42" s="384">
        <v>3.04</v>
      </c>
      <c r="N42" s="384">
        <v>91.5</v>
      </c>
      <c r="O42" s="385">
        <v>6740</v>
      </c>
      <c r="P42" s="382">
        <v>80.72</v>
      </c>
      <c r="Q42" s="382">
        <v>79.27</v>
      </c>
      <c r="R42" s="382">
        <v>23.36</v>
      </c>
      <c r="S42" s="382">
        <v>103.18</v>
      </c>
      <c r="T42" s="382">
        <v>1205</v>
      </c>
      <c r="U42" s="382">
        <v>113.58</v>
      </c>
      <c r="V42" s="382">
        <v>273</v>
      </c>
      <c r="W42" s="382">
        <v>0</v>
      </c>
      <c r="X42" s="382">
        <v>0</v>
      </c>
      <c r="Y42" s="382">
        <v>0</v>
      </c>
      <c r="Z42" s="382">
        <v>9</v>
      </c>
      <c r="AA42" s="382">
        <v>3</v>
      </c>
      <c r="AB42" s="382">
        <v>1</v>
      </c>
      <c r="AC42" s="382">
        <v>8</v>
      </c>
      <c r="AD42" s="386">
        <v>7086</v>
      </c>
      <c r="AE42" s="386">
        <v>39</v>
      </c>
      <c r="AF42" s="386">
        <v>10</v>
      </c>
      <c r="AG42" s="386">
        <v>49</v>
      </c>
    </row>
    <row r="43" spans="1:33" x14ac:dyDescent="0.25">
      <c r="A43" s="381" t="s">
        <v>148</v>
      </c>
      <c r="B43" s="387" t="s">
        <v>149</v>
      </c>
      <c r="C43" s="383">
        <v>15702</v>
      </c>
      <c r="D43" s="383">
        <v>168</v>
      </c>
      <c r="E43" s="383">
        <v>986</v>
      </c>
      <c r="F43" s="383">
        <v>969</v>
      </c>
      <c r="G43" s="383">
        <v>2430</v>
      </c>
      <c r="H43" s="383">
        <v>20255</v>
      </c>
      <c r="I43" s="382">
        <v>17825</v>
      </c>
      <c r="J43" s="382">
        <v>108</v>
      </c>
      <c r="K43" s="384">
        <v>136.19</v>
      </c>
      <c r="L43" s="384">
        <v>128.65</v>
      </c>
      <c r="M43" s="384">
        <v>10.08</v>
      </c>
      <c r="N43" s="384">
        <v>142.96</v>
      </c>
      <c r="O43" s="385">
        <v>12255</v>
      </c>
      <c r="P43" s="382">
        <v>109.53</v>
      </c>
      <c r="Q43" s="382">
        <v>104.61</v>
      </c>
      <c r="R43" s="382">
        <v>50.48</v>
      </c>
      <c r="S43" s="382">
        <v>154.97999999999999</v>
      </c>
      <c r="T43" s="382">
        <v>893</v>
      </c>
      <c r="U43" s="382">
        <v>209.49</v>
      </c>
      <c r="V43" s="382">
        <v>969</v>
      </c>
      <c r="W43" s="382">
        <v>199.62</v>
      </c>
      <c r="X43" s="382">
        <v>40</v>
      </c>
      <c r="Y43" s="382">
        <v>18</v>
      </c>
      <c r="Z43" s="382">
        <v>12</v>
      </c>
      <c r="AA43" s="382">
        <v>29</v>
      </c>
      <c r="AB43" s="382">
        <v>301</v>
      </c>
      <c r="AC43" s="382">
        <v>95</v>
      </c>
      <c r="AD43" s="386">
        <v>14175</v>
      </c>
      <c r="AE43" s="386">
        <v>44</v>
      </c>
      <c r="AF43" s="386">
        <v>110</v>
      </c>
      <c r="AG43" s="386">
        <v>154</v>
      </c>
    </row>
    <row r="44" spans="1:33" x14ac:dyDescent="0.25">
      <c r="A44" s="381" t="s">
        <v>150</v>
      </c>
      <c r="B44" s="387" t="s">
        <v>151</v>
      </c>
      <c r="C44" s="383">
        <v>753</v>
      </c>
      <c r="D44" s="383">
        <v>7</v>
      </c>
      <c r="E44" s="383">
        <v>119</v>
      </c>
      <c r="F44" s="383">
        <v>162</v>
      </c>
      <c r="G44" s="383">
        <v>165</v>
      </c>
      <c r="H44" s="383">
        <v>1206</v>
      </c>
      <c r="I44" s="382">
        <v>1041</v>
      </c>
      <c r="J44" s="382">
        <v>12</v>
      </c>
      <c r="K44" s="384">
        <v>120.17</v>
      </c>
      <c r="L44" s="384">
        <v>117.69</v>
      </c>
      <c r="M44" s="384">
        <v>7.75</v>
      </c>
      <c r="N44" s="384">
        <v>126.99</v>
      </c>
      <c r="O44" s="385">
        <v>525</v>
      </c>
      <c r="P44" s="382">
        <v>95.75</v>
      </c>
      <c r="Q44" s="382">
        <v>85.17</v>
      </c>
      <c r="R44" s="382">
        <v>47.2</v>
      </c>
      <c r="S44" s="382">
        <v>142.94</v>
      </c>
      <c r="T44" s="382">
        <v>281</v>
      </c>
      <c r="U44" s="382">
        <v>144.54</v>
      </c>
      <c r="V44" s="382">
        <v>73</v>
      </c>
      <c r="W44" s="382">
        <v>0</v>
      </c>
      <c r="X44" s="382">
        <v>0</v>
      </c>
      <c r="Y44" s="382">
        <v>0</v>
      </c>
      <c r="Z44" s="382">
        <v>0</v>
      </c>
      <c r="AA44" s="382">
        <v>0</v>
      </c>
      <c r="AB44" s="382">
        <v>1</v>
      </c>
      <c r="AC44" s="382">
        <v>12</v>
      </c>
      <c r="AD44" s="386">
        <v>601</v>
      </c>
      <c r="AE44" s="386">
        <v>2</v>
      </c>
      <c r="AF44" s="386">
        <v>1</v>
      </c>
      <c r="AG44" s="386">
        <v>3</v>
      </c>
    </row>
    <row r="45" spans="1:33" x14ac:dyDescent="0.25">
      <c r="A45" s="381" t="s">
        <v>152</v>
      </c>
      <c r="B45" s="387" t="s">
        <v>153</v>
      </c>
      <c r="C45" s="383">
        <v>4691</v>
      </c>
      <c r="D45" s="383">
        <v>65</v>
      </c>
      <c r="E45" s="383">
        <v>1043</v>
      </c>
      <c r="F45" s="383">
        <v>1025</v>
      </c>
      <c r="G45" s="383">
        <v>840</v>
      </c>
      <c r="H45" s="383">
        <v>7664</v>
      </c>
      <c r="I45" s="382">
        <v>6824</v>
      </c>
      <c r="J45" s="382">
        <v>6</v>
      </c>
      <c r="K45" s="384">
        <v>100.04</v>
      </c>
      <c r="L45" s="384">
        <v>99.98</v>
      </c>
      <c r="M45" s="384">
        <v>9.61</v>
      </c>
      <c r="N45" s="384">
        <v>107.86</v>
      </c>
      <c r="O45" s="385">
        <v>3863</v>
      </c>
      <c r="P45" s="382">
        <v>86.56</v>
      </c>
      <c r="Q45" s="382">
        <v>84.58</v>
      </c>
      <c r="R45" s="382">
        <v>43</v>
      </c>
      <c r="S45" s="382">
        <v>126.84</v>
      </c>
      <c r="T45" s="382">
        <v>1249</v>
      </c>
      <c r="U45" s="382">
        <v>162.88</v>
      </c>
      <c r="V45" s="382">
        <v>377</v>
      </c>
      <c r="W45" s="382">
        <v>186.26</v>
      </c>
      <c r="X45" s="382">
        <v>9</v>
      </c>
      <c r="Y45" s="382">
        <v>0</v>
      </c>
      <c r="Z45" s="382">
        <v>17</v>
      </c>
      <c r="AA45" s="382">
        <v>6</v>
      </c>
      <c r="AB45" s="382">
        <v>71</v>
      </c>
      <c r="AC45" s="382">
        <v>27</v>
      </c>
      <c r="AD45" s="386">
        <v>4304</v>
      </c>
      <c r="AE45" s="386">
        <v>34</v>
      </c>
      <c r="AF45" s="386">
        <v>24</v>
      </c>
      <c r="AG45" s="386">
        <v>58</v>
      </c>
    </row>
    <row r="46" spans="1:33" x14ac:dyDescent="0.25">
      <c r="A46" s="381" t="s">
        <v>154</v>
      </c>
      <c r="B46" s="387" t="s">
        <v>155</v>
      </c>
      <c r="C46" s="383">
        <v>8239</v>
      </c>
      <c r="D46" s="383">
        <v>9</v>
      </c>
      <c r="E46" s="383">
        <v>1458</v>
      </c>
      <c r="F46" s="383">
        <v>2206</v>
      </c>
      <c r="G46" s="383">
        <v>1037</v>
      </c>
      <c r="H46" s="383">
        <v>12949</v>
      </c>
      <c r="I46" s="382">
        <v>11912</v>
      </c>
      <c r="J46" s="382">
        <v>40</v>
      </c>
      <c r="K46" s="384">
        <v>98.66</v>
      </c>
      <c r="L46" s="384">
        <v>97.69</v>
      </c>
      <c r="M46" s="384">
        <v>7</v>
      </c>
      <c r="N46" s="384">
        <v>103.84</v>
      </c>
      <c r="O46" s="385">
        <v>6282</v>
      </c>
      <c r="P46" s="382">
        <v>89.11</v>
      </c>
      <c r="Q46" s="382">
        <v>88.62</v>
      </c>
      <c r="R46" s="382">
        <v>35.65</v>
      </c>
      <c r="S46" s="382">
        <v>124.35</v>
      </c>
      <c r="T46" s="382">
        <v>3037</v>
      </c>
      <c r="U46" s="382">
        <v>128.56</v>
      </c>
      <c r="V46" s="382">
        <v>744</v>
      </c>
      <c r="W46" s="382">
        <v>116.46</v>
      </c>
      <c r="X46" s="382">
        <v>5</v>
      </c>
      <c r="Y46" s="382">
        <v>0</v>
      </c>
      <c r="Z46" s="382">
        <v>6</v>
      </c>
      <c r="AA46" s="382">
        <v>15</v>
      </c>
      <c r="AB46" s="382">
        <v>25</v>
      </c>
      <c r="AC46" s="382">
        <v>37</v>
      </c>
      <c r="AD46" s="386">
        <v>7221</v>
      </c>
      <c r="AE46" s="386">
        <v>25</v>
      </c>
      <c r="AF46" s="386">
        <v>29</v>
      </c>
      <c r="AG46" s="386">
        <v>54</v>
      </c>
    </row>
    <row r="47" spans="1:33" x14ac:dyDescent="0.25">
      <c r="A47" s="381" t="s">
        <v>156</v>
      </c>
      <c r="B47" s="387" t="s">
        <v>157</v>
      </c>
      <c r="C47" s="383">
        <v>4384</v>
      </c>
      <c r="D47" s="383">
        <v>0</v>
      </c>
      <c r="E47" s="383">
        <v>190</v>
      </c>
      <c r="F47" s="383">
        <v>537</v>
      </c>
      <c r="G47" s="383">
        <v>298</v>
      </c>
      <c r="H47" s="383">
        <v>5409</v>
      </c>
      <c r="I47" s="382">
        <v>5111</v>
      </c>
      <c r="J47" s="382">
        <v>8</v>
      </c>
      <c r="K47" s="384">
        <v>94.86</v>
      </c>
      <c r="L47" s="384">
        <v>91.16</v>
      </c>
      <c r="M47" s="384">
        <v>1.92</v>
      </c>
      <c r="N47" s="384">
        <v>95.57</v>
      </c>
      <c r="O47" s="385">
        <v>3676</v>
      </c>
      <c r="P47" s="382">
        <v>90.29</v>
      </c>
      <c r="Q47" s="382">
        <v>77.88</v>
      </c>
      <c r="R47" s="382">
        <v>22.11</v>
      </c>
      <c r="S47" s="382">
        <v>112.16</v>
      </c>
      <c r="T47" s="382">
        <v>717</v>
      </c>
      <c r="U47" s="382">
        <v>106.59</v>
      </c>
      <c r="V47" s="382">
        <v>651</v>
      </c>
      <c r="W47" s="382">
        <v>0</v>
      </c>
      <c r="X47" s="382">
        <v>0</v>
      </c>
      <c r="Y47" s="382">
        <v>0</v>
      </c>
      <c r="Z47" s="382">
        <v>4</v>
      </c>
      <c r="AA47" s="382">
        <v>9</v>
      </c>
      <c r="AB47" s="382">
        <v>20</v>
      </c>
      <c r="AC47" s="382">
        <v>9</v>
      </c>
      <c r="AD47" s="386">
        <v>4384</v>
      </c>
      <c r="AE47" s="386">
        <v>41</v>
      </c>
      <c r="AF47" s="386">
        <v>7</v>
      </c>
      <c r="AG47" s="386">
        <v>48</v>
      </c>
    </row>
    <row r="48" spans="1:33" x14ac:dyDescent="0.25">
      <c r="A48" s="381" t="s">
        <v>158</v>
      </c>
      <c r="B48" s="387" t="s">
        <v>159</v>
      </c>
      <c r="C48" s="383">
        <v>15996</v>
      </c>
      <c r="D48" s="383">
        <v>71</v>
      </c>
      <c r="E48" s="383">
        <v>609</v>
      </c>
      <c r="F48" s="383">
        <v>2200</v>
      </c>
      <c r="G48" s="383">
        <v>905</v>
      </c>
      <c r="H48" s="383">
        <v>19781</v>
      </c>
      <c r="I48" s="382">
        <v>18876</v>
      </c>
      <c r="J48" s="382">
        <v>26</v>
      </c>
      <c r="K48" s="384">
        <v>118.13</v>
      </c>
      <c r="L48" s="384">
        <v>118.49</v>
      </c>
      <c r="M48" s="384">
        <v>12.28</v>
      </c>
      <c r="N48" s="384">
        <v>125.06</v>
      </c>
      <c r="O48" s="385">
        <v>13463</v>
      </c>
      <c r="P48" s="382">
        <v>106.76</v>
      </c>
      <c r="Q48" s="382">
        <v>106.47</v>
      </c>
      <c r="R48" s="382">
        <v>41.23</v>
      </c>
      <c r="S48" s="382">
        <v>146.63999999999999</v>
      </c>
      <c r="T48" s="382">
        <v>2316</v>
      </c>
      <c r="U48" s="382">
        <v>171.54</v>
      </c>
      <c r="V48" s="382">
        <v>1414</v>
      </c>
      <c r="W48" s="382">
        <v>0</v>
      </c>
      <c r="X48" s="382">
        <v>0</v>
      </c>
      <c r="Y48" s="382">
        <v>27</v>
      </c>
      <c r="Z48" s="382">
        <v>15</v>
      </c>
      <c r="AA48" s="382">
        <v>20</v>
      </c>
      <c r="AB48" s="382">
        <v>57</v>
      </c>
      <c r="AC48" s="382">
        <v>39</v>
      </c>
      <c r="AD48" s="386">
        <v>15193</v>
      </c>
      <c r="AE48" s="386">
        <v>148</v>
      </c>
      <c r="AF48" s="386">
        <v>44</v>
      </c>
      <c r="AG48" s="386">
        <v>192</v>
      </c>
    </row>
    <row r="49" spans="1:33" x14ac:dyDescent="0.25">
      <c r="A49" s="381" t="s">
        <v>160</v>
      </c>
      <c r="B49" s="387" t="s">
        <v>161</v>
      </c>
      <c r="C49" s="383">
        <v>3189</v>
      </c>
      <c r="D49" s="383">
        <v>0</v>
      </c>
      <c r="E49" s="383">
        <v>97</v>
      </c>
      <c r="F49" s="383">
        <v>991</v>
      </c>
      <c r="G49" s="383">
        <v>354</v>
      </c>
      <c r="H49" s="383">
        <v>4631</v>
      </c>
      <c r="I49" s="382">
        <v>4277</v>
      </c>
      <c r="J49" s="382">
        <v>0</v>
      </c>
      <c r="K49" s="384">
        <v>92.91</v>
      </c>
      <c r="L49" s="384">
        <v>92.92</v>
      </c>
      <c r="M49" s="384">
        <v>4.2699999999999996</v>
      </c>
      <c r="N49" s="384">
        <v>95.23</v>
      </c>
      <c r="O49" s="385">
        <v>2878</v>
      </c>
      <c r="P49" s="382">
        <v>83.31</v>
      </c>
      <c r="Q49" s="382">
        <v>85.57</v>
      </c>
      <c r="R49" s="382">
        <v>22.48</v>
      </c>
      <c r="S49" s="382">
        <v>105.64</v>
      </c>
      <c r="T49" s="382">
        <v>1013</v>
      </c>
      <c r="U49" s="382">
        <v>116.58</v>
      </c>
      <c r="V49" s="382">
        <v>264</v>
      </c>
      <c r="W49" s="382">
        <v>0</v>
      </c>
      <c r="X49" s="382">
        <v>0</v>
      </c>
      <c r="Y49" s="382">
        <v>0</v>
      </c>
      <c r="Z49" s="382">
        <v>7</v>
      </c>
      <c r="AA49" s="382">
        <v>1</v>
      </c>
      <c r="AB49" s="382">
        <v>44</v>
      </c>
      <c r="AC49" s="382">
        <v>10</v>
      </c>
      <c r="AD49" s="386">
        <v>3189</v>
      </c>
      <c r="AE49" s="386">
        <v>15</v>
      </c>
      <c r="AF49" s="386">
        <v>3</v>
      </c>
      <c r="AG49" s="386">
        <v>18</v>
      </c>
    </row>
    <row r="50" spans="1:33" x14ac:dyDescent="0.25">
      <c r="A50" s="381" t="s">
        <v>162</v>
      </c>
      <c r="B50" s="387" t="s">
        <v>163</v>
      </c>
      <c r="C50" s="383">
        <v>4334</v>
      </c>
      <c r="D50" s="383">
        <v>0</v>
      </c>
      <c r="E50" s="383">
        <v>178</v>
      </c>
      <c r="F50" s="383">
        <v>717</v>
      </c>
      <c r="G50" s="383">
        <v>383</v>
      </c>
      <c r="H50" s="383">
        <v>5612</v>
      </c>
      <c r="I50" s="382">
        <v>5229</v>
      </c>
      <c r="J50" s="382">
        <v>0</v>
      </c>
      <c r="K50" s="384">
        <v>117.23</v>
      </c>
      <c r="L50" s="384">
        <v>118.04</v>
      </c>
      <c r="M50" s="384">
        <v>6.59</v>
      </c>
      <c r="N50" s="384">
        <v>121.03</v>
      </c>
      <c r="O50" s="385">
        <v>3722</v>
      </c>
      <c r="P50" s="382">
        <v>105.85</v>
      </c>
      <c r="Q50" s="382">
        <v>109.2</v>
      </c>
      <c r="R50" s="382">
        <v>27.36</v>
      </c>
      <c r="S50" s="382">
        <v>129.03</v>
      </c>
      <c r="T50" s="382">
        <v>881</v>
      </c>
      <c r="U50" s="382">
        <v>158.46</v>
      </c>
      <c r="V50" s="382">
        <v>507</v>
      </c>
      <c r="W50" s="382">
        <v>145.88999999999999</v>
      </c>
      <c r="X50" s="382">
        <v>13</v>
      </c>
      <c r="Y50" s="382">
        <v>0</v>
      </c>
      <c r="Z50" s="382">
        <v>24</v>
      </c>
      <c r="AA50" s="382">
        <v>3</v>
      </c>
      <c r="AB50" s="382">
        <v>34</v>
      </c>
      <c r="AC50" s="382">
        <v>4</v>
      </c>
      <c r="AD50" s="386">
        <v>4334</v>
      </c>
      <c r="AE50" s="386">
        <v>8</v>
      </c>
      <c r="AF50" s="386">
        <v>18</v>
      </c>
      <c r="AG50" s="386">
        <v>26</v>
      </c>
    </row>
    <row r="51" spans="1:33" x14ac:dyDescent="0.25">
      <c r="A51" s="381" t="s">
        <v>164</v>
      </c>
      <c r="B51" s="387" t="s">
        <v>165</v>
      </c>
      <c r="C51" s="383">
        <v>1053</v>
      </c>
      <c r="D51" s="383">
        <v>0</v>
      </c>
      <c r="E51" s="383">
        <v>92</v>
      </c>
      <c r="F51" s="383">
        <v>120</v>
      </c>
      <c r="G51" s="383">
        <v>83</v>
      </c>
      <c r="H51" s="383">
        <v>1348</v>
      </c>
      <c r="I51" s="382">
        <v>1265</v>
      </c>
      <c r="J51" s="382">
        <v>7</v>
      </c>
      <c r="K51" s="384">
        <v>82.43</v>
      </c>
      <c r="L51" s="384">
        <v>80.47</v>
      </c>
      <c r="M51" s="384">
        <v>7.13</v>
      </c>
      <c r="N51" s="384">
        <v>88.34</v>
      </c>
      <c r="O51" s="385">
        <v>928</v>
      </c>
      <c r="P51" s="382">
        <v>86.7</v>
      </c>
      <c r="Q51" s="382">
        <v>66.680000000000007</v>
      </c>
      <c r="R51" s="382">
        <v>37.93</v>
      </c>
      <c r="S51" s="382">
        <v>121.83</v>
      </c>
      <c r="T51" s="382">
        <v>149</v>
      </c>
      <c r="U51" s="382">
        <v>97.71</v>
      </c>
      <c r="V51" s="382">
        <v>104</v>
      </c>
      <c r="W51" s="382">
        <v>177.73</v>
      </c>
      <c r="X51" s="382">
        <v>29</v>
      </c>
      <c r="Y51" s="382">
        <v>0</v>
      </c>
      <c r="Z51" s="382">
        <v>0</v>
      </c>
      <c r="AA51" s="382">
        <v>2</v>
      </c>
      <c r="AB51" s="382">
        <v>10</v>
      </c>
      <c r="AC51" s="382">
        <v>2</v>
      </c>
      <c r="AD51" s="386">
        <v>1047</v>
      </c>
      <c r="AE51" s="386">
        <v>8</v>
      </c>
      <c r="AF51" s="386">
        <v>5</v>
      </c>
      <c r="AG51" s="386">
        <v>13</v>
      </c>
    </row>
    <row r="52" spans="1:33" x14ac:dyDescent="0.25">
      <c r="A52" s="381" t="s">
        <v>779</v>
      </c>
      <c r="B52" s="387" t="s">
        <v>774</v>
      </c>
      <c r="C52" s="383">
        <v>23439</v>
      </c>
      <c r="D52" s="383">
        <v>29</v>
      </c>
      <c r="E52" s="383">
        <v>961</v>
      </c>
      <c r="F52" s="383">
        <v>3821</v>
      </c>
      <c r="G52" s="383">
        <v>1988</v>
      </c>
      <c r="H52" s="383">
        <v>30238</v>
      </c>
      <c r="I52" s="382">
        <v>28250</v>
      </c>
      <c r="J52" s="382">
        <v>37</v>
      </c>
      <c r="K52" s="384">
        <v>113.24</v>
      </c>
      <c r="L52" s="384">
        <v>114.7</v>
      </c>
      <c r="M52" s="384">
        <v>3.95</v>
      </c>
      <c r="N52" s="384">
        <v>115.66</v>
      </c>
      <c r="O52" s="385">
        <v>21075</v>
      </c>
      <c r="P52" s="382">
        <v>101.13</v>
      </c>
      <c r="Q52" s="382">
        <v>98.64</v>
      </c>
      <c r="R52" s="382">
        <v>23.5</v>
      </c>
      <c r="S52" s="382">
        <v>122.1</v>
      </c>
      <c r="T52" s="382">
        <v>4435</v>
      </c>
      <c r="U52" s="382">
        <v>153.93</v>
      </c>
      <c r="V52" s="382">
        <v>1994</v>
      </c>
      <c r="W52" s="382">
        <v>147.88</v>
      </c>
      <c r="X52" s="382">
        <v>40</v>
      </c>
      <c r="Y52" s="382">
        <v>24</v>
      </c>
      <c r="Z52" s="382">
        <v>67</v>
      </c>
      <c r="AA52" s="382">
        <v>22</v>
      </c>
      <c r="AB52" s="382">
        <v>108</v>
      </c>
      <c r="AC52" s="382">
        <v>70</v>
      </c>
      <c r="AD52" s="386">
        <v>23116</v>
      </c>
      <c r="AE52" s="386">
        <v>67</v>
      </c>
      <c r="AF52" s="386">
        <v>152</v>
      </c>
      <c r="AG52" s="386">
        <v>219</v>
      </c>
    </row>
    <row r="53" spans="1:33" x14ac:dyDescent="0.25">
      <c r="A53" s="381" t="s">
        <v>166</v>
      </c>
      <c r="B53" s="387" t="s">
        <v>167</v>
      </c>
      <c r="C53" s="383">
        <v>4142</v>
      </c>
      <c r="D53" s="383">
        <v>0</v>
      </c>
      <c r="E53" s="383">
        <v>182</v>
      </c>
      <c r="F53" s="383">
        <v>1574</v>
      </c>
      <c r="G53" s="383">
        <v>12</v>
      </c>
      <c r="H53" s="383">
        <v>5910</v>
      </c>
      <c r="I53" s="382">
        <v>5898</v>
      </c>
      <c r="J53" s="382">
        <v>16</v>
      </c>
      <c r="K53" s="384">
        <v>82.9</v>
      </c>
      <c r="L53" s="384">
        <v>79.989999999999995</v>
      </c>
      <c r="M53" s="384">
        <v>2.2799999999999998</v>
      </c>
      <c r="N53" s="384">
        <v>84.97</v>
      </c>
      <c r="O53" s="385">
        <v>3869</v>
      </c>
      <c r="P53" s="382">
        <v>78.180000000000007</v>
      </c>
      <c r="Q53" s="382">
        <v>69.83</v>
      </c>
      <c r="R53" s="382">
        <v>17.079999999999998</v>
      </c>
      <c r="S53" s="382">
        <v>94.85</v>
      </c>
      <c r="T53" s="382">
        <v>1672</v>
      </c>
      <c r="U53" s="382">
        <v>97.8</v>
      </c>
      <c r="V53" s="382">
        <v>266</v>
      </c>
      <c r="W53" s="382">
        <v>87.36</v>
      </c>
      <c r="X53" s="382">
        <v>1</v>
      </c>
      <c r="Y53" s="382">
        <v>0</v>
      </c>
      <c r="Z53" s="382">
        <v>18</v>
      </c>
      <c r="AA53" s="382">
        <v>13</v>
      </c>
      <c r="AB53" s="382">
        <v>0</v>
      </c>
      <c r="AC53" s="382">
        <v>0</v>
      </c>
      <c r="AD53" s="386">
        <v>4142</v>
      </c>
      <c r="AE53" s="386">
        <v>64</v>
      </c>
      <c r="AF53" s="386">
        <v>8</v>
      </c>
      <c r="AG53" s="386">
        <v>72</v>
      </c>
    </row>
    <row r="54" spans="1:33" x14ac:dyDescent="0.25">
      <c r="A54" s="381" t="s">
        <v>168</v>
      </c>
      <c r="B54" s="387" t="s">
        <v>169</v>
      </c>
      <c r="C54" s="383">
        <v>3727</v>
      </c>
      <c r="D54" s="383">
        <v>0</v>
      </c>
      <c r="E54" s="383">
        <v>319</v>
      </c>
      <c r="F54" s="383">
        <v>593</v>
      </c>
      <c r="G54" s="383">
        <v>144</v>
      </c>
      <c r="H54" s="383">
        <v>4783</v>
      </c>
      <c r="I54" s="382">
        <v>4639</v>
      </c>
      <c r="J54" s="382">
        <v>0</v>
      </c>
      <c r="K54" s="384">
        <v>83.88</v>
      </c>
      <c r="L54" s="384">
        <v>83.21</v>
      </c>
      <c r="M54" s="384">
        <v>5.59</v>
      </c>
      <c r="N54" s="384">
        <v>86.97</v>
      </c>
      <c r="O54" s="385">
        <v>3108</v>
      </c>
      <c r="P54" s="382">
        <v>85.54</v>
      </c>
      <c r="Q54" s="382">
        <v>78.650000000000006</v>
      </c>
      <c r="R54" s="382">
        <v>33.700000000000003</v>
      </c>
      <c r="S54" s="382">
        <v>116.83</v>
      </c>
      <c r="T54" s="382">
        <v>742</v>
      </c>
      <c r="U54" s="382">
        <v>105.76</v>
      </c>
      <c r="V54" s="382">
        <v>347</v>
      </c>
      <c r="W54" s="382">
        <v>87.69</v>
      </c>
      <c r="X54" s="382">
        <v>1</v>
      </c>
      <c r="Y54" s="382">
        <v>0</v>
      </c>
      <c r="Z54" s="382">
        <v>7</v>
      </c>
      <c r="AA54" s="382">
        <v>6</v>
      </c>
      <c r="AB54" s="382">
        <v>0</v>
      </c>
      <c r="AC54" s="382">
        <v>1</v>
      </c>
      <c r="AD54" s="386">
        <v>3421</v>
      </c>
      <c r="AE54" s="386">
        <v>13</v>
      </c>
      <c r="AF54" s="386">
        <v>26</v>
      </c>
      <c r="AG54" s="386">
        <v>39</v>
      </c>
    </row>
    <row r="55" spans="1:33" x14ac:dyDescent="0.25">
      <c r="A55" s="381" t="s">
        <v>170</v>
      </c>
      <c r="B55" s="387" t="s">
        <v>171</v>
      </c>
      <c r="C55" s="383">
        <v>12823</v>
      </c>
      <c r="D55" s="383">
        <v>0</v>
      </c>
      <c r="E55" s="383">
        <v>243</v>
      </c>
      <c r="F55" s="383">
        <v>1159</v>
      </c>
      <c r="G55" s="383">
        <v>280</v>
      </c>
      <c r="H55" s="383">
        <v>14505</v>
      </c>
      <c r="I55" s="382">
        <v>14225</v>
      </c>
      <c r="J55" s="382">
        <v>22</v>
      </c>
      <c r="K55" s="384">
        <v>79.36</v>
      </c>
      <c r="L55" s="384">
        <v>81.75</v>
      </c>
      <c r="M55" s="384">
        <v>6.46</v>
      </c>
      <c r="N55" s="384">
        <v>85.51</v>
      </c>
      <c r="O55" s="385">
        <v>12375</v>
      </c>
      <c r="P55" s="382">
        <v>83.4</v>
      </c>
      <c r="Q55" s="382">
        <v>77.290000000000006</v>
      </c>
      <c r="R55" s="382">
        <v>29.42</v>
      </c>
      <c r="S55" s="382">
        <v>112.68</v>
      </c>
      <c r="T55" s="382">
        <v>1281</v>
      </c>
      <c r="U55" s="382">
        <v>97.67</v>
      </c>
      <c r="V55" s="382">
        <v>375</v>
      </c>
      <c r="W55" s="382">
        <v>0</v>
      </c>
      <c r="X55" s="382">
        <v>0</v>
      </c>
      <c r="Y55" s="382">
        <v>0</v>
      </c>
      <c r="Z55" s="382">
        <v>29</v>
      </c>
      <c r="AA55" s="382">
        <v>6</v>
      </c>
      <c r="AB55" s="382">
        <v>5</v>
      </c>
      <c r="AC55" s="382">
        <v>9</v>
      </c>
      <c r="AD55" s="386">
        <v>12797</v>
      </c>
      <c r="AE55" s="386">
        <v>335</v>
      </c>
      <c r="AF55" s="386">
        <v>135</v>
      </c>
      <c r="AG55" s="386">
        <v>470</v>
      </c>
    </row>
    <row r="56" spans="1:33" x14ac:dyDescent="0.25">
      <c r="A56" s="381" t="s">
        <v>172</v>
      </c>
      <c r="B56" s="387" t="s">
        <v>173</v>
      </c>
      <c r="C56" s="383">
        <v>3354</v>
      </c>
      <c r="D56" s="383">
        <v>607</v>
      </c>
      <c r="E56" s="383">
        <v>530</v>
      </c>
      <c r="F56" s="383">
        <v>395</v>
      </c>
      <c r="G56" s="383">
        <v>445</v>
      </c>
      <c r="H56" s="383">
        <v>5331</v>
      </c>
      <c r="I56" s="382">
        <v>4886</v>
      </c>
      <c r="J56" s="382">
        <v>3</v>
      </c>
      <c r="K56" s="384">
        <v>112.14</v>
      </c>
      <c r="L56" s="384">
        <v>113.85</v>
      </c>
      <c r="M56" s="384">
        <v>6.61</v>
      </c>
      <c r="N56" s="384">
        <v>116.59</v>
      </c>
      <c r="O56" s="385">
        <v>2555</v>
      </c>
      <c r="P56" s="382">
        <v>91.23</v>
      </c>
      <c r="Q56" s="382">
        <v>91.09</v>
      </c>
      <c r="R56" s="382">
        <v>52.77</v>
      </c>
      <c r="S56" s="382">
        <v>140.75</v>
      </c>
      <c r="T56" s="382">
        <v>778</v>
      </c>
      <c r="U56" s="382">
        <v>150.71</v>
      </c>
      <c r="V56" s="382">
        <v>424</v>
      </c>
      <c r="W56" s="382">
        <v>142</v>
      </c>
      <c r="X56" s="382">
        <v>19</v>
      </c>
      <c r="Y56" s="382">
        <v>52</v>
      </c>
      <c r="Z56" s="382">
        <v>1</v>
      </c>
      <c r="AA56" s="382">
        <v>4</v>
      </c>
      <c r="AB56" s="382">
        <v>27</v>
      </c>
      <c r="AC56" s="382">
        <v>76</v>
      </c>
      <c r="AD56" s="386">
        <v>3081</v>
      </c>
      <c r="AE56" s="386">
        <v>40</v>
      </c>
      <c r="AF56" s="386">
        <v>17</v>
      </c>
      <c r="AG56" s="386">
        <v>57</v>
      </c>
    </row>
    <row r="57" spans="1:33" x14ac:dyDescent="0.25">
      <c r="A57" s="381" t="s">
        <v>174</v>
      </c>
      <c r="B57" s="387" t="s">
        <v>175</v>
      </c>
      <c r="C57" s="383">
        <v>7933</v>
      </c>
      <c r="D57" s="383">
        <v>716</v>
      </c>
      <c r="E57" s="383">
        <v>1607</v>
      </c>
      <c r="F57" s="383">
        <v>1004</v>
      </c>
      <c r="G57" s="383">
        <v>591</v>
      </c>
      <c r="H57" s="383">
        <v>11851</v>
      </c>
      <c r="I57" s="382">
        <v>11260</v>
      </c>
      <c r="J57" s="382">
        <v>77</v>
      </c>
      <c r="K57" s="384">
        <v>134.18</v>
      </c>
      <c r="L57" s="384">
        <v>141.59</v>
      </c>
      <c r="M57" s="384">
        <v>11.16</v>
      </c>
      <c r="N57" s="384">
        <v>143.24</v>
      </c>
      <c r="O57" s="385">
        <v>6201</v>
      </c>
      <c r="P57" s="382">
        <v>111.79</v>
      </c>
      <c r="Q57" s="382">
        <v>112.8</v>
      </c>
      <c r="R57" s="382">
        <v>55.63</v>
      </c>
      <c r="S57" s="382">
        <v>159.69</v>
      </c>
      <c r="T57" s="382">
        <v>2439</v>
      </c>
      <c r="U57" s="382">
        <v>215.66</v>
      </c>
      <c r="V57" s="382">
        <v>207</v>
      </c>
      <c r="W57" s="382">
        <v>0</v>
      </c>
      <c r="X57" s="382">
        <v>0</v>
      </c>
      <c r="Y57" s="382">
        <v>0</v>
      </c>
      <c r="Z57" s="382">
        <v>3</v>
      </c>
      <c r="AA57" s="382">
        <v>7</v>
      </c>
      <c r="AB57" s="382">
        <v>8</v>
      </c>
      <c r="AC57" s="382">
        <v>32</v>
      </c>
      <c r="AD57" s="386">
        <v>6550</v>
      </c>
      <c r="AE57" s="386">
        <v>43</v>
      </c>
      <c r="AF57" s="386">
        <v>53</v>
      </c>
      <c r="AG57" s="386">
        <v>96</v>
      </c>
    </row>
    <row r="58" spans="1:33" x14ac:dyDescent="0.25">
      <c r="A58" s="381" t="s">
        <v>176</v>
      </c>
      <c r="B58" s="387" t="s">
        <v>177</v>
      </c>
      <c r="C58" s="383">
        <v>1300</v>
      </c>
      <c r="D58" s="383">
        <v>3</v>
      </c>
      <c r="E58" s="383">
        <v>210</v>
      </c>
      <c r="F58" s="383">
        <v>268</v>
      </c>
      <c r="G58" s="383">
        <v>228</v>
      </c>
      <c r="H58" s="383">
        <v>2009</v>
      </c>
      <c r="I58" s="382">
        <v>1781</v>
      </c>
      <c r="J58" s="382">
        <v>7</v>
      </c>
      <c r="K58" s="384">
        <v>91.89</v>
      </c>
      <c r="L58" s="384">
        <v>92.02</v>
      </c>
      <c r="M58" s="384">
        <v>4.8</v>
      </c>
      <c r="N58" s="384">
        <v>95.08</v>
      </c>
      <c r="O58" s="385">
        <v>1140</v>
      </c>
      <c r="P58" s="382">
        <v>86.29</v>
      </c>
      <c r="Q58" s="382">
        <v>86.1</v>
      </c>
      <c r="R58" s="382">
        <v>53.17</v>
      </c>
      <c r="S58" s="382">
        <v>137.72</v>
      </c>
      <c r="T58" s="382">
        <v>337</v>
      </c>
      <c r="U58" s="382">
        <v>111.72</v>
      </c>
      <c r="V58" s="382">
        <v>113</v>
      </c>
      <c r="W58" s="382">
        <v>160.38</v>
      </c>
      <c r="X58" s="382">
        <v>69</v>
      </c>
      <c r="Y58" s="382">
        <v>0</v>
      </c>
      <c r="Z58" s="382">
        <v>1</v>
      </c>
      <c r="AA58" s="382">
        <v>2</v>
      </c>
      <c r="AB58" s="382">
        <v>1</v>
      </c>
      <c r="AC58" s="382">
        <v>10</v>
      </c>
      <c r="AD58" s="386">
        <v>1281</v>
      </c>
      <c r="AE58" s="386">
        <v>6</v>
      </c>
      <c r="AF58" s="386">
        <v>0</v>
      </c>
      <c r="AG58" s="386">
        <v>6</v>
      </c>
    </row>
    <row r="59" spans="1:33" x14ac:dyDescent="0.25">
      <c r="A59" s="381" t="s">
        <v>178</v>
      </c>
      <c r="B59" s="387" t="s">
        <v>179</v>
      </c>
      <c r="C59" s="383">
        <v>1937</v>
      </c>
      <c r="D59" s="383">
        <v>0</v>
      </c>
      <c r="E59" s="383">
        <v>127</v>
      </c>
      <c r="F59" s="383">
        <v>380</v>
      </c>
      <c r="G59" s="383">
        <v>423</v>
      </c>
      <c r="H59" s="383">
        <v>2867</v>
      </c>
      <c r="I59" s="382">
        <v>2444</v>
      </c>
      <c r="J59" s="382">
        <v>0</v>
      </c>
      <c r="K59" s="384">
        <v>105.64</v>
      </c>
      <c r="L59" s="384">
        <v>106.93</v>
      </c>
      <c r="M59" s="384">
        <v>7.7</v>
      </c>
      <c r="N59" s="384">
        <v>111.98</v>
      </c>
      <c r="O59" s="385">
        <v>1378</v>
      </c>
      <c r="P59" s="382">
        <v>85.22</v>
      </c>
      <c r="Q59" s="382">
        <v>82.87</v>
      </c>
      <c r="R59" s="382">
        <v>47.77</v>
      </c>
      <c r="S59" s="382">
        <v>132.71</v>
      </c>
      <c r="T59" s="382">
        <v>497</v>
      </c>
      <c r="U59" s="382">
        <v>147.09</v>
      </c>
      <c r="V59" s="382">
        <v>270</v>
      </c>
      <c r="W59" s="382">
        <v>0</v>
      </c>
      <c r="X59" s="382">
        <v>0</v>
      </c>
      <c r="Y59" s="382">
        <v>0</v>
      </c>
      <c r="Z59" s="382">
        <v>7</v>
      </c>
      <c r="AA59" s="382">
        <v>2</v>
      </c>
      <c r="AB59" s="382">
        <v>4</v>
      </c>
      <c r="AC59" s="382">
        <v>10</v>
      </c>
      <c r="AD59" s="386">
        <v>1752</v>
      </c>
      <c r="AE59" s="386">
        <v>2</v>
      </c>
      <c r="AF59" s="386">
        <v>14</v>
      </c>
      <c r="AG59" s="386">
        <v>16</v>
      </c>
    </row>
    <row r="60" spans="1:33" x14ac:dyDescent="0.25">
      <c r="A60" s="381" t="s">
        <v>180</v>
      </c>
      <c r="B60" s="387" t="s">
        <v>181</v>
      </c>
      <c r="C60" s="383">
        <v>6971</v>
      </c>
      <c r="D60" s="383">
        <v>0</v>
      </c>
      <c r="E60" s="383">
        <v>242</v>
      </c>
      <c r="F60" s="383">
        <v>344</v>
      </c>
      <c r="G60" s="383">
        <v>353</v>
      </c>
      <c r="H60" s="383">
        <v>7910</v>
      </c>
      <c r="I60" s="382">
        <v>7557</v>
      </c>
      <c r="J60" s="382">
        <v>5</v>
      </c>
      <c r="K60" s="384">
        <v>85.14</v>
      </c>
      <c r="L60" s="384">
        <v>85.03</v>
      </c>
      <c r="M60" s="384">
        <v>2.94</v>
      </c>
      <c r="N60" s="384">
        <v>86.6</v>
      </c>
      <c r="O60" s="385">
        <v>6167</v>
      </c>
      <c r="P60" s="382">
        <v>81.63</v>
      </c>
      <c r="Q60" s="382">
        <v>78.27</v>
      </c>
      <c r="R60" s="382">
        <v>28.86</v>
      </c>
      <c r="S60" s="382">
        <v>105.53</v>
      </c>
      <c r="T60" s="382">
        <v>506</v>
      </c>
      <c r="U60" s="382">
        <v>93.31</v>
      </c>
      <c r="V60" s="382">
        <v>789</v>
      </c>
      <c r="W60" s="382">
        <v>93.13</v>
      </c>
      <c r="X60" s="382">
        <v>4</v>
      </c>
      <c r="Y60" s="382">
        <v>0</v>
      </c>
      <c r="Z60" s="382">
        <v>27</v>
      </c>
      <c r="AA60" s="382">
        <v>8</v>
      </c>
      <c r="AB60" s="382">
        <v>0</v>
      </c>
      <c r="AC60" s="382">
        <v>2</v>
      </c>
      <c r="AD60" s="386">
        <v>6961</v>
      </c>
      <c r="AE60" s="386">
        <v>68</v>
      </c>
      <c r="AF60" s="386">
        <v>31</v>
      </c>
      <c r="AG60" s="386">
        <v>99</v>
      </c>
    </row>
    <row r="61" spans="1:33" x14ac:dyDescent="0.25">
      <c r="A61" s="381" t="s">
        <v>182</v>
      </c>
      <c r="B61" s="387" t="s">
        <v>183</v>
      </c>
      <c r="C61" s="383">
        <v>442</v>
      </c>
      <c r="D61" s="383">
        <v>0</v>
      </c>
      <c r="E61" s="383">
        <v>52</v>
      </c>
      <c r="F61" s="383">
        <v>73</v>
      </c>
      <c r="G61" s="383">
        <v>85</v>
      </c>
      <c r="H61" s="383">
        <v>652</v>
      </c>
      <c r="I61" s="382">
        <v>567</v>
      </c>
      <c r="J61" s="382">
        <v>0</v>
      </c>
      <c r="K61" s="384">
        <v>109.72</v>
      </c>
      <c r="L61" s="384">
        <v>107.16</v>
      </c>
      <c r="M61" s="384">
        <v>6.08</v>
      </c>
      <c r="N61" s="384">
        <v>113.28</v>
      </c>
      <c r="O61" s="385">
        <v>381</v>
      </c>
      <c r="P61" s="382">
        <v>88.77</v>
      </c>
      <c r="Q61" s="382">
        <v>85.42</v>
      </c>
      <c r="R61" s="382">
        <v>54.71</v>
      </c>
      <c r="S61" s="382">
        <v>142.47999999999999</v>
      </c>
      <c r="T61" s="382">
        <v>109</v>
      </c>
      <c r="U61" s="382">
        <v>143.61000000000001</v>
      </c>
      <c r="V61" s="382">
        <v>49</v>
      </c>
      <c r="W61" s="382">
        <v>0</v>
      </c>
      <c r="X61" s="382">
        <v>0</v>
      </c>
      <c r="Y61" s="382">
        <v>12</v>
      </c>
      <c r="Z61" s="382">
        <v>0</v>
      </c>
      <c r="AA61" s="382">
        <v>18</v>
      </c>
      <c r="AB61" s="382">
        <v>3</v>
      </c>
      <c r="AC61" s="382">
        <v>0</v>
      </c>
      <c r="AD61" s="386">
        <v>442</v>
      </c>
      <c r="AE61" s="386">
        <v>1</v>
      </c>
      <c r="AF61" s="386">
        <v>0</v>
      </c>
      <c r="AG61" s="386">
        <v>1</v>
      </c>
    </row>
    <row r="62" spans="1:33" x14ac:dyDescent="0.25">
      <c r="A62" s="381" t="s">
        <v>184</v>
      </c>
      <c r="B62" s="387" t="s">
        <v>185</v>
      </c>
      <c r="C62" s="383">
        <v>7855</v>
      </c>
      <c r="D62" s="383">
        <v>0</v>
      </c>
      <c r="E62" s="383">
        <v>242</v>
      </c>
      <c r="F62" s="383">
        <v>1821</v>
      </c>
      <c r="G62" s="383">
        <v>1263</v>
      </c>
      <c r="H62" s="383">
        <v>11181</v>
      </c>
      <c r="I62" s="382">
        <v>9918</v>
      </c>
      <c r="J62" s="382">
        <v>15</v>
      </c>
      <c r="K62" s="384">
        <v>106.57</v>
      </c>
      <c r="L62" s="384">
        <v>107.42</v>
      </c>
      <c r="M62" s="384">
        <v>4.46</v>
      </c>
      <c r="N62" s="384">
        <v>107.93</v>
      </c>
      <c r="O62" s="385">
        <v>7173</v>
      </c>
      <c r="P62" s="382">
        <v>88.75</v>
      </c>
      <c r="Q62" s="382">
        <v>88.5</v>
      </c>
      <c r="R62" s="382">
        <v>23.12</v>
      </c>
      <c r="S62" s="382">
        <v>97.11</v>
      </c>
      <c r="T62" s="382">
        <v>1963</v>
      </c>
      <c r="U62" s="382">
        <v>136.41</v>
      </c>
      <c r="V62" s="382">
        <v>514</v>
      </c>
      <c r="W62" s="382">
        <v>91.71</v>
      </c>
      <c r="X62" s="382">
        <v>17</v>
      </c>
      <c r="Y62" s="382">
        <v>0</v>
      </c>
      <c r="Z62" s="382">
        <v>9</v>
      </c>
      <c r="AA62" s="382">
        <v>3</v>
      </c>
      <c r="AB62" s="382">
        <v>65</v>
      </c>
      <c r="AC62" s="382">
        <v>62</v>
      </c>
      <c r="AD62" s="386">
        <v>7750</v>
      </c>
      <c r="AE62" s="386">
        <v>42</v>
      </c>
      <c r="AF62" s="386">
        <v>8</v>
      </c>
      <c r="AG62" s="386">
        <v>50</v>
      </c>
    </row>
    <row r="63" spans="1:33" x14ac:dyDescent="0.25">
      <c r="A63" s="381" t="s">
        <v>186</v>
      </c>
      <c r="B63" s="387" t="s">
        <v>187</v>
      </c>
      <c r="C63" s="383">
        <v>2649</v>
      </c>
      <c r="D63" s="383">
        <v>0</v>
      </c>
      <c r="E63" s="383">
        <v>199</v>
      </c>
      <c r="F63" s="383">
        <v>297</v>
      </c>
      <c r="G63" s="383">
        <v>488</v>
      </c>
      <c r="H63" s="383">
        <v>3633</v>
      </c>
      <c r="I63" s="382">
        <v>3145</v>
      </c>
      <c r="J63" s="382">
        <v>1</v>
      </c>
      <c r="K63" s="384">
        <v>94.03</v>
      </c>
      <c r="L63" s="384">
        <v>92.54</v>
      </c>
      <c r="M63" s="384">
        <v>5.96</v>
      </c>
      <c r="N63" s="384">
        <v>98.53</v>
      </c>
      <c r="O63" s="385">
        <v>2273</v>
      </c>
      <c r="P63" s="382">
        <v>88.33</v>
      </c>
      <c r="Q63" s="382">
        <v>81.540000000000006</v>
      </c>
      <c r="R63" s="382">
        <v>47.7</v>
      </c>
      <c r="S63" s="382">
        <v>133.72</v>
      </c>
      <c r="T63" s="382">
        <v>454</v>
      </c>
      <c r="U63" s="382">
        <v>106.65</v>
      </c>
      <c r="V63" s="382">
        <v>306</v>
      </c>
      <c r="W63" s="382">
        <v>0</v>
      </c>
      <c r="X63" s="382">
        <v>0</v>
      </c>
      <c r="Y63" s="382">
        <v>0</v>
      </c>
      <c r="Z63" s="382">
        <v>1</v>
      </c>
      <c r="AA63" s="382">
        <v>22</v>
      </c>
      <c r="AB63" s="382">
        <v>51</v>
      </c>
      <c r="AC63" s="382">
        <v>17</v>
      </c>
      <c r="AD63" s="386">
        <v>2649</v>
      </c>
      <c r="AE63" s="386">
        <v>15</v>
      </c>
      <c r="AF63" s="386">
        <v>13</v>
      </c>
      <c r="AG63" s="386">
        <v>28</v>
      </c>
    </row>
    <row r="64" spans="1:33" x14ac:dyDescent="0.25">
      <c r="A64" s="381" t="s">
        <v>188</v>
      </c>
      <c r="B64" s="387" t="s">
        <v>189</v>
      </c>
      <c r="C64" s="383">
        <v>7079</v>
      </c>
      <c r="D64" s="383">
        <v>250</v>
      </c>
      <c r="E64" s="383">
        <v>1215</v>
      </c>
      <c r="F64" s="383">
        <v>1520</v>
      </c>
      <c r="G64" s="383">
        <v>412</v>
      </c>
      <c r="H64" s="383">
        <v>10476</v>
      </c>
      <c r="I64" s="382">
        <v>10064</v>
      </c>
      <c r="J64" s="382">
        <v>1</v>
      </c>
      <c r="K64" s="384">
        <v>107.07</v>
      </c>
      <c r="L64" s="384">
        <v>107.24</v>
      </c>
      <c r="M64" s="384">
        <v>6.12</v>
      </c>
      <c r="N64" s="384">
        <v>109.86</v>
      </c>
      <c r="O64" s="385">
        <v>6552</v>
      </c>
      <c r="P64" s="382">
        <v>92</v>
      </c>
      <c r="Q64" s="382">
        <v>91.52</v>
      </c>
      <c r="R64" s="382">
        <v>25.81</v>
      </c>
      <c r="S64" s="382">
        <v>109.15</v>
      </c>
      <c r="T64" s="382">
        <v>2647</v>
      </c>
      <c r="U64" s="382">
        <v>132.49</v>
      </c>
      <c r="V64" s="382">
        <v>372</v>
      </c>
      <c r="W64" s="382">
        <v>0</v>
      </c>
      <c r="X64" s="382">
        <v>0</v>
      </c>
      <c r="Y64" s="382">
        <v>0</v>
      </c>
      <c r="Z64" s="382">
        <v>7</v>
      </c>
      <c r="AA64" s="382">
        <v>18</v>
      </c>
      <c r="AB64" s="382">
        <v>38</v>
      </c>
      <c r="AC64" s="382">
        <v>13</v>
      </c>
      <c r="AD64" s="386">
        <v>7071</v>
      </c>
      <c r="AE64" s="386">
        <v>32</v>
      </c>
      <c r="AF64" s="386">
        <v>12</v>
      </c>
      <c r="AG64" s="386">
        <v>44</v>
      </c>
    </row>
    <row r="65" spans="1:33" x14ac:dyDescent="0.25">
      <c r="A65" s="381" t="s">
        <v>190</v>
      </c>
      <c r="B65" s="387" t="s">
        <v>191</v>
      </c>
      <c r="C65" s="383">
        <v>1700</v>
      </c>
      <c r="D65" s="383">
        <v>11</v>
      </c>
      <c r="E65" s="383">
        <v>443</v>
      </c>
      <c r="F65" s="383">
        <v>242</v>
      </c>
      <c r="G65" s="383">
        <v>321</v>
      </c>
      <c r="H65" s="383">
        <v>2717</v>
      </c>
      <c r="I65" s="382">
        <v>2396</v>
      </c>
      <c r="J65" s="382">
        <v>0</v>
      </c>
      <c r="K65" s="384">
        <v>96.9</v>
      </c>
      <c r="L65" s="384">
        <v>95.2</v>
      </c>
      <c r="M65" s="384">
        <v>5.34</v>
      </c>
      <c r="N65" s="384">
        <v>100.84</v>
      </c>
      <c r="O65" s="385">
        <v>1452</v>
      </c>
      <c r="P65" s="382">
        <v>85.75</v>
      </c>
      <c r="Q65" s="382">
        <v>83.57</v>
      </c>
      <c r="R65" s="382">
        <v>46.43</v>
      </c>
      <c r="S65" s="382">
        <v>121.94</v>
      </c>
      <c r="T65" s="382">
        <v>535</v>
      </c>
      <c r="U65" s="382">
        <v>132.9</v>
      </c>
      <c r="V65" s="382">
        <v>164</v>
      </c>
      <c r="W65" s="382">
        <v>202.97</v>
      </c>
      <c r="X65" s="382">
        <v>110</v>
      </c>
      <c r="Y65" s="382">
        <v>0</v>
      </c>
      <c r="Z65" s="382">
        <v>1</v>
      </c>
      <c r="AA65" s="382">
        <v>27</v>
      </c>
      <c r="AB65" s="382">
        <v>9</v>
      </c>
      <c r="AC65" s="382">
        <v>9</v>
      </c>
      <c r="AD65" s="386">
        <v>1577</v>
      </c>
      <c r="AE65" s="386">
        <v>10</v>
      </c>
      <c r="AF65" s="386">
        <v>1</v>
      </c>
      <c r="AG65" s="386">
        <v>11</v>
      </c>
    </row>
    <row r="66" spans="1:33" x14ac:dyDescent="0.25">
      <c r="A66" s="381" t="s">
        <v>192</v>
      </c>
      <c r="B66" s="387" t="s">
        <v>193</v>
      </c>
      <c r="C66" s="383">
        <v>5904</v>
      </c>
      <c r="D66" s="383">
        <v>10</v>
      </c>
      <c r="E66" s="383">
        <v>210</v>
      </c>
      <c r="F66" s="383">
        <v>1485</v>
      </c>
      <c r="G66" s="383">
        <v>503</v>
      </c>
      <c r="H66" s="383">
        <v>8112</v>
      </c>
      <c r="I66" s="382">
        <v>7609</v>
      </c>
      <c r="J66" s="382">
        <v>1</v>
      </c>
      <c r="K66" s="384">
        <v>107.69</v>
      </c>
      <c r="L66" s="384">
        <v>107.66</v>
      </c>
      <c r="M66" s="384">
        <v>6.02</v>
      </c>
      <c r="N66" s="384">
        <v>109.38</v>
      </c>
      <c r="O66" s="385">
        <v>5079</v>
      </c>
      <c r="P66" s="382">
        <v>97.85</v>
      </c>
      <c r="Q66" s="382">
        <v>97.55</v>
      </c>
      <c r="R66" s="382">
        <v>21.31</v>
      </c>
      <c r="S66" s="382">
        <v>117.08</v>
      </c>
      <c r="T66" s="382">
        <v>1571</v>
      </c>
      <c r="U66" s="382">
        <v>153.18</v>
      </c>
      <c r="V66" s="382">
        <v>718</v>
      </c>
      <c r="W66" s="382">
        <v>199.51</v>
      </c>
      <c r="X66" s="382">
        <v>95</v>
      </c>
      <c r="Y66" s="382">
        <v>0</v>
      </c>
      <c r="Z66" s="382">
        <v>14</v>
      </c>
      <c r="AA66" s="382">
        <v>0</v>
      </c>
      <c r="AB66" s="382">
        <v>74</v>
      </c>
      <c r="AC66" s="382">
        <v>14</v>
      </c>
      <c r="AD66" s="386">
        <v>5829</v>
      </c>
      <c r="AE66" s="386">
        <v>27</v>
      </c>
      <c r="AF66" s="386">
        <v>30</v>
      </c>
      <c r="AG66" s="386">
        <v>57</v>
      </c>
    </row>
    <row r="67" spans="1:33" x14ac:dyDescent="0.25">
      <c r="A67" s="381" t="s">
        <v>194</v>
      </c>
      <c r="B67" s="387" t="s">
        <v>195</v>
      </c>
      <c r="C67" s="383">
        <v>14787</v>
      </c>
      <c r="D67" s="383">
        <v>0</v>
      </c>
      <c r="E67" s="383">
        <v>1723</v>
      </c>
      <c r="F67" s="383">
        <v>3420</v>
      </c>
      <c r="G67" s="383">
        <v>714</v>
      </c>
      <c r="H67" s="383">
        <v>20644</v>
      </c>
      <c r="I67" s="382">
        <v>19930</v>
      </c>
      <c r="J67" s="382">
        <v>18</v>
      </c>
      <c r="K67" s="384">
        <v>92.6</v>
      </c>
      <c r="L67" s="384">
        <v>94.55</v>
      </c>
      <c r="M67" s="384">
        <v>5.95</v>
      </c>
      <c r="N67" s="384">
        <v>94.62</v>
      </c>
      <c r="O67" s="385">
        <v>12156</v>
      </c>
      <c r="P67" s="382">
        <v>87.67</v>
      </c>
      <c r="Q67" s="382">
        <v>88.62</v>
      </c>
      <c r="R67" s="382">
        <v>36.619999999999997</v>
      </c>
      <c r="S67" s="382">
        <v>101.94</v>
      </c>
      <c r="T67" s="382">
        <v>4795</v>
      </c>
      <c r="U67" s="382">
        <v>111.85</v>
      </c>
      <c r="V67" s="382">
        <v>2572</v>
      </c>
      <c r="W67" s="382">
        <v>106.97</v>
      </c>
      <c r="X67" s="382">
        <v>134</v>
      </c>
      <c r="Y67" s="382">
        <v>0</v>
      </c>
      <c r="Z67" s="382">
        <v>54</v>
      </c>
      <c r="AA67" s="382">
        <v>34</v>
      </c>
      <c r="AB67" s="382">
        <v>102</v>
      </c>
      <c r="AC67" s="382">
        <v>19</v>
      </c>
      <c r="AD67" s="386">
        <v>14783</v>
      </c>
      <c r="AE67" s="386">
        <v>85</v>
      </c>
      <c r="AF67" s="386">
        <v>55</v>
      </c>
      <c r="AG67" s="386">
        <v>140</v>
      </c>
    </row>
    <row r="68" spans="1:33" x14ac:dyDescent="0.25">
      <c r="A68" s="381" t="s">
        <v>196</v>
      </c>
      <c r="B68" s="387" t="s">
        <v>197</v>
      </c>
      <c r="C68" s="382">
        <v>11900</v>
      </c>
      <c r="D68" s="382">
        <v>44</v>
      </c>
      <c r="E68" s="382">
        <v>577</v>
      </c>
      <c r="F68" s="382">
        <v>5067</v>
      </c>
      <c r="G68" s="382">
        <v>1143</v>
      </c>
      <c r="H68" s="382">
        <v>18731</v>
      </c>
      <c r="I68" s="382">
        <v>17588</v>
      </c>
      <c r="J68" s="382">
        <v>10</v>
      </c>
      <c r="K68" s="382">
        <v>95.12</v>
      </c>
      <c r="L68" s="382">
        <v>97.63</v>
      </c>
      <c r="M68" s="382">
        <v>4.84</v>
      </c>
      <c r="N68" s="382">
        <v>96.72</v>
      </c>
      <c r="O68" s="385">
        <v>10281</v>
      </c>
      <c r="P68" s="382">
        <v>87.42</v>
      </c>
      <c r="Q68" s="382">
        <v>88.1</v>
      </c>
      <c r="R68" s="382">
        <v>21.86</v>
      </c>
      <c r="S68" s="382">
        <v>100.11</v>
      </c>
      <c r="T68" s="382">
        <v>5003</v>
      </c>
      <c r="U68" s="382">
        <v>113.33</v>
      </c>
      <c r="V68" s="382">
        <v>1407</v>
      </c>
      <c r="W68" s="382">
        <v>145.96</v>
      </c>
      <c r="X68" s="382">
        <v>394</v>
      </c>
      <c r="Y68" s="382">
        <v>0</v>
      </c>
      <c r="Z68" s="382">
        <v>45</v>
      </c>
      <c r="AA68" s="382">
        <v>22</v>
      </c>
      <c r="AB68" s="382">
        <v>66</v>
      </c>
      <c r="AC68" s="382">
        <v>18</v>
      </c>
      <c r="AD68" s="382">
        <v>11793</v>
      </c>
      <c r="AE68" s="382">
        <v>64</v>
      </c>
      <c r="AF68" s="382">
        <v>18</v>
      </c>
      <c r="AG68" s="382">
        <v>82</v>
      </c>
    </row>
    <row r="69" spans="1:33" x14ac:dyDescent="0.25">
      <c r="A69" s="381" t="s">
        <v>198</v>
      </c>
      <c r="B69" s="387" t="s">
        <v>199</v>
      </c>
      <c r="C69" s="382">
        <v>802</v>
      </c>
      <c r="D69" s="382">
        <v>0</v>
      </c>
      <c r="E69" s="382">
        <v>141</v>
      </c>
      <c r="F69" s="382">
        <v>538</v>
      </c>
      <c r="G69" s="382">
        <v>89</v>
      </c>
      <c r="H69" s="382">
        <v>1570</v>
      </c>
      <c r="I69" s="382">
        <v>1481</v>
      </c>
      <c r="J69" s="382">
        <v>0</v>
      </c>
      <c r="K69" s="382">
        <v>88.99</v>
      </c>
      <c r="L69" s="384">
        <v>87.93</v>
      </c>
      <c r="M69" s="384">
        <v>6.37</v>
      </c>
      <c r="N69" s="384">
        <v>92</v>
      </c>
      <c r="O69" s="385">
        <v>655</v>
      </c>
      <c r="P69" s="382">
        <v>91.03</v>
      </c>
      <c r="Q69" s="382">
        <v>91</v>
      </c>
      <c r="R69" s="382">
        <v>24.99</v>
      </c>
      <c r="S69" s="382">
        <v>113.7</v>
      </c>
      <c r="T69" s="382">
        <v>624</v>
      </c>
      <c r="U69" s="382">
        <v>95.71</v>
      </c>
      <c r="V69" s="382">
        <v>50</v>
      </c>
      <c r="W69" s="382">
        <v>0</v>
      </c>
      <c r="X69" s="382">
        <v>0</v>
      </c>
      <c r="Y69" s="382">
        <v>0</v>
      </c>
      <c r="Z69" s="382">
        <v>1</v>
      </c>
      <c r="AA69" s="382">
        <v>6</v>
      </c>
      <c r="AB69" s="382">
        <v>4</v>
      </c>
      <c r="AC69" s="382">
        <v>4</v>
      </c>
      <c r="AD69" s="382">
        <v>705</v>
      </c>
      <c r="AE69" s="382">
        <v>12</v>
      </c>
      <c r="AF69" s="382">
        <v>3</v>
      </c>
      <c r="AG69" s="382">
        <v>15</v>
      </c>
    </row>
    <row r="70" spans="1:33" ht="14.5" x14ac:dyDescent="0.35">
      <c r="A70" s="388" t="s">
        <v>200</v>
      </c>
      <c r="B70" s="388" t="s">
        <v>201</v>
      </c>
      <c r="C70" s="382">
        <v>6942</v>
      </c>
      <c r="D70" s="382">
        <v>0</v>
      </c>
      <c r="E70" s="382">
        <v>178</v>
      </c>
      <c r="F70" s="382">
        <v>735</v>
      </c>
      <c r="G70" s="382">
        <v>442</v>
      </c>
      <c r="H70" s="382">
        <v>8297</v>
      </c>
      <c r="I70" s="382">
        <v>7855</v>
      </c>
      <c r="J70" s="382">
        <v>2</v>
      </c>
      <c r="K70" s="389">
        <v>114.65</v>
      </c>
      <c r="L70" s="389">
        <v>116.22</v>
      </c>
      <c r="M70" s="389">
        <v>7.2</v>
      </c>
      <c r="N70" s="389">
        <v>118.09</v>
      </c>
      <c r="O70" s="382">
        <v>6334</v>
      </c>
      <c r="P70" s="389">
        <v>94.77</v>
      </c>
      <c r="Q70" s="389">
        <v>96.98</v>
      </c>
      <c r="R70" s="389">
        <v>33.96</v>
      </c>
      <c r="S70" s="389">
        <v>127.87</v>
      </c>
      <c r="T70" s="382">
        <v>712</v>
      </c>
      <c r="U70" s="389">
        <v>152.94</v>
      </c>
      <c r="V70" s="382">
        <v>557</v>
      </c>
      <c r="W70" s="389">
        <v>0</v>
      </c>
      <c r="X70" s="382">
        <v>0</v>
      </c>
      <c r="Y70" s="382">
        <v>2</v>
      </c>
      <c r="Z70" s="382">
        <v>12</v>
      </c>
      <c r="AA70" s="382">
        <v>3</v>
      </c>
      <c r="AB70" s="382">
        <v>69</v>
      </c>
      <c r="AC70" s="382">
        <v>13</v>
      </c>
      <c r="AD70" s="382">
        <v>6890</v>
      </c>
      <c r="AE70" s="382">
        <v>123</v>
      </c>
      <c r="AF70" s="382">
        <v>34</v>
      </c>
      <c r="AG70" s="382">
        <v>157</v>
      </c>
    </row>
    <row r="71" spans="1:33" x14ac:dyDescent="0.25">
      <c r="A71" s="381" t="s">
        <v>202</v>
      </c>
      <c r="B71" s="387" t="s">
        <v>203</v>
      </c>
      <c r="C71" s="383">
        <v>5646</v>
      </c>
      <c r="D71" s="383">
        <v>1</v>
      </c>
      <c r="E71" s="383">
        <v>305</v>
      </c>
      <c r="F71" s="383">
        <v>652</v>
      </c>
      <c r="G71" s="383">
        <v>286</v>
      </c>
      <c r="H71" s="383">
        <v>6890</v>
      </c>
      <c r="I71" s="382">
        <v>6604</v>
      </c>
      <c r="J71" s="382">
        <v>85</v>
      </c>
      <c r="K71" s="384">
        <v>82.47</v>
      </c>
      <c r="L71" s="384">
        <v>79.930000000000007</v>
      </c>
      <c r="M71" s="384">
        <v>5.04</v>
      </c>
      <c r="N71" s="384">
        <v>85.89</v>
      </c>
      <c r="O71" s="385">
        <v>5239</v>
      </c>
      <c r="P71" s="382">
        <v>86.68</v>
      </c>
      <c r="Q71" s="382">
        <v>69.84</v>
      </c>
      <c r="R71" s="382">
        <v>22.69</v>
      </c>
      <c r="S71" s="382">
        <v>108.93</v>
      </c>
      <c r="T71" s="382">
        <v>887</v>
      </c>
      <c r="U71" s="382">
        <v>103.95</v>
      </c>
      <c r="V71" s="382">
        <v>384</v>
      </c>
      <c r="W71" s="382">
        <v>0</v>
      </c>
      <c r="X71" s="382">
        <v>0</v>
      </c>
      <c r="Y71" s="382">
        <v>0</v>
      </c>
      <c r="Z71" s="382">
        <v>11</v>
      </c>
      <c r="AA71" s="382">
        <v>1</v>
      </c>
      <c r="AB71" s="382">
        <v>26</v>
      </c>
      <c r="AC71" s="382">
        <v>1</v>
      </c>
      <c r="AD71" s="386">
        <v>5639</v>
      </c>
      <c r="AE71" s="386">
        <v>32</v>
      </c>
      <c r="AF71" s="386">
        <v>6</v>
      </c>
      <c r="AG71" s="386">
        <v>38</v>
      </c>
    </row>
    <row r="72" spans="1:33" x14ac:dyDescent="0.25">
      <c r="A72" s="381" t="s">
        <v>204</v>
      </c>
      <c r="B72" s="387" t="s">
        <v>205</v>
      </c>
      <c r="C72" s="383">
        <v>194</v>
      </c>
      <c r="D72" s="383">
        <v>0</v>
      </c>
      <c r="E72" s="383">
        <v>20</v>
      </c>
      <c r="F72" s="383">
        <v>18</v>
      </c>
      <c r="G72" s="383">
        <v>0</v>
      </c>
      <c r="H72" s="383">
        <v>232</v>
      </c>
      <c r="I72" s="382">
        <v>232</v>
      </c>
      <c r="J72" s="382">
        <v>0</v>
      </c>
      <c r="K72" s="384">
        <v>126.67</v>
      </c>
      <c r="L72" s="384">
        <v>134.35</v>
      </c>
      <c r="M72" s="384">
        <v>11.16</v>
      </c>
      <c r="N72" s="384">
        <v>137.83000000000001</v>
      </c>
      <c r="O72" s="385">
        <v>173</v>
      </c>
      <c r="P72" s="382">
        <v>109.3</v>
      </c>
      <c r="Q72" s="382">
        <v>122.86</v>
      </c>
      <c r="R72" s="382">
        <v>33.869999999999997</v>
      </c>
      <c r="S72" s="382">
        <v>143.16999999999999</v>
      </c>
      <c r="T72" s="382">
        <v>18</v>
      </c>
      <c r="U72" s="382">
        <v>232.57</v>
      </c>
      <c r="V72" s="382">
        <v>21</v>
      </c>
      <c r="W72" s="382">
        <v>0</v>
      </c>
      <c r="X72" s="382">
        <v>0</v>
      </c>
      <c r="Y72" s="382">
        <v>0</v>
      </c>
      <c r="Z72" s="382">
        <v>0</v>
      </c>
      <c r="AA72" s="382">
        <v>0</v>
      </c>
      <c r="AB72" s="382">
        <v>0</v>
      </c>
      <c r="AC72" s="382">
        <v>0</v>
      </c>
      <c r="AD72" s="386">
        <v>194</v>
      </c>
      <c r="AE72" s="386">
        <v>1</v>
      </c>
      <c r="AF72" s="386">
        <v>0</v>
      </c>
      <c r="AG72" s="386">
        <v>1</v>
      </c>
    </row>
    <row r="73" spans="1:33" x14ac:dyDescent="0.25">
      <c r="A73" s="381" t="s">
        <v>206</v>
      </c>
      <c r="B73" s="387" t="s">
        <v>207</v>
      </c>
      <c r="C73" s="383">
        <v>3796</v>
      </c>
      <c r="D73" s="383">
        <v>184</v>
      </c>
      <c r="E73" s="383">
        <v>575</v>
      </c>
      <c r="F73" s="383">
        <v>348</v>
      </c>
      <c r="G73" s="383">
        <v>273</v>
      </c>
      <c r="H73" s="383">
        <v>5176</v>
      </c>
      <c r="I73" s="382">
        <v>4903</v>
      </c>
      <c r="J73" s="382">
        <v>6</v>
      </c>
      <c r="K73" s="384">
        <v>105.25</v>
      </c>
      <c r="L73" s="384">
        <v>105.24</v>
      </c>
      <c r="M73" s="384">
        <v>5.19</v>
      </c>
      <c r="N73" s="384">
        <v>109.41</v>
      </c>
      <c r="O73" s="385">
        <v>2888</v>
      </c>
      <c r="P73" s="382">
        <v>94.47</v>
      </c>
      <c r="Q73" s="382">
        <v>88.18</v>
      </c>
      <c r="R73" s="382">
        <v>36.299999999999997</v>
      </c>
      <c r="S73" s="382">
        <v>128.49</v>
      </c>
      <c r="T73" s="382">
        <v>605</v>
      </c>
      <c r="U73" s="382">
        <v>133.68</v>
      </c>
      <c r="V73" s="382">
        <v>642</v>
      </c>
      <c r="W73" s="382">
        <v>111.61</v>
      </c>
      <c r="X73" s="382">
        <v>34</v>
      </c>
      <c r="Y73" s="382">
        <v>0</v>
      </c>
      <c r="Z73" s="382">
        <v>2</v>
      </c>
      <c r="AA73" s="382">
        <v>4</v>
      </c>
      <c r="AB73" s="382">
        <v>3</v>
      </c>
      <c r="AC73" s="382">
        <v>7</v>
      </c>
      <c r="AD73" s="386">
        <v>3735</v>
      </c>
      <c r="AE73" s="386">
        <v>15</v>
      </c>
      <c r="AF73" s="386">
        <v>3</v>
      </c>
      <c r="AG73" s="386">
        <v>18</v>
      </c>
    </row>
    <row r="74" spans="1:33" x14ac:dyDescent="0.25">
      <c r="A74" s="381" t="s">
        <v>208</v>
      </c>
      <c r="B74" s="387" t="s">
        <v>209</v>
      </c>
      <c r="C74" s="383">
        <v>5673</v>
      </c>
      <c r="D74" s="383">
        <v>27</v>
      </c>
      <c r="E74" s="383">
        <v>79</v>
      </c>
      <c r="F74" s="383">
        <v>307</v>
      </c>
      <c r="G74" s="383">
        <v>46</v>
      </c>
      <c r="H74" s="383">
        <v>6132</v>
      </c>
      <c r="I74" s="382">
        <v>6086</v>
      </c>
      <c r="J74" s="382">
        <v>12</v>
      </c>
      <c r="K74" s="384">
        <v>86.62</v>
      </c>
      <c r="L74" s="384">
        <v>88.05</v>
      </c>
      <c r="M74" s="384">
        <v>1.2</v>
      </c>
      <c r="N74" s="384">
        <v>87.59</v>
      </c>
      <c r="O74" s="385">
        <v>5543</v>
      </c>
      <c r="P74" s="382">
        <v>81.260000000000005</v>
      </c>
      <c r="Q74" s="382">
        <v>77.27</v>
      </c>
      <c r="R74" s="382">
        <v>29.05</v>
      </c>
      <c r="S74" s="382">
        <v>109.28</v>
      </c>
      <c r="T74" s="382">
        <v>368</v>
      </c>
      <c r="U74" s="382">
        <v>96.26</v>
      </c>
      <c r="V74" s="382">
        <v>144</v>
      </c>
      <c r="W74" s="382">
        <v>0</v>
      </c>
      <c r="X74" s="382">
        <v>0</v>
      </c>
      <c r="Y74" s="382">
        <v>0</v>
      </c>
      <c r="Z74" s="382">
        <v>25</v>
      </c>
      <c r="AA74" s="382">
        <v>4</v>
      </c>
      <c r="AB74" s="382">
        <v>0</v>
      </c>
      <c r="AC74" s="382">
        <v>0</v>
      </c>
      <c r="AD74" s="386">
        <v>5660</v>
      </c>
      <c r="AE74" s="386">
        <v>109</v>
      </c>
      <c r="AF74" s="386">
        <v>92</v>
      </c>
      <c r="AG74" s="386">
        <v>201</v>
      </c>
    </row>
    <row r="75" spans="1:33" x14ac:dyDescent="0.25">
      <c r="A75" s="381" t="s">
        <v>210</v>
      </c>
      <c r="B75" s="387" t="s">
        <v>211</v>
      </c>
      <c r="C75" s="383">
        <v>16768</v>
      </c>
      <c r="D75" s="383">
        <v>15</v>
      </c>
      <c r="E75" s="383">
        <v>819</v>
      </c>
      <c r="F75" s="383">
        <v>3132</v>
      </c>
      <c r="G75" s="383">
        <v>1683</v>
      </c>
      <c r="H75" s="383">
        <v>22417</v>
      </c>
      <c r="I75" s="382">
        <v>20734</v>
      </c>
      <c r="J75" s="382">
        <v>28</v>
      </c>
      <c r="K75" s="384">
        <v>86.91</v>
      </c>
      <c r="L75" s="384">
        <v>82.48</v>
      </c>
      <c r="M75" s="384">
        <v>3.33</v>
      </c>
      <c r="N75" s="384">
        <v>89.31</v>
      </c>
      <c r="O75" s="385">
        <v>14058</v>
      </c>
      <c r="P75" s="382">
        <v>79.260000000000005</v>
      </c>
      <c r="Q75" s="382">
        <v>72.349999999999994</v>
      </c>
      <c r="R75" s="382">
        <v>32.130000000000003</v>
      </c>
      <c r="S75" s="382">
        <v>107.84</v>
      </c>
      <c r="T75" s="382">
        <v>3751</v>
      </c>
      <c r="U75" s="382">
        <v>119.58</v>
      </c>
      <c r="V75" s="382">
        <v>2023</v>
      </c>
      <c r="W75" s="382">
        <v>130.06</v>
      </c>
      <c r="X75" s="382">
        <v>53</v>
      </c>
      <c r="Y75" s="382">
        <v>0</v>
      </c>
      <c r="Z75" s="382">
        <v>12</v>
      </c>
      <c r="AA75" s="382">
        <v>45</v>
      </c>
      <c r="AB75" s="382">
        <v>119</v>
      </c>
      <c r="AC75" s="382">
        <v>37</v>
      </c>
      <c r="AD75" s="386">
        <v>16363</v>
      </c>
      <c r="AE75" s="386">
        <v>56</v>
      </c>
      <c r="AF75" s="386">
        <v>27</v>
      </c>
      <c r="AG75" s="386">
        <v>83</v>
      </c>
    </row>
    <row r="76" spans="1:33" x14ac:dyDescent="0.25">
      <c r="A76" s="381" t="s">
        <v>212</v>
      </c>
      <c r="B76" s="387" t="s">
        <v>213</v>
      </c>
      <c r="C76" s="383">
        <v>5015</v>
      </c>
      <c r="D76" s="383">
        <v>0</v>
      </c>
      <c r="E76" s="383">
        <v>64</v>
      </c>
      <c r="F76" s="383">
        <v>576</v>
      </c>
      <c r="G76" s="383">
        <v>584</v>
      </c>
      <c r="H76" s="383">
        <v>6239</v>
      </c>
      <c r="I76" s="382">
        <v>5655</v>
      </c>
      <c r="J76" s="382">
        <v>0</v>
      </c>
      <c r="K76" s="384">
        <v>106.06</v>
      </c>
      <c r="L76" s="384">
        <v>101.83</v>
      </c>
      <c r="M76" s="384">
        <v>4.32</v>
      </c>
      <c r="N76" s="384">
        <v>107.24</v>
      </c>
      <c r="O76" s="385">
        <v>4425</v>
      </c>
      <c r="P76" s="382">
        <v>97.14</v>
      </c>
      <c r="Q76" s="382">
        <v>90.61</v>
      </c>
      <c r="R76" s="382">
        <v>41.07</v>
      </c>
      <c r="S76" s="382">
        <v>113.22</v>
      </c>
      <c r="T76" s="382">
        <v>572</v>
      </c>
      <c r="U76" s="382">
        <v>137.1</v>
      </c>
      <c r="V76" s="382">
        <v>375</v>
      </c>
      <c r="W76" s="382">
        <v>173.08</v>
      </c>
      <c r="X76" s="382">
        <v>38</v>
      </c>
      <c r="Y76" s="382">
        <v>0</v>
      </c>
      <c r="Z76" s="382">
        <v>5</v>
      </c>
      <c r="AA76" s="382">
        <v>12</v>
      </c>
      <c r="AB76" s="382">
        <v>19</v>
      </c>
      <c r="AC76" s="382">
        <v>28</v>
      </c>
      <c r="AD76" s="386">
        <v>4794</v>
      </c>
      <c r="AE76" s="386">
        <v>7</v>
      </c>
      <c r="AF76" s="386">
        <v>6</v>
      </c>
      <c r="AG76" s="386">
        <v>13</v>
      </c>
    </row>
    <row r="77" spans="1:33" x14ac:dyDescent="0.25">
      <c r="A77" s="381" t="s">
        <v>214</v>
      </c>
      <c r="B77" s="387" t="s">
        <v>215</v>
      </c>
      <c r="C77" s="383">
        <v>41384</v>
      </c>
      <c r="D77" s="383">
        <v>102</v>
      </c>
      <c r="E77" s="383">
        <v>1202</v>
      </c>
      <c r="F77" s="383">
        <v>5264</v>
      </c>
      <c r="G77" s="383">
        <v>214</v>
      </c>
      <c r="H77" s="383">
        <v>48166</v>
      </c>
      <c r="I77" s="382">
        <v>47952</v>
      </c>
      <c r="J77" s="382">
        <v>94</v>
      </c>
      <c r="K77" s="384">
        <v>74.42</v>
      </c>
      <c r="L77" s="384">
        <v>77.180000000000007</v>
      </c>
      <c r="M77" s="384">
        <v>6.66</v>
      </c>
      <c r="N77" s="384">
        <v>75.349999999999994</v>
      </c>
      <c r="O77" s="385">
        <v>38578</v>
      </c>
      <c r="P77" s="382">
        <v>79.680000000000007</v>
      </c>
      <c r="Q77" s="382">
        <v>75.33</v>
      </c>
      <c r="R77" s="382">
        <v>40.409999999999997</v>
      </c>
      <c r="S77" s="382">
        <v>95.43</v>
      </c>
      <c r="T77" s="382">
        <v>5803</v>
      </c>
      <c r="U77" s="382">
        <v>90.89</v>
      </c>
      <c r="V77" s="382">
        <v>2182</v>
      </c>
      <c r="W77" s="382">
        <v>101.57</v>
      </c>
      <c r="X77" s="382">
        <v>439</v>
      </c>
      <c r="Y77" s="382">
        <v>0</v>
      </c>
      <c r="Z77" s="382">
        <v>173</v>
      </c>
      <c r="AA77" s="382">
        <v>150</v>
      </c>
      <c r="AB77" s="382">
        <v>7</v>
      </c>
      <c r="AC77" s="382">
        <v>4</v>
      </c>
      <c r="AD77" s="386">
        <v>40545</v>
      </c>
      <c r="AE77" s="386">
        <v>328</v>
      </c>
      <c r="AF77" s="386">
        <v>453</v>
      </c>
      <c r="AG77" s="386">
        <v>781</v>
      </c>
    </row>
    <row r="78" spans="1:33" x14ac:dyDescent="0.25">
      <c r="A78" s="381" t="s">
        <v>216</v>
      </c>
      <c r="B78" s="387" t="s">
        <v>217</v>
      </c>
      <c r="C78" s="383">
        <v>22150</v>
      </c>
      <c r="D78" s="383">
        <v>1</v>
      </c>
      <c r="E78" s="383">
        <v>641</v>
      </c>
      <c r="F78" s="383">
        <v>1934</v>
      </c>
      <c r="G78" s="383">
        <v>623</v>
      </c>
      <c r="H78" s="383">
        <v>25349</v>
      </c>
      <c r="I78" s="382">
        <v>24726</v>
      </c>
      <c r="J78" s="382">
        <v>147</v>
      </c>
      <c r="K78" s="384">
        <v>86.63</v>
      </c>
      <c r="L78" s="384">
        <v>87.48</v>
      </c>
      <c r="M78" s="384">
        <v>5.01</v>
      </c>
      <c r="N78" s="384">
        <v>91.27</v>
      </c>
      <c r="O78" s="385">
        <v>20087</v>
      </c>
      <c r="P78" s="382">
        <v>88.95</v>
      </c>
      <c r="Q78" s="382">
        <v>85.14</v>
      </c>
      <c r="R78" s="382">
        <v>45.3</v>
      </c>
      <c r="S78" s="382">
        <v>133.72999999999999</v>
      </c>
      <c r="T78" s="382">
        <v>2330</v>
      </c>
      <c r="U78" s="382">
        <v>107.65</v>
      </c>
      <c r="V78" s="382">
        <v>1576</v>
      </c>
      <c r="W78" s="382">
        <v>0</v>
      </c>
      <c r="X78" s="382">
        <v>0</v>
      </c>
      <c r="Y78" s="382">
        <v>0</v>
      </c>
      <c r="Z78" s="382">
        <v>86</v>
      </c>
      <c r="AA78" s="382">
        <v>25</v>
      </c>
      <c r="AB78" s="382">
        <v>31</v>
      </c>
      <c r="AC78" s="382">
        <v>32</v>
      </c>
      <c r="AD78" s="386">
        <v>21881</v>
      </c>
      <c r="AE78" s="386">
        <v>150</v>
      </c>
      <c r="AF78" s="386">
        <v>64</v>
      </c>
      <c r="AG78" s="386">
        <v>214</v>
      </c>
    </row>
    <row r="79" spans="1:33" x14ac:dyDescent="0.25">
      <c r="A79" s="381" t="s">
        <v>218</v>
      </c>
      <c r="B79" s="387" t="s">
        <v>219</v>
      </c>
      <c r="C79" s="383">
        <v>2129</v>
      </c>
      <c r="D79" s="383">
        <v>22</v>
      </c>
      <c r="E79" s="383">
        <v>44</v>
      </c>
      <c r="F79" s="383">
        <v>217</v>
      </c>
      <c r="G79" s="383">
        <v>57</v>
      </c>
      <c r="H79" s="383">
        <v>2469</v>
      </c>
      <c r="I79" s="382">
        <v>2412</v>
      </c>
      <c r="J79" s="382">
        <v>6</v>
      </c>
      <c r="K79" s="384">
        <v>87.36</v>
      </c>
      <c r="L79" s="384">
        <v>84.1</v>
      </c>
      <c r="M79" s="384">
        <v>6.81</v>
      </c>
      <c r="N79" s="384">
        <v>91.33</v>
      </c>
      <c r="O79" s="385">
        <v>1661</v>
      </c>
      <c r="P79" s="382">
        <v>79.87</v>
      </c>
      <c r="Q79" s="382">
        <v>70.12</v>
      </c>
      <c r="R79" s="382">
        <v>42.59</v>
      </c>
      <c r="S79" s="382">
        <v>121</v>
      </c>
      <c r="T79" s="382">
        <v>206</v>
      </c>
      <c r="U79" s="382">
        <v>97.52</v>
      </c>
      <c r="V79" s="382">
        <v>443</v>
      </c>
      <c r="W79" s="382">
        <v>139.43</v>
      </c>
      <c r="X79" s="382">
        <v>45</v>
      </c>
      <c r="Y79" s="382">
        <v>0</v>
      </c>
      <c r="Z79" s="382">
        <v>0</v>
      </c>
      <c r="AA79" s="382">
        <v>0</v>
      </c>
      <c r="AB79" s="382">
        <v>0</v>
      </c>
      <c r="AC79" s="382">
        <v>5</v>
      </c>
      <c r="AD79" s="386">
        <v>2113</v>
      </c>
      <c r="AE79" s="386">
        <v>23</v>
      </c>
      <c r="AF79" s="386">
        <v>10</v>
      </c>
      <c r="AG79" s="386">
        <v>33</v>
      </c>
    </row>
    <row r="80" spans="1:33" x14ac:dyDescent="0.25">
      <c r="A80" s="381" t="s">
        <v>220</v>
      </c>
      <c r="B80" s="387" t="s">
        <v>221</v>
      </c>
      <c r="C80" s="383">
        <v>1886</v>
      </c>
      <c r="D80" s="383">
        <v>0</v>
      </c>
      <c r="E80" s="383">
        <v>285</v>
      </c>
      <c r="F80" s="383">
        <v>285</v>
      </c>
      <c r="G80" s="383">
        <v>370</v>
      </c>
      <c r="H80" s="383">
        <v>2826</v>
      </c>
      <c r="I80" s="382">
        <v>2456</v>
      </c>
      <c r="J80" s="382">
        <v>0</v>
      </c>
      <c r="K80" s="384">
        <v>109.4</v>
      </c>
      <c r="L80" s="384">
        <v>110.87</v>
      </c>
      <c r="M80" s="384">
        <v>8.15</v>
      </c>
      <c r="N80" s="384">
        <v>117.02</v>
      </c>
      <c r="O80" s="385">
        <v>1548</v>
      </c>
      <c r="P80" s="382">
        <v>122.89</v>
      </c>
      <c r="Q80" s="382">
        <v>105.28</v>
      </c>
      <c r="R80" s="382">
        <v>30.56</v>
      </c>
      <c r="S80" s="382">
        <v>146.5</v>
      </c>
      <c r="T80" s="382">
        <v>290</v>
      </c>
      <c r="U80" s="382">
        <v>154.63</v>
      </c>
      <c r="V80" s="382">
        <v>223</v>
      </c>
      <c r="W80" s="382">
        <v>186.76</v>
      </c>
      <c r="X80" s="382">
        <v>90</v>
      </c>
      <c r="Y80" s="382">
        <v>0</v>
      </c>
      <c r="Z80" s="382">
        <v>3</v>
      </c>
      <c r="AA80" s="382">
        <v>3</v>
      </c>
      <c r="AB80" s="382">
        <v>9</v>
      </c>
      <c r="AC80" s="382">
        <v>10</v>
      </c>
      <c r="AD80" s="386">
        <v>1857</v>
      </c>
      <c r="AE80" s="386">
        <v>25</v>
      </c>
      <c r="AF80" s="386">
        <v>2</v>
      </c>
      <c r="AG80" s="386">
        <v>27</v>
      </c>
    </row>
    <row r="81" spans="1:33" x14ac:dyDescent="0.25">
      <c r="A81" s="381" t="s">
        <v>222</v>
      </c>
      <c r="B81" s="387" t="s">
        <v>223</v>
      </c>
      <c r="C81" s="383">
        <v>10763</v>
      </c>
      <c r="D81" s="383">
        <v>44</v>
      </c>
      <c r="E81" s="383">
        <v>1039</v>
      </c>
      <c r="F81" s="383">
        <v>867</v>
      </c>
      <c r="G81" s="383">
        <v>1795</v>
      </c>
      <c r="H81" s="383">
        <v>14508</v>
      </c>
      <c r="I81" s="382">
        <v>12713</v>
      </c>
      <c r="J81" s="382">
        <v>8</v>
      </c>
      <c r="K81" s="384">
        <v>125.93</v>
      </c>
      <c r="L81" s="384">
        <v>125.27</v>
      </c>
      <c r="M81" s="384">
        <v>7.83</v>
      </c>
      <c r="N81" s="384">
        <v>131.28</v>
      </c>
      <c r="O81" s="385">
        <v>9066</v>
      </c>
      <c r="P81" s="382">
        <v>100.82</v>
      </c>
      <c r="Q81" s="382">
        <v>98.25</v>
      </c>
      <c r="R81" s="382">
        <v>54.52</v>
      </c>
      <c r="S81" s="382">
        <v>151.02000000000001</v>
      </c>
      <c r="T81" s="382">
        <v>1174</v>
      </c>
      <c r="U81" s="382">
        <v>182.16</v>
      </c>
      <c r="V81" s="382">
        <v>1309</v>
      </c>
      <c r="W81" s="382">
        <v>211.25</v>
      </c>
      <c r="X81" s="382">
        <v>21</v>
      </c>
      <c r="Y81" s="382">
        <v>791</v>
      </c>
      <c r="Z81" s="382">
        <v>9</v>
      </c>
      <c r="AA81" s="382">
        <v>57</v>
      </c>
      <c r="AB81" s="382">
        <v>175</v>
      </c>
      <c r="AC81" s="382">
        <v>72</v>
      </c>
      <c r="AD81" s="386">
        <v>10541</v>
      </c>
      <c r="AE81" s="386">
        <v>46</v>
      </c>
      <c r="AF81" s="386">
        <v>70</v>
      </c>
      <c r="AG81" s="386">
        <v>116</v>
      </c>
    </row>
    <row r="82" spans="1:33" x14ac:dyDescent="0.25">
      <c r="A82" s="381" t="s">
        <v>224</v>
      </c>
      <c r="B82" s="387" t="s">
        <v>225</v>
      </c>
      <c r="C82" s="383">
        <v>2516</v>
      </c>
      <c r="D82" s="383">
        <v>0</v>
      </c>
      <c r="E82" s="383">
        <v>260</v>
      </c>
      <c r="F82" s="383">
        <v>272</v>
      </c>
      <c r="G82" s="383">
        <v>344</v>
      </c>
      <c r="H82" s="383">
        <v>3392</v>
      </c>
      <c r="I82" s="382">
        <v>3048</v>
      </c>
      <c r="J82" s="382">
        <v>7</v>
      </c>
      <c r="K82" s="384">
        <v>119.33</v>
      </c>
      <c r="L82" s="384">
        <v>120.79</v>
      </c>
      <c r="M82" s="384">
        <v>6.24</v>
      </c>
      <c r="N82" s="384">
        <v>124.71</v>
      </c>
      <c r="O82" s="385">
        <v>1974</v>
      </c>
      <c r="P82" s="382">
        <v>107.82</v>
      </c>
      <c r="Q82" s="382">
        <v>100.14</v>
      </c>
      <c r="R82" s="382">
        <v>30.12</v>
      </c>
      <c r="S82" s="382">
        <v>137.79</v>
      </c>
      <c r="T82" s="382">
        <v>414</v>
      </c>
      <c r="U82" s="382">
        <v>156.69999999999999</v>
      </c>
      <c r="V82" s="382">
        <v>394</v>
      </c>
      <c r="W82" s="382">
        <v>0</v>
      </c>
      <c r="X82" s="382">
        <v>0</v>
      </c>
      <c r="Y82" s="382">
        <v>0</v>
      </c>
      <c r="Z82" s="382">
        <v>0</v>
      </c>
      <c r="AA82" s="382">
        <v>7</v>
      </c>
      <c r="AB82" s="382">
        <v>7</v>
      </c>
      <c r="AC82" s="382">
        <v>13</v>
      </c>
      <c r="AD82" s="386">
        <v>2483</v>
      </c>
      <c r="AE82" s="386">
        <v>17</v>
      </c>
      <c r="AF82" s="386">
        <v>6</v>
      </c>
      <c r="AG82" s="386">
        <v>23</v>
      </c>
    </row>
    <row r="83" spans="1:33" x14ac:dyDescent="0.25">
      <c r="A83" s="381" t="s">
        <v>226</v>
      </c>
      <c r="B83" s="387" t="s">
        <v>227</v>
      </c>
      <c r="C83" s="383">
        <v>1730</v>
      </c>
      <c r="D83" s="383">
        <v>44</v>
      </c>
      <c r="E83" s="383">
        <v>286</v>
      </c>
      <c r="F83" s="383">
        <v>563</v>
      </c>
      <c r="G83" s="383">
        <v>123</v>
      </c>
      <c r="H83" s="383">
        <v>2746</v>
      </c>
      <c r="I83" s="382">
        <v>2623</v>
      </c>
      <c r="J83" s="382">
        <v>0</v>
      </c>
      <c r="K83" s="384">
        <v>82.32</v>
      </c>
      <c r="L83" s="384">
        <v>80.27</v>
      </c>
      <c r="M83" s="384">
        <v>6.47</v>
      </c>
      <c r="N83" s="384">
        <v>86.19</v>
      </c>
      <c r="O83" s="385">
        <v>1127</v>
      </c>
      <c r="P83" s="382">
        <v>84.44</v>
      </c>
      <c r="Q83" s="382">
        <v>75.900000000000006</v>
      </c>
      <c r="R83" s="382">
        <v>35.39</v>
      </c>
      <c r="S83" s="382">
        <v>119.03</v>
      </c>
      <c r="T83" s="382">
        <v>616</v>
      </c>
      <c r="U83" s="382">
        <v>95.22</v>
      </c>
      <c r="V83" s="382">
        <v>306</v>
      </c>
      <c r="W83" s="382">
        <v>92.31</v>
      </c>
      <c r="X83" s="382">
        <v>10</v>
      </c>
      <c r="Y83" s="382">
        <v>0</v>
      </c>
      <c r="Z83" s="382">
        <v>0</v>
      </c>
      <c r="AA83" s="382">
        <v>3</v>
      </c>
      <c r="AB83" s="382">
        <v>10</v>
      </c>
      <c r="AC83" s="382">
        <v>4</v>
      </c>
      <c r="AD83" s="386">
        <v>1511</v>
      </c>
      <c r="AE83" s="386">
        <v>28</v>
      </c>
      <c r="AF83" s="386">
        <v>6</v>
      </c>
      <c r="AG83" s="386">
        <v>34</v>
      </c>
    </row>
    <row r="84" spans="1:33" x14ac:dyDescent="0.25">
      <c r="A84" s="381" t="s">
        <v>228</v>
      </c>
      <c r="B84" s="387" t="s">
        <v>229</v>
      </c>
      <c r="C84" s="383">
        <v>1471</v>
      </c>
      <c r="D84" s="383">
        <v>11</v>
      </c>
      <c r="E84" s="383">
        <v>154</v>
      </c>
      <c r="F84" s="383">
        <v>67</v>
      </c>
      <c r="G84" s="383">
        <v>581</v>
      </c>
      <c r="H84" s="383">
        <v>2284</v>
      </c>
      <c r="I84" s="382">
        <v>1703</v>
      </c>
      <c r="J84" s="382">
        <v>0</v>
      </c>
      <c r="K84" s="384">
        <v>111.02</v>
      </c>
      <c r="L84" s="384">
        <v>110.21</v>
      </c>
      <c r="M84" s="384">
        <v>6.4</v>
      </c>
      <c r="N84" s="384">
        <v>116.58</v>
      </c>
      <c r="O84" s="385">
        <v>856</v>
      </c>
      <c r="P84" s="382">
        <v>91.36</v>
      </c>
      <c r="Q84" s="382">
        <v>89.95</v>
      </c>
      <c r="R84" s="382">
        <v>30.17</v>
      </c>
      <c r="S84" s="382">
        <v>117.22</v>
      </c>
      <c r="T84" s="382">
        <v>105</v>
      </c>
      <c r="U84" s="382">
        <v>150.85</v>
      </c>
      <c r="V84" s="382">
        <v>161</v>
      </c>
      <c r="W84" s="382">
        <v>0</v>
      </c>
      <c r="X84" s="382">
        <v>0</v>
      </c>
      <c r="Y84" s="382">
        <v>0</v>
      </c>
      <c r="Z84" s="382">
        <v>11</v>
      </c>
      <c r="AA84" s="382">
        <v>4</v>
      </c>
      <c r="AB84" s="382">
        <v>38</v>
      </c>
      <c r="AC84" s="382">
        <v>29</v>
      </c>
      <c r="AD84" s="386">
        <v>1080</v>
      </c>
      <c r="AE84" s="386">
        <v>5</v>
      </c>
      <c r="AF84" s="386">
        <v>5</v>
      </c>
      <c r="AG84" s="386">
        <v>10</v>
      </c>
    </row>
    <row r="85" spans="1:33" x14ac:dyDescent="0.25">
      <c r="A85" s="381" t="s">
        <v>230</v>
      </c>
      <c r="B85" s="387" t="s">
        <v>231</v>
      </c>
      <c r="C85" s="383">
        <v>5780</v>
      </c>
      <c r="D85" s="383">
        <v>0</v>
      </c>
      <c r="E85" s="383">
        <v>571</v>
      </c>
      <c r="F85" s="383">
        <v>1351</v>
      </c>
      <c r="G85" s="383">
        <v>535</v>
      </c>
      <c r="H85" s="383">
        <v>8237</v>
      </c>
      <c r="I85" s="382">
        <v>7702</v>
      </c>
      <c r="J85" s="382">
        <v>1</v>
      </c>
      <c r="K85" s="384">
        <v>89.95</v>
      </c>
      <c r="L85" s="384">
        <v>91.99</v>
      </c>
      <c r="M85" s="384">
        <v>5.85</v>
      </c>
      <c r="N85" s="384">
        <v>94.05</v>
      </c>
      <c r="O85" s="385">
        <v>5481</v>
      </c>
      <c r="P85" s="382">
        <v>80.88</v>
      </c>
      <c r="Q85" s="382">
        <v>81.47</v>
      </c>
      <c r="R85" s="382">
        <v>43.78</v>
      </c>
      <c r="S85" s="382">
        <v>122.14</v>
      </c>
      <c r="T85" s="382">
        <v>1438</v>
      </c>
      <c r="U85" s="382">
        <v>103.24</v>
      </c>
      <c r="V85" s="382">
        <v>170</v>
      </c>
      <c r="W85" s="382">
        <v>156.19</v>
      </c>
      <c r="X85" s="382">
        <v>95</v>
      </c>
      <c r="Y85" s="382">
        <v>0</v>
      </c>
      <c r="Z85" s="382">
        <v>4</v>
      </c>
      <c r="AA85" s="382">
        <v>14</v>
      </c>
      <c r="AB85" s="382">
        <v>3</v>
      </c>
      <c r="AC85" s="382">
        <v>10</v>
      </c>
      <c r="AD85" s="386">
        <v>5683</v>
      </c>
      <c r="AE85" s="386">
        <v>58</v>
      </c>
      <c r="AF85" s="386">
        <v>10</v>
      </c>
      <c r="AG85" s="386">
        <v>68</v>
      </c>
    </row>
    <row r="86" spans="1:33" x14ac:dyDescent="0.25">
      <c r="A86" s="381" t="s">
        <v>232</v>
      </c>
      <c r="B86" s="387" t="s">
        <v>233</v>
      </c>
      <c r="C86" s="383">
        <v>3662</v>
      </c>
      <c r="D86" s="383">
        <v>0</v>
      </c>
      <c r="E86" s="383">
        <v>65</v>
      </c>
      <c r="F86" s="383">
        <v>294</v>
      </c>
      <c r="G86" s="383">
        <v>159</v>
      </c>
      <c r="H86" s="383">
        <v>4180</v>
      </c>
      <c r="I86" s="382">
        <v>4021</v>
      </c>
      <c r="J86" s="382">
        <v>0</v>
      </c>
      <c r="K86" s="384">
        <v>93.89</v>
      </c>
      <c r="L86" s="384">
        <v>95.28</v>
      </c>
      <c r="M86" s="384">
        <v>2.4700000000000002</v>
      </c>
      <c r="N86" s="384">
        <v>96.05</v>
      </c>
      <c r="O86" s="385">
        <v>3400</v>
      </c>
      <c r="P86" s="382">
        <v>84.58</v>
      </c>
      <c r="Q86" s="382">
        <v>83.16</v>
      </c>
      <c r="R86" s="382">
        <v>36.21</v>
      </c>
      <c r="S86" s="382">
        <v>119.94</v>
      </c>
      <c r="T86" s="382">
        <v>340</v>
      </c>
      <c r="U86" s="382">
        <v>115.34</v>
      </c>
      <c r="V86" s="382">
        <v>151</v>
      </c>
      <c r="W86" s="382">
        <v>0</v>
      </c>
      <c r="X86" s="382">
        <v>0</v>
      </c>
      <c r="Y86" s="382">
        <v>2</v>
      </c>
      <c r="Z86" s="382">
        <v>6</v>
      </c>
      <c r="AA86" s="382">
        <v>3</v>
      </c>
      <c r="AB86" s="382">
        <v>8</v>
      </c>
      <c r="AC86" s="382">
        <v>5</v>
      </c>
      <c r="AD86" s="386">
        <v>3551</v>
      </c>
      <c r="AE86" s="386">
        <v>26</v>
      </c>
      <c r="AF86" s="386">
        <v>36</v>
      </c>
      <c r="AG86" s="386">
        <v>62</v>
      </c>
    </row>
    <row r="87" spans="1:33" x14ac:dyDescent="0.25">
      <c r="A87" s="381" t="s">
        <v>234</v>
      </c>
      <c r="B87" s="387" t="s">
        <v>235</v>
      </c>
      <c r="C87" s="383">
        <v>2129</v>
      </c>
      <c r="D87" s="383">
        <v>0</v>
      </c>
      <c r="E87" s="383">
        <v>561</v>
      </c>
      <c r="F87" s="383">
        <v>1026</v>
      </c>
      <c r="G87" s="383">
        <v>220</v>
      </c>
      <c r="H87" s="383">
        <v>3936</v>
      </c>
      <c r="I87" s="382">
        <v>3716</v>
      </c>
      <c r="J87" s="382">
        <v>0</v>
      </c>
      <c r="K87" s="384">
        <v>84.55</v>
      </c>
      <c r="L87" s="384">
        <v>82.78</v>
      </c>
      <c r="M87" s="384">
        <v>5.16</v>
      </c>
      <c r="N87" s="384">
        <v>87.47</v>
      </c>
      <c r="O87" s="385">
        <v>1726</v>
      </c>
      <c r="P87" s="382">
        <v>94.32</v>
      </c>
      <c r="Q87" s="382">
        <v>79.03</v>
      </c>
      <c r="R87" s="382">
        <v>24.47</v>
      </c>
      <c r="S87" s="382">
        <v>117.88</v>
      </c>
      <c r="T87" s="382">
        <v>1370</v>
      </c>
      <c r="U87" s="382">
        <v>93.37</v>
      </c>
      <c r="V87" s="382">
        <v>265</v>
      </c>
      <c r="W87" s="382">
        <v>145.53</v>
      </c>
      <c r="X87" s="382">
        <v>77</v>
      </c>
      <c r="Y87" s="382">
        <v>0</v>
      </c>
      <c r="Z87" s="382">
        <v>0</v>
      </c>
      <c r="AA87" s="382">
        <v>5</v>
      </c>
      <c r="AB87" s="382">
        <v>11</v>
      </c>
      <c r="AC87" s="382">
        <v>12</v>
      </c>
      <c r="AD87" s="386">
        <v>2071</v>
      </c>
      <c r="AE87" s="386">
        <v>12</v>
      </c>
      <c r="AF87" s="386">
        <v>9</v>
      </c>
      <c r="AG87" s="386">
        <v>21</v>
      </c>
    </row>
    <row r="88" spans="1:33" x14ac:dyDescent="0.25">
      <c r="A88" s="381" t="s">
        <v>236</v>
      </c>
      <c r="B88" s="387" t="s">
        <v>237</v>
      </c>
      <c r="C88" s="383">
        <v>15659</v>
      </c>
      <c r="D88" s="383">
        <v>51</v>
      </c>
      <c r="E88" s="383">
        <v>563</v>
      </c>
      <c r="F88" s="383">
        <v>4374</v>
      </c>
      <c r="G88" s="383">
        <v>921</v>
      </c>
      <c r="H88" s="383">
        <v>21568</v>
      </c>
      <c r="I88" s="382">
        <v>20647</v>
      </c>
      <c r="J88" s="382">
        <v>30</v>
      </c>
      <c r="K88" s="384">
        <v>101.71</v>
      </c>
      <c r="L88" s="384">
        <v>102</v>
      </c>
      <c r="M88" s="384">
        <v>4.09</v>
      </c>
      <c r="N88" s="384">
        <v>103.84</v>
      </c>
      <c r="O88" s="385">
        <v>14594</v>
      </c>
      <c r="P88" s="382">
        <v>89.03</v>
      </c>
      <c r="Q88" s="382">
        <v>88.4</v>
      </c>
      <c r="R88" s="382">
        <v>20.37</v>
      </c>
      <c r="S88" s="382">
        <v>108.38</v>
      </c>
      <c r="T88" s="382">
        <v>4472</v>
      </c>
      <c r="U88" s="382">
        <v>136.4</v>
      </c>
      <c r="V88" s="382">
        <v>1028</v>
      </c>
      <c r="W88" s="382">
        <v>149.99</v>
      </c>
      <c r="X88" s="382">
        <v>32</v>
      </c>
      <c r="Y88" s="382">
        <v>469</v>
      </c>
      <c r="Z88" s="382">
        <v>14</v>
      </c>
      <c r="AA88" s="382">
        <v>18</v>
      </c>
      <c r="AB88" s="382">
        <v>85</v>
      </c>
      <c r="AC88" s="382">
        <v>15</v>
      </c>
      <c r="AD88" s="386">
        <v>15635</v>
      </c>
      <c r="AE88" s="386">
        <v>89</v>
      </c>
      <c r="AF88" s="386">
        <v>18</v>
      </c>
      <c r="AG88" s="386">
        <v>107</v>
      </c>
    </row>
    <row r="89" spans="1:33" x14ac:dyDescent="0.25">
      <c r="A89" s="381" t="s">
        <v>238</v>
      </c>
      <c r="B89" s="387" t="s">
        <v>239</v>
      </c>
      <c r="C89" s="383">
        <v>1954</v>
      </c>
      <c r="D89" s="383">
        <v>0</v>
      </c>
      <c r="E89" s="383">
        <v>122</v>
      </c>
      <c r="F89" s="383">
        <v>508</v>
      </c>
      <c r="G89" s="383">
        <v>172</v>
      </c>
      <c r="H89" s="383">
        <v>2756</v>
      </c>
      <c r="I89" s="382">
        <v>2584</v>
      </c>
      <c r="J89" s="382">
        <v>11</v>
      </c>
      <c r="K89" s="384">
        <v>92.69</v>
      </c>
      <c r="L89" s="384">
        <v>94.17</v>
      </c>
      <c r="M89" s="384">
        <v>5.54</v>
      </c>
      <c r="N89" s="384">
        <v>96.94</v>
      </c>
      <c r="O89" s="385">
        <v>1706</v>
      </c>
      <c r="P89" s="382">
        <v>91.51</v>
      </c>
      <c r="Q89" s="382">
        <v>90.28</v>
      </c>
      <c r="R89" s="382">
        <v>33.369999999999997</v>
      </c>
      <c r="S89" s="382">
        <v>123.89</v>
      </c>
      <c r="T89" s="382">
        <v>609</v>
      </c>
      <c r="U89" s="382">
        <v>116.47</v>
      </c>
      <c r="V89" s="382">
        <v>154</v>
      </c>
      <c r="W89" s="382">
        <v>0</v>
      </c>
      <c r="X89" s="382">
        <v>0</v>
      </c>
      <c r="Y89" s="382">
        <v>0</v>
      </c>
      <c r="Z89" s="382">
        <v>6</v>
      </c>
      <c r="AA89" s="382">
        <v>14</v>
      </c>
      <c r="AB89" s="382">
        <v>8</v>
      </c>
      <c r="AC89" s="382">
        <v>11</v>
      </c>
      <c r="AD89" s="386">
        <v>1902</v>
      </c>
      <c r="AE89" s="386">
        <v>20</v>
      </c>
      <c r="AF89" s="386">
        <v>6</v>
      </c>
      <c r="AG89" s="386">
        <v>26</v>
      </c>
    </row>
    <row r="90" spans="1:33" x14ac:dyDescent="0.25">
      <c r="A90" s="381" t="s">
        <v>240</v>
      </c>
      <c r="B90" s="387" t="s">
        <v>241</v>
      </c>
      <c r="C90" s="383">
        <v>3453</v>
      </c>
      <c r="D90" s="383">
        <v>0</v>
      </c>
      <c r="E90" s="383">
        <v>418</v>
      </c>
      <c r="F90" s="383">
        <v>889</v>
      </c>
      <c r="G90" s="383">
        <v>727</v>
      </c>
      <c r="H90" s="383">
        <v>5487</v>
      </c>
      <c r="I90" s="382">
        <v>4760</v>
      </c>
      <c r="J90" s="382">
        <v>41</v>
      </c>
      <c r="K90" s="384">
        <v>95.98</v>
      </c>
      <c r="L90" s="384">
        <v>95.53</v>
      </c>
      <c r="M90" s="384">
        <v>6.21</v>
      </c>
      <c r="N90" s="384">
        <v>101.04</v>
      </c>
      <c r="O90" s="385">
        <v>3193</v>
      </c>
      <c r="P90" s="382">
        <v>97.65</v>
      </c>
      <c r="Q90" s="382">
        <v>95.48</v>
      </c>
      <c r="R90" s="382">
        <v>38.61</v>
      </c>
      <c r="S90" s="382">
        <v>133.43</v>
      </c>
      <c r="T90" s="382">
        <v>1048</v>
      </c>
      <c r="U90" s="382">
        <v>111.66</v>
      </c>
      <c r="V90" s="382">
        <v>172</v>
      </c>
      <c r="W90" s="382">
        <v>0</v>
      </c>
      <c r="X90" s="382">
        <v>0</v>
      </c>
      <c r="Y90" s="382">
        <v>0</v>
      </c>
      <c r="Z90" s="382">
        <v>5</v>
      </c>
      <c r="AA90" s="382">
        <v>2</v>
      </c>
      <c r="AB90" s="382">
        <v>11</v>
      </c>
      <c r="AC90" s="382">
        <v>20</v>
      </c>
      <c r="AD90" s="386">
        <v>3453</v>
      </c>
      <c r="AE90" s="386">
        <v>12</v>
      </c>
      <c r="AF90" s="386">
        <v>6</v>
      </c>
      <c r="AG90" s="386">
        <v>18</v>
      </c>
    </row>
    <row r="91" spans="1:33" x14ac:dyDescent="0.25">
      <c r="A91" s="381" t="s">
        <v>242</v>
      </c>
      <c r="B91" s="387" t="s">
        <v>243</v>
      </c>
      <c r="C91" s="383">
        <v>9311</v>
      </c>
      <c r="D91" s="383">
        <v>20</v>
      </c>
      <c r="E91" s="383">
        <v>1202</v>
      </c>
      <c r="F91" s="383">
        <v>790</v>
      </c>
      <c r="G91" s="383">
        <v>2115</v>
      </c>
      <c r="H91" s="383">
        <v>13438</v>
      </c>
      <c r="I91" s="382">
        <v>11323</v>
      </c>
      <c r="J91" s="382">
        <v>97</v>
      </c>
      <c r="K91" s="384">
        <v>132.57</v>
      </c>
      <c r="L91" s="384">
        <v>130.80000000000001</v>
      </c>
      <c r="M91" s="384">
        <v>10.029999999999999</v>
      </c>
      <c r="N91" s="384">
        <v>139.62</v>
      </c>
      <c r="O91" s="385">
        <v>8204</v>
      </c>
      <c r="P91" s="382">
        <v>117.72</v>
      </c>
      <c r="Q91" s="382">
        <v>115.99</v>
      </c>
      <c r="R91" s="382">
        <v>41.8</v>
      </c>
      <c r="S91" s="382">
        <v>155.09</v>
      </c>
      <c r="T91" s="382">
        <v>1122</v>
      </c>
      <c r="U91" s="382">
        <v>194.93</v>
      </c>
      <c r="V91" s="382">
        <v>626</v>
      </c>
      <c r="W91" s="382">
        <v>198.91</v>
      </c>
      <c r="X91" s="382">
        <v>29</v>
      </c>
      <c r="Y91" s="382">
        <v>25</v>
      </c>
      <c r="Z91" s="382">
        <v>6</v>
      </c>
      <c r="AA91" s="382">
        <v>29</v>
      </c>
      <c r="AB91" s="382">
        <v>59</v>
      </c>
      <c r="AC91" s="382">
        <v>82</v>
      </c>
      <c r="AD91" s="386">
        <v>9006</v>
      </c>
      <c r="AE91" s="386">
        <v>15</v>
      </c>
      <c r="AF91" s="386">
        <v>35</v>
      </c>
      <c r="AG91" s="386">
        <v>50</v>
      </c>
    </row>
    <row r="92" spans="1:33" x14ac:dyDescent="0.25">
      <c r="A92" s="381" t="s">
        <v>244</v>
      </c>
      <c r="B92" s="387" t="s">
        <v>245</v>
      </c>
      <c r="C92" s="383">
        <v>4028</v>
      </c>
      <c r="D92" s="383">
        <v>6</v>
      </c>
      <c r="E92" s="383">
        <v>111</v>
      </c>
      <c r="F92" s="383">
        <v>1054</v>
      </c>
      <c r="G92" s="383">
        <v>500</v>
      </c>
      <c r="H92" s="383">
        <v>5699</v>
      </c>
      <c r="I92" s="382">
        <v>5199</v>
      </c>
      <c r="J92" s="382">
        <v>0</v>
      </c>
      <c r="K92" s="384">
        <v>104.44</v>
      </c>
      <c r="L92" s="384">
        <v>104.96</v>
      </c>
      <c r="M92" s="384">
        <v>4.4800000000000004</v>
      </c>
      <c r="N92" s="384">
        <v>105.13</v>
      </c>
      <c r="O92" s="385">
        <v>3672</v>
      </c>
      <c r="P92" s="382">
        <v>95.13</v>
      </c>
      <c r="Q92" s="382">
        <v>95.73</v>
      </c>
      <c r="R92" s="382">
        <v>16.71</v>
      </c>
      <c r="S92" s="382">
        <v>111.32</v>
      </c>
      <c r="T92" s="382">
        <v>1128</v>
      </c>
      <c r="U92" s="382">
        <v>123.34</v>
      </c>
      <c r="V92" s="382">
        <v>312</v>
      </c>
      <c r="W92" s="382">
        <v>0</v>
      </c>
      <c r="X92" s="382">
        <v>0</v>
      </c>
      <c r="Y92" s="382">
        <v>0</v>
      </c>
      <c r="Z92" s="382">
        <v>6</v>
      </c>
      <c r="AA92" s="382">
        <v>0</v>
      </c>
      <c r="AB92" s="382">
        <v>0</v>
      </c>
      <c r="AC92" s="382">
        <v>21</v>
      </c>
      <c r="AD92" s="386">
        <v>4020</v>
      </c>
      <c r="AE92" s="386">
        <v>1</v>
      </c>
      <c r="AF92" s="386">
        <v>7</v>
      </c>
      <c r="AG92" s="386">
        <v>8</v>
      </c>
    </row>
    <row r="93" spans="1:33" x14ac:dyDescent="0.25">
      <c r="A93" s="381" t="s">
        <v>246</v>
      </c>
      <c r="B93" s="387" t="s">
        <v>247</v>
      </c>
      <c r="C93" s="383">
        <v>1926</v>
      </c>
      <c r="D93" s="383">
        <v>0</v>
      </c>
      <c r="E93" s="383">
        <v>189</v>
      </c>
      <c r="F93" s="383">
        <v>170</v>
      </c>
      <c r="G93" s="383">
        <v>424</v>
      </c>
      <c r="H93" s="383">
        <v>2709</v>
      </c>
      <c r="I93" s="382">
        <v>2285</v>
      </c>
      <c r="J93" s="382">
        <v>3</v>
      </c>
      <c r="K93" s="384">
        <v>96.13</v>
      </c>
      <c r="L93" s="384">
        <v>93.56</v>
      </c>
      <c r="M93" s="384">
        <v>3.99</v>
      </c>
      <c r="N93" s="384">
        <v>99.12</v>
      </c>
      <c r="O93" s="385">
        <v>1410</v>
      </c>
      <c r="P93" s="382">
        <v>98.04</v>
      </c>
      <c r="Q93" s="382">
        <v>80.77</v>
      </c>
      <c r="R93" s="382">
        <v>58.34</v>
      </c>
      <c r="S93" s="382">
        <v>149.65</v>
      </c>
      <c r="T93" s="382">
        <v>234</v>
      </c>
      <c r="U93" s="382">
        <v>127.52</v>
      </c>
      <c r="V93" s="382">
        <v>416</v>
      </c>
      <c r="W93" s="382">
        <v>0</v>
      </c>
      <c r="X93" s="382">
        <v>0</v>
      </c>
      <c r="Y93" s="382">
        <v>125</v>
      </c>
      <c r="Z93" s="382">
        <v>0</v>
      </c>
      <c r="AA93" s="382">
        <v>1</v>
      </c>
      <c r="AB93" s="382">
        <v>53</v>
      </c>
      <c r="AC93" s="382">
        <v>5</v>
      </c>
      <c r="AD93" s="386">
        <v>1869</v>
      </c>
      <c r="AE93" s="386">
        <v>3</v>
      </c>
      <c r="AF93" s="386">
        <v>3</v>
      </c>
      <c r="AG93" s="386">
        <v>6</v>
      </c>
    </row>
    <row r="94" spans="1:33" x14ac:dyDescent="0.25">
      <c r="A94" s="381" t="s">
        <v>248</v>
      </c>
      <c r="B94" s="387" t="s">
        <v>249</v>
      </c>
      <c r="C94" s="383">
        <v>5212</v>
      </c>
      <c r="D94" s="383">
        <v>10</v>
      </c>
      <c r="E94" s="383">
        <v>94</v>
      </c>
      <c r="F94" s="383">
        <v>806</v>
      </c>
      <c r="G94" s="383">
        <v>404</v>
      </c>
      <c r="H94" s="383">
        <v>6526</v>
      </c>
      <c r="I94" s="382">
        <v>6122</v>
      </c>
      <c r="J94" s="382">
        <v>0</v>
      </c>
      <c r="K94" s="384">
        <v>118.05</v>
      </c>
      <c r="L94" s="384">
        <v>116.06</v>
      </c>
      <c r="M94" s="384">
        <v>1.55</v>
      </c>
      <c r="N94" s="384">
        <v>119.41</v>
      </c>
      <c r="O94" s="385">
        <v>4245</v>
      </c>
      <c r="P94" s="382">
        <v>95.39</v>
      </c>
      <c r="Q94" s="382">
        <v>94.26</v>
      </c>
      <c r="R94" s="382">
        <v>13.54</v>
      </c>
      <c r="S94" s="382">
        <v>108.77</v>
      </c>
      <c r="T94" s="382">
        <v>871</v>
      </c>
      <c r="U94" s="382">
        <v>145.51</v>
      </c>
      <c r="V94" s="382">
        <v>588</v>
      </c>
      <c r="W94" s="382">
        <v>0</v>
      </c>
      <c r="X94" s="382">
        <v>0</v>
      </c>
      <c r="Y94" s="382">
        <v>0</v>
      </c>
      <c r="Z94" s="382">
        <v>6</v>
      </c>
      <c r="AA94" s="382">
        <v>0</v>
      </c>
      <c r="AB94" s="382">
        <v>20</v>
      </c>
      <c r="AC94" s="382">
        <v>7</v>
      </c>
      <c r="AD94" s="386">
        <v>4948</v>
      </c>
      <c r="AE94" s="386">
        <v>18</v>
      </c>
      <c r="AF94" s="386">
        <v>17</v>
      </c>
      <c r="AG94" s="386">
        <v>35</v>
      </c>
    </row>
    <row r="95" spans="1:33" x14ac:dyDescent="0.25">
      <c r="A95" s="381" t="s">
        <v>250</v>
      </c>
      <c r="B95" s="387" t="s">
        <v>251</v>
      </c>
      <c r="C95" s="383">
        <v>6633</v>
      </c>
      <c r="D95" s="383">
        <v>0</v>
      </c>
      <c r="E95" s="383">
        <v>189</v>
      </c>
      <c r="F95" s="383">
        <v>1061</v>
      </c>
      <c r="G95" s="383">
        <v>617</v>
      </c>
      <c r="H95" s="383">
        <v>8500</v>
      </c>
      <c r="I95" s="382">
        <v>7883</v>
      </c>
      <c r="J95" s="382">
        <v>13</v>
      </c>
      <c r="K95" s="384">
        <v>118.33</v>
      </c>
      <c r="L95" s="384">
        <v>120.33</v>
      </c>
      <c r="M95" s="384">
        <v>5.44</v>
      </c>
      <c r="N95" s="384">
        <v>120.22</v>
      </c>
      <c r="O95" s="385">
        <v>5374</v>
      </c>
      <c r="P95" s="382">
        <v>103.11</v>
      </c>
      <c r="Q95" s="382">
        <v>98.14</v>
      </c>
      <c r="R95" s="382">
        <v>22.9</v>
      </c>
      <c r="S95" s="382">
        <v>125.22</v>
      </c>
      <c r="T95" s="382">
        <v>758</v>
      </c>
      <c r="U95" s="382">
        <v>155.69999999999999</v>
      </c>
      <c r="V95" s="382">
        <v>1149</v>
      </c>
      <c r="W95" s="382">
        <v>0</v>
      </c>
      <c r="X95" s="382">
        <v>0</v>
      </c>
      <c r="Y95" s="382">
        <v>0</v>
      </c>
      <c r="Z95" s="382">
        <v>12</v>
      </c>
      <c r="AA95" s="382">
        <v>1</v>
      </c>
      <c r="AB95" s="382">
        <v>35</v>
      </c>
      <c r="AC95" s="382">
        <v>21</v>
      </c>
      <c r="AD95" s="386">
        <v>6633</v>
      </c>
      <c r="AE95" s="386">
        <v>29</v>
      </c>
      <c r="AF95" s="386">
        <v>70</v>
      </c>
      <c r="AG95" s="386">
        <v>99</v>
      </c>
    </row>
    <row r="96" spans="1:33" x14ac:dyDescent="0.25">
      <c r="A96" s="381" t="s">
        <v>252</v>
      </c>
      <c r="B96" s="387" t="s">
        <v>253</v>
      </c>
      <c r="C96" s="383">
        <v>6183</v>
      </c>
      <c r="D96" s="383">
        <v>0</v>
      </c>
      <c r="E96" s="383">
        <v>215</v>
      </c>
      <c r="F96" s="383">
        <v>899</v>
      </c>
      <c r="G96" s="383">
        <v>447</v>
      </c>
      <c r="H96" s="383">
        <v>7744</v>
      </c>
      <c r="I96" s="382">
        <v>7297</v>
      </c>
      <c r="J96" s="382">
        <v>0</v>
      </c>
      <c r="K96" s="384">
        <v>85.26</v>
      </c>
      <c r="L96" s="384">
        <v>85.39</v>
      </c>
      <c r="M96" s="384">
        <v>1.8</v>
      </c>
      <c r="N96" s="384">
        <v>86.72</v>
      </c>
      <c r="O96" s="385">
        <v>5160</v>
      </c>
      <c r="P96" s="382">
        <v>80.63</v>
      </c>
      <c r="Q96" s="382">
        <v>78.58</v>
      </c>
      <c r="R96" s="382">
        <v>23.35</v>
      </c>
      <c r="S96" s="382">
        <v>103.11</v>
      </c>
      <c r="T96" s="382">
        <v>1068</v>
      </c>
      <c r="U96" s="382">
        <v>93.09</v>
      </c>
      <c r="V96" s="382">
        <v>830</v>
      </c>
      <c r="W96" s="382">
        <v>144.91</v>
      </c>
      <c r="X96" s="382">
        <v>40</v>
      </c>
      <c r="Y96" s="382">
        <v>0</v>
      </c>
      <c r="Z96" s="382">
        <v>4</v>
      </c>
      <c r="AA96" s="382">
        <v>7</v>
      </c>
      <c r="AB96" s="382">
        <v>34</v>
      </c>
      <c r="AC96" s="382">
        <v>2</v>
      </c>
      <c r="AD96" s="386">
        <v>6056</v>
      </c>
      <c r="AE96" s="386">
        <v>33</v>
      </c>
      <c r="AF96" s="386">
        <v>18</v>
      </c>
      <c r="AG96" s="386">
        <v>51</v>
      </c>
    </row>
    <row r="97" spans="1:33" x14ac:dyDescent="0.25">
      <c r="A97" s="381" t="s">
        <v>254</v>
      </c>
      <c r="B97" s="387" t="s">
        <v>255</v>
      </c>
      <c r="C97" s="383">
        <v>1743</v>
      </c>
      <c r="D97" s="383">
        <v>0</v>
      </c>
      <c r="E97" s="383">
        <v>184</v>
      </c>
      <c r="F97" s="383">
        <v>633</v>
      </c>
      <c r="G97" s="383">
        <v>162</v>
      </c>
      <c r="H97" s="383">
        <v>2722</v>
      </c>
      <c r="I97" s="382">
        <v>2560</v>
      </c>
      <c r="J97" s="382">
        <v>7</v>
      </c>
      <c r="K97" s="384">
        <v>92.53</v>
      </c>
      <c r="L97" s="384">
        <v>91.04</v>
      </c>
      <c r="M97" s="384">
        <v>4.8099999999999996</v>
      </c>
      <c r="N97" s="384">
        <v>95.3</v>
      </c>
      <c r="O97" s="385">
        <v>1410</v>
      </c>
      <c r="P97" s="382">
        <v>85.96</v>
      </c>
      <c r="Q97" s="382">
        <v>80.099999999999994</v>
      </c>
      <c r="R97" s="382">
        <v>33.42</v>
      </c>
      <c r="S97" s="382">
        <v>119.18</v>
      </c>
      <c r="T97" s="382">
        <v>694</v>
      </c>
      <c r="U97" s="382">
        <v>101.23</v>
      </c>
      <c r="V97" s="382">
        <v>176</v>
      </c>
      <c r="W97" s="382">
        <v>127.86</v>
      </c>
      <c r="X97" s="382">
        <v>16</v>
      </c>
      <c r="Y97" s="382">
        <v>0</v>
      </c>
      <c r="Z97" s="382">
        <v>0</v>
      </c>
      <c r="AA97" s="382">
        <v>13</v>
      </c>
      <c r="AB97" s="382">
        <v>0</v>
      </c>
      <c r="AC97" s="382">
        <v>2</v>
      </c>
      <c r="AD97" s="386">
        <v>1606</v>
      </c>
      <c r="AE97" s="386">
        <v>4</v>
      </c>
      <c r="AF97" s="386">
        <v>4</v>
      </c>
      <c r="AG97" s="386">
        <v>8</v>
      </c>
    </row>
    <row r="98" spans="1:33" x14ac:dyDescent="0.25">
      <c r="A98" s="381" t="s">
        <v>256</v>
      </c>
      <c r="B98" s="387" t="s">
        <v>257</v>
      </c>
      <c r="C98" s="383">
        <v>5435</v>
      </c>
      <c r="D98" s="383">
        <v>0</v>
      </c>
      <c r="E98" s="383">
        <v>160</v>
      </c>
      <c r="F98" s="383">
        <v>977</v>
      </c>
      <c r="G98" s="383">
        <v>164</v>
      </c>
      <c r="H98" s="383">
        <v>6736</v>
      </c>
      <c r="I98" s="382">
        <v>6572</v>
      </c>
      <c r="J98" s="382">
        <v>1</v>
      </c>
      <c r="K98" s="384">
        <v>83.61</v>
      </c>
      <c r="L98" s="384">
        <v>80.62</v>
      </c>
      <c r="M98" s="384">
        <v>7.57</v>
      </c>
      <c r="N98" s="384">
        <v>86.3</v>
      </c>
      <c r="O98" s="385">
        <v>4464</v>
      </c>
      <c r="P98" s="382">
        <v>80.89</v>
      </c>
      <c r="Q98" s="382">
        <v>79.75</v>
      </c>
      <c r="R98" s="382">
        <v>29.2</v>
      </c>
      <c r="S98" s="382">
        <v>104.13</v>
      </c>
      <c r="T98" s="382">
        <v>1089</v>
      </c>
      <c r="U98" s="382">
        <v>94.25</v>
      </c>
      <c r="V98" s="382">
        <v>873</v>
      </c>
      <c r="W98" s="382">
        <v>85.96</v>
      </c>
      <c r="X98" s="382">
        <v>48</v>
      </c>
      <c r="Y98" s="382">
        <v>0</v>
      </c>
      <c r="Z98" s="382">
        <v>32</v>
      </c>
      <c r="AA98" s="382">
        <v>19</v>
      </c>
      <c r="AB98" s="382">
        <v>1</v>
      </c>
      <c r="AC98" s="382">
        <v>11</v>
      </c>
      <c r="AD98" s="386">
        <v>5435</v>
      </c>
      <c r="AE98" s="386">
        <v>27</v>
      </c>
      <c r="AF98" s="386">
        <v>3</v>
      </c>
      <c r="AG98" s="386">
        <v>30</v>
      </c>
    </row>
    <row r="99" spans="1:33" x14ac:dyDescent="0.25">
      <c r="A99" s="381" t="s">
        <v>258</v>
      </c>
      <c r="B99" s="387" t="s">
        <v>259</v>
      </c>
      <c r="C99" s="383">
        <v>7620</v>
      </c>
      <c r="D99" s="383">
        <v>0</v>
      </c>
      <c r="E99" s="383">
        <v>414</v>
      </c>
      <c r="F99" s="383">
        <v>1445</v>
      </c>
      <c r="G99" s="383">
        <v>264</v>
      </c>
      <c r="H99" s="383">
        <v>9743</v>
      </c>
      <c r="I99" s="382">
        <v>9479</v>
      </c>
      <c r="J99" s="382">
        <v>25</v>
      </c>
      <c r="K99" s="384">
        <v>93.69</v>
      </c>
      <c r="L99" s="384">
        <v>92.24</v>
      </c>
      <c r="M99" s="384">
        <v>3.61</v>
      </c>
      <c r="N99" s="384">
        <v>95.06</v>
      </c>
      <c r="O99" s="385">
        <v>7039</v>
      </c>
      <c r="P99" s="382">
        <v>81.569999999999993</v>
      </c>
      <c r="Q99" s="382">
        <v>78.11</v>
      </c>
      <c r="R99" s="382">
        <v>33.270000000000003</v>
      </c>
      <c r="S99" s="382">
        <v>113.52</v>
      </c>
      <c r="T99" s="382">
        <v>1720</v>
      </c>
      <c r="U99" s="382">
        <v>104.11</v>
      </c>
      <c r="V99" s="382">
        <v>385</v>
      </c>
      <c r="W99" s="382">
        <v>168.32</v>
      </c>
      <c r="X99" s="382">
        <v>23</v>
      </c>
      <c r="Y99" s="382">
        <v>0</v>
      </c>
      <c r="Z99" s="382">
        <v>4</v>
      </c>
      <c r="AA99" s="382">
        <v>12</v>
      </c>
      <c r="AB99" s="382">
        <v>12</v>
      </c>
      <c r="AC99" s="382">
        <v>12</v>
      </c>
      <c r="AD99" s="386">
        <v>7606</v>
      </c>
      <c r="AE99" s="386">
        <v>50</v>
      </c>
      <c r="AF99" s="386">
        <v>15</v>
      </c>
      <c r="AG99" s="386">
        <v>65</v>
      </c>
    </row>
    <row r="100" spans="1:33" x14ac:dyDescent="0.25">
      <c r="A100" s="381" t="s">
        <v>260</v>
      </c>
      <c r="B100" s="387" t="s">
        <v>261</v>
      </c>
      <c r="C100" s="383">
        <v>1621</v>
      </c>
      <c r="D100" s="383">
        <v>12</v>
      </c>
      <c r="E100" s="383">
        <v>234</v>
      </c>
      <c r="F100" s="383">
        <v>593</v>
      </c>
      <c r="G100" s="383">
        <v>155</v>
      </c>
      <c r="H100" s="383">
        <v>2615</v>
      </c>
      <c r="I100" s="382">
        <v>2460</v>
      </c>
      <c r="J100" s="382">
        <v>54</v>
      </c>
      <c r="K100" s="384">
        <v>98.2</v>
      </c>
      <c r="L100" s="384">
        <v>94.85</v>
      </c>
      <c r="M100" s="384">
        <v>5.61</v>
      </c>
      <c r="N100" s="384">
        <v>102.92</v>
      </c>
      <c r="O100" s="385">
        <v>1447</v>
      </c>
      <c r="P100" s="382">
        <v>79</v>
      </c>
      <c r="Q100" s="382">
        <v>74.31</v>
      </c>
      <c r="R100" s="382">
        <v>39.049999999999997</v>
      </c>
      <c r="S100" s="382">
        <v>117.71</v>
      </c>
      <c r="T100" s="382">
        <v>689</v>
      </c>
      <c r="U100" s="382">
        <v>132.88999999999999</v>
      </c>
      <c r="V100" s="382">
        <v>169</v>
      </c>
      <c r="W100" s="382">
        <v>170.79</v>
      </c>
      <c r="X100" s="382">
        <v>32</v>
      </c>
      <c r="Y100" s="382">
        <v>0</v>
      </c>
      <c r="Z100" s="382">
        <v>0</v>
      </c>
      <c r="AA100" s="382">
        <v>5</v>
      </c>
      <c r="AB100" s="382">
        <v>0</v>
      </c>
      <c r="AC100" s="382">
        <v>5</v>
      </c>
      <c r="AD100" s="386">
        <v>1621</v>
      </c>
      <c r="AE100" s="386">
        <v>3</v>
      </c>
      <c r="AF100" s="386">
        <v>2</v>
      </c>
      <c r="AG100" s="386">
        <v>5</v>
      </c>
    </row>
    <row r="101" spans="1:33" x14ac:dyDescent="0.25">
      <c r="A101" s="381" t="s">
        <v>262</v>
      </c>
      <c r="B101" s="387" t="s">
        <v>263</v>
      </c>
      <c r="C101" s="383">
        <v>5272</v>
      </c>
      <c r="D101" s="383">
        <v>0</v>
      </c>
      <c r="E101" s="383">
        <v>181</v>
      </c>
      <c r="F101" s="383">
        <v>1189</v>
      </c>
      <c r="G101" s="383">
        <v>537</v>
      </c>
      <c r="H101" s="383">
        <v>7179</v>
      </c>
      <c r="I101" s="382">
        <v>6642</v>
      </c>
      <c r="J101" s="382">
        <v>0</v>
      </c>
      <c r="K101" s="384">
        <v>110.94</v>
      </c>
      <c r="L101" s="384">
        <v>110.4</v>
      </c>
      <c r="M101" s="384">
        <v>4.63</v>
      </c>
      <c r="N101" s="384">
        <v>113.33</v>
      </c>
      <c r="O101" s="385">
        <v>4367</v>
      </c>
      <c r="P101" s="382">
        <v>96.55</v>
      </c>
      <c r="Q101" s="382">
        <v>96.11</v>
      </c>
      <c r="R101" s="382">
        <v>22.49</v>
      </c>
      <c r="S101" s="382">
        <v>115.93</v>
      </c>
      <c r="T101" s="382">
        <v>1111</v>
      </c>
      <c r="U101" s="382">
        <v>143.9</v>
      </c>
      <c r="V101" s="382">
        <v>766</v>
      </c>
      <c r="W101" s="382">
        <v>145.74</v>
      </c>
      <c r="X101" s="382">
        <v>191</v>
      </c>
      <c r="Y101" s="382">
        <v>9</v>
      </c>
      <c r="Z101" s="382">
        <v>26</v>
      </c>
      <c r="AA101" s="382">
        <v>2</v>
      </c>
      <c r="AB101" s="382">
        <v>23</v>
      </c>
      <c r="AC101" s="382">
        <v>85</v>
      </c>
      <c r="AD101" s="386">
        <v>5272</v>
      </c>
      <c r="AE101" s="386">
        <v>7</v>
      </c>
      <c r="AF101" s="386">
        <v>23</v>
      </c>
      <c r="AG101" s="386">
        <v>30</v>
      </c>
    </row>
    <row r="102" spans="1:33" x14ac:dyDescent="0.25">
      <c r="A102" s="381" t="s">
        <v>264</v>
      </c>
      <c r="B102" s="387" t="s">
        <v>265</v>
      </c>
      <c r="C102" s="383">
        <v>2128</v>
      </c>
      <c r="D102" s="383">
        <v>0</v>
      </c>
      <c r="E102" s="383">
        <v>160</v>
      </c>
      <c r="F102" s="383">
        <v>185</v>
      </c>
      <c r="G102" s="383">
        <v>187</v>
      </c>
      <c r="H102" s="383">
        <v>2660</v>
      </c>
      <c r="I102" s="382">
        <v>2473</v>
      </c>
      <c r="J102" s="382">
        <v>45</v>
      </c>
      <c r="K102" s="384">
        <v>97.94</v>
      </c>
      <c r="L102" s="384">
        <v>97.19</v>
      </c>
      <c r="M102" s="384">
        <v>4.49</v>
      </c>
      <c r="N102" s="384">
        <v>99.6</v>
      </c>
      <c r="O102" s="385">
        <v>1963</v>
      </c>
      <c r="P102" s="382">
        <v>85.94</v>
      </c>
      <c r="Q102" s="382">
        <v>81.790000000000006</v>
      </c>
      <c r="R102" s="382">
        <v>33.65</v>
      </c>
      <c r="S102" s="382">
        <v>118.21</v>
      </c>
      <c r="T102" s="382">
        <v>342</v>
      </c>
      <c r="U102" s="382">
        <v>111</v>
      </c>
      <c r="V102" s="382">
        <v>129</v>
      </c>
      <c r="W102" s="382">
        <v>0</v>
      </c>
      <c r="X102" s="382">
        <v>0</v>
      </c>
      <c r="Y102" s="382">
        <v>0</v>
      </c>
      <c r="Z102" s="382">
        <v>6</v>
      </c>
      <c r="AA102" s="382">
        <v>6</v>
      </c>
      <c r="AB102" s="382">
        <v>3</v>
      </c>
      <c r="AC102" s="382">
        <v>1</v>
      </c>
      <c r="AD102" s="386">
        <v>2091</v>
      </c>
      <c r="AE102" s="386">
        <v>36</v>
      </c>
      <c r="AF102" s="386">
        <v>7</v>
      </c>
      <c r="AG102" s="386">
        <v>43</v>
      </c>
    </row>
    <row r="103" spans="1:33" x14ac:dyDescent="0.25">
      <c r="A103" s="381" t="s">
        <v>266</v>
      </c>
      <c r="B103" s="387" t="s">
        <v>267</v>
      </c>
      <c r="C103" s="383">
        <v>4474</v>
      </c>
      <c r="D103" s="383">
        <v>19</v>
      </c>
      <c r="E103" s="383">
        <v>93</v>
      </c>
      <c r="F103" s="383">
        <v>956</v>
      </c>
      <c r="G103" s="383">
        <v>377</v>
      </c>
      <c r="H103" s="383">
        <v>5919</v>
      </c>
      <c r="I103" s="382">
        <v>5542</v>
      </c>
      <c r="J103" s="382">
        <v>17</v>
      </c>
      <c r="K103" s="384">
        <v>128.97</v>
      </c>
      <c r="L103" s="384">
        <v>132.38999999999999</v>
      </c>
      <c r="M103" s="384">
        <v>7.42</v>
      </c>
      <c r="N103" s="384">
        <v>132.63</v>
      </c>
      <c r="O103" s="385">
        <v>3757</v>
      </c>
      <c r="P103" s="382">
        <v>109.91</v>
      </c>
      <c r="Q103" s="382">
        <v>107.81</v>
      </c>
      <c r="R103" s="382">
        <v>24.37</v>
      </c>
      <c r="S103" s="382">
        <v>134.25</v>
      </c>
      <c r="T103" s="382">
        <v>802</v>
      </c>
      <c r="U103" s="382">
        <v>198.95</v>
      </c>
      <c r="V103" s="382">
        <v>485</v>
      </c>
      <c r="W103" s="382">
        <v>151.72999999999999</v>
      </c>
      <c r="X103" s="382">
        <v>8</v>
      </c>
      <c r="Y103" s="382">
        <v>1</v>
      </c>
      <c r="Z103" s="382">
        <v>11</v>
      </c>
      <c r="AA103" s="382">
        <v>4</v>
      </c>
      <c r="AB103" s="382">
        <v>31</v>
      </c>
      <c r="AC103" s="382">
        <v>14</v>
      </c>
      <c r="AD103" s="386">
        <v>4354</v>
      </c>
      <c r="AE103" s="386">
        <v>4</v>
      </c>
      <c r="AF103" s="386">
        <v>35</v>
      </c>
      <c r="AG103" s="386">
        <v>39</v>
      </c>
    </row>
    <row r="104" spans="1:33" x14ac:dyDescent="0.25">
      <c r="A104" s="381" t="s">
        <v>268</v>
      </c>
      <c r="B104" s="387" t="s">
        <v>269</v>
      </c>
      <c r="C104" s="383">
        <v>6700</v>
      </c>
      <c r="D104" s="383">
        <v>21</v>
      </c>
      <c r="E104" s="383">
        <v>989</v>
      </c>
      <c r="F104" s="383">
        <v>655</v>
      </c>
      <c r="G104" s="383">
        <v>1090</v>
      </c>
      <c r="H104" s="383">
        <v>9455</v>
      </c>
      <c r="I104" s="382">
        <v>8365</v>
      </c>
      <c r="J104" s="382">
        <v>16</v>
      </c>
      <c r="K104" s="384">
        <v>128.84</v>
      </c>
      <c r="L104" s="384">
        <v>129.19999999999999</v>
      </c>
      <c r="M104" s="384">
        <v>9.77</v>
      </c>
      <c r="N104" s="384">
        <v>135.08000000000001</v>
      </c>
      <c r="O104" s="385">
        <v>5549</v>
      </c>
      <c r="P104" s="382">
        <v>99.4</v>
      </c>
      <c r="Q104" s="382">
        <v>96.07</v>
      </c>
      <c r="R104" s="382">
        <v>53.16</v>
      </c>
      <c r="S104" s="382">
        <v>149.22</v>
      </c>
      <c r="T104" s="382">
        <v>1498</v>
      </c>
      <c r="U104" s="382">
        <v>187.5</v>
      </c>
      <c r="V104" s="382">
        <v>454</v>
      </c>
      <c r="W104" s="382">
        <v>0</v>
      </c>
      <c r="X104" s="382">
        <v>0</v>
      </c>
      <c r="Y104" s="382">
        <v>4</v>
      </c>
      <c r="Z104" s="382">
        <v>5</v>
      </c>
      <c r="AA104" s="382">
        <v>6</v>
      </c>
      <c r="AB104" s="382">
        <v>98</v>
      </c>
      <c r="AC104" s="382">
        <v>25</v>
      </c>
      <c r="AD104" s="386">
        <v>6431</v>
      </c>
      <c r="AE104" s="386">
        <v>30</v>
      </c>
      <c r="AF104" s="386">
        <v>63</v>
      </c>
      <c r="AG104" s="386">
        <v>93</v>
      </c>
    </row>
    <row r="105" spans="1:33" x14ac:dyDescent="0.25">
      <c r="A105" s="381" t="s">
        <v>270</v>
      </c>
      <c r="B105" s="387" t="s">
        <v>271</v>
      </c>
      <c r="C105" s="383">
        <v>1381</v>
      </c>
      <c r="D105" s="383">
        <v>0</v>
      </c>
      <c r="E105" s="383">
        <v>148</v>
      </c>
      <c r="F105" s="383">
        <v>232</v>
      </c>
      <c r="G105" s="383">
        <v>319</v>
      </c>
      <c r="H105" s="383">
        <v>2080</v>
      </c>
      <c r="I105" s="382">
        <v>1761</v>
      </c>
      <c r="J105" s="382">
        <v>2</v>
      </c>
      <c r="K105" s="384">
        <v>123.03</v>
      </c>
      <c r="L105" s="384">
        <v>121.49</v>
      </c>
      <c r="M105" s="384">
        <v>4.62</v>
      </c>
      <c r="N105" s="384">
        <v>127.08</v>
      </c>
      <c r="O105" s="385">
        <v>1234</v>
      </c>
      <c r="P105" s="382">
        <v>97.78</v>
      </c>
      <c r="Q105" s="382">
        <v>92.12</v>
      </c>
      <c r="R105" s="382">
        <v>59.13</v>
      </c>
      <c r="S105" s="382">
        <v>156.28</v>
      </c>
      <c r="T105" s="382">
        <v>280</v>
      </c>
      <c r="U105" s="382">
        <v>174.09</v>
      </c>
      <c r="V105" s="382">
        <v>125</v>
      </c>
      <c r="W105" s="382">
        <v>0</v>
      </c>
      <c r="X105" s="382">
        <v>0</v>
      </c>
      <c r="Y105" s="382">
        <v>0</v>
      </c>
      <c r="Z105" s="382">
        <v>0</v>
      </c>
      <c r="AA105" s="382">
        <v>0</v>
      </c>
      <c r="AB105" s="382">
        <v>41</v>
      </c>
      <c r="AC105" s="382">
        <v>9</v>
      </c>
      <c r="AD105" s="386">
        <v>1379</v>
      </c>
      <c r="AE105" s="386">
        <v>2</v>
      </c>
      <c r="AF105" s="386">
        <v>3</v>
      </c>
      <c r="AG105" s="386">
        <v>5</v>
      </c>
    </row>
    <row r="106" spans="1:33" x14ac:dyDescent="0.25">
      <c r="A106" s="381" t="s">
        <v>272</v>
      </c>
      <c r="B106" s="387" t="s">
        <v>273</v>
      </c>
      <c r="C106" s="383">
        <v>2075</v>
      </c>
      <c r="D106" s="383">
        <v>0</v>
      </c>
      <c r="E106" s="383">
        <v>197</v>
      </c>
      <c r="F106" s="383">
        <v>382</v>
      </c>
      <c r="G106" s="383">
        <v>327</v>
      </c>
      <c r="H106" s="383">
        <v>2981</v>
      </c>
      <c r="I106" s="382">
        <v>2654</v>
      </c>
      <c r="J106" s="382">
        <v>0</v>
      </c>
      <c r="K106" s="384">
        <v>120.87</v>
      </c>
      <c r="L106" s="384">
        <v>114.57</v>
      </c>
      <c r="M106" s="384">
        <v>7.51</v>
      </c>
      <c r="N106" s="384">
        <v>125.12</v>
      </c>
      <c r="O106" s="385">
        <v>1917</v>
      </c>
      <c r="P106" s="382">
        <v>114.7</v>
      </c>
      <c r="Q106" s="382">
        <v>98.69</v>
      </c>
      <c r="R106" s="382">
        <v>25.43</v>
      </c>
      <c r="S106" s="382">
        <v>138.93</v>
      </c>
      <c r="T106" s="382">
        <v>382</v>
      </c>
      <c r="U106" s="382">
        <v>179.77</v>
      </c>
      <c r="V106" s="382">
        <v>141</v>
      </c>
      <c r="W106" s="382">
        <v>211.56</v>
      </c>
      <c r="X106" s="382">
        <v>49</v>
      </c>
      <c r="Y106" s="382">
        <v>36</v>
      </c>
      <c r="Z106" s="382">
        <v>2</v>
      </c>
      <c r="AA106" s="382">
        <v>15</v>
      </c>
      <c r="AB106" s="382">
        <v>3</v>
      </c>
      <c r="AC106" s="382">
        <v>15</v>
      </c>
      <c r="AD106" s="386">
        <v>2075</v>
      </c>
      <c r="AE106" s="386">
        <v>2</v>
      </c>
      <c r="AF106" s="386">
        <v>3</v>
      </c>
      <c r="AG106" s="386">
        <v>5</v>
      </c>
    </row>
    <row r="107" spans="1:33" x14ac:dyDescent="0.25">
      <c r="A107" s="381" t="s">
        <v>274</v>
      </c>
      <c r="B107" s="387" t="s">
        <v>275</v>
      </c>
      <c r="C107" s="383">
        <v>4603</v>
      </c>
      <c r="D107" s="383">
        <v>0</v>
      </c>
      <c r="E107" s="383">
        <v>80</v>
      </c>
      <c r="F107" s="383">
        <v>1901</v>
      </c>
      <c r="G107" s="383">
        <v>166</v>
      </c>
      <c r="H107" s="383">
        <v>6750</v>
      </c>
      <c r="I107" s="382">
        <v>6584</v>
      </c>
      <c r="J107" s="382">
        <v>1</v>
      </c>
      <c r="K107" s="384">
        <v>90.42</v>
      </c>
      <c r="L107" s="384">
        <v>92.57</v>
      </c>
      <c r="M107" s="384">
        <v>2.74</v>
      </c>
      <c r="N107" s="384">
        <v>91.95</v>
      </c>
      <c r="O107" s="385">
        <v>4426</v>
      </c>
      <c r="P107" s="382">
        <v>81.53</v>
      </c>
      <c r="Q107" s="382">
        <v>82.4</v>
      </c>
      <c r="R107" s="382">
        <v>7.83</v>
      </c>
      <c r="S107" s="382">
        <v>88.51</v>
      </c>
      <c r="T107" s="382">
        <v>1972</v>
      </c>
      <c r="U107" s="382">
        <v>95.36</v>
      </c>
      <c r="V107" s="382">
        <v>120</v>
      </c>
      <c r="W107" s="382">
        <v>0</v>
      </c>
      <c r="X107" s="382">
        <v>0</v>
      </c>
      <c r="Y107" s="382">
        <v>0</v>
      </c>
      <c r="Z107" s="382">
        <v>17</v>
      </c>
      <c r="AA107" s="382">
        <v>2</v>
      </c>
      <c r="AB107" s="382">
        <v>10</v>
      </c>
      <c r="AC107" s="382">
        <v>6</v>
      </c>
      <c r="AD107" s="386">
        <v>4602</v>
      </c>
      <c r="AE107" s="386">
        <v>24</v>
      </c>
      <c r="AF107" s="386">
        <v>17</v>
      </c>
      <c r="AG107" s="386">
        <v>41</v>
      </c>
    </row>
    <row r="108" spans="1:33" x14ac:dyDescent="0.25">
      <c r="A108" s="381" t="s">
        <v>276</v>
      </c>
      <c r="B108" s="387" t="s">
        <v>277</v>
      </c>
      <c r="C108" s="383">
        <v>3486</v>
      </c>
      <c r="D108" s="383">
        <v>0</v>
      </c>
      <c r="E108" s="383">
        <v>586</v>
      </c>
      <c r="F108" s="383">
        <v>238</v>
      </c>
      <c r="G108" s="383">
        <v>402</v>
      </c>
      <c r="H108" s="383">
        <v>4712</v>
      </c>
      <c r="I108" s="382">
        <v>4310</v>
      </c>
      <c r="J108" s="382">
        <v>26</v>
      </c>
      <c r="K108" s="384">
        <v>89.42</v>
      </c>
      <c r="L108" s="384">
        <v>88.65</v>
      </c>
      <c r="M108" s="384">
        <v>7.6</v>
      </c>
      <c r="N108" s="384">
        <v>95.09</v>
      </c>
      <c r="O108" s="385">
        <v>3135</v>
      </c>
      <c r="P108" s="382">
        <v>85.56</v>
      </c>
      <c r="Q108" s="382">
        <v>66.959999999999994</v>
      </c>
      <c r="R108" s="382">
        <v>65.290000000000006</v>
      </c>
      <c r="S108" s="382">
        <v>144.04</v>
      </c>
      <c r="T108" s="382">
        <v>499</v>
      </c>
      <c r="U108" s="382">
        <v>120.84</v>
      </c>
      <c r="V108" s="382">
        <v>171</v>
      </c>
      <c r="W108" s="382">
        <v>0</v>
      </c>
      <c r="X108" s="382">
        <v>0</v>
      </c>
      <c r="Y108" s="382">
        <v>74</v>
      </c>
      <c r="Z108" s="382">
        <v>0</v>
      </c>
      <c r="AA108" s="382">
        <v>15</v>
      </c>
      <c r="AB108" s="382">
        <v>24</v>
      </c>
      <c r="AC108" s="382">
        <v>4</v>
      </c>
      <c r="AD108" s="386">
        <v>3318</v>
      </c>
      <c r="AE108" s="386">
        <v>17</v>
      </c>
      <c r="AF108" s="386">
        <v>45</v>
      </c>
      <c r="AG108" s="386">
        <v>62</v>
      </c>
    </row>
    <row r="109" spans="1:33" x14ac:dyDescent="0.25">
      <c r="A109" s="381" t="s">
        <v>278</v>
      </c>
      <c r="B109" s="387" t="s">
        <v>279</v>
      </c>
      <c r="C109" s="383">
        <v>1405</v>
      </c>
      <c r="D109" s="383">
        <v>0</v>
      </c>
      <c r="E109" s="383">
        <v>182</v>
      </c>
      <c r="F109" s="383">
        <v>182</v>
      </c>
      <c r="G109" s="383">
        <v>276</v>
      </c>
      <c r="H109" s="383">
        <v>2045</v>
      </c>
      <c r="I109" s="382">
        <v>1769</v>
      </c>
      <c r="J109" s="382">
        <v>0</v>
      </c>
      <c r="K109" s="384">
        <v>110.09</v>
      </c>
      <c r="L109" s="384">
        <v>109.68</v>
      </c>
      <c r="M109" s="384">
        <v>7.22</v>
      </c>
      <c r="N109" s="384">
        <v>115.45</v>
      </c>
      <c r="O109" s="385">
        <v>1050</v>
      </c>
      <c r="P109" s="382">
        <v>93.15</v>
      </c>
      <c r="Q109" s="382">
        <v>89.35</v>
      </c>
      <c r="R109" s="382">
        <v>39.76</v>
      </c>
      <c r="S109" s="382">
        <v>130.5</v>
      </c>
      <c r="T109" s="382">
        <v>247</v>
      </c>
      <c r="U109" s="382">
        <v>144.68</v>
      </c>
      <c r="V109" s="382">
        <v>235</v>
      </c>
      <c r="W109" s="382">
        <v>113.63</v>
      </c>
      <c r="X109" s="382">
        <v>1</v>
      </c>
      <c r="Y109" s="382">
        <v>1</v>
      </c>
      <c r="Z109" s="382">
        <v>13</v>
      </c>
      <c r="AA109" s="382">
        <v>1</v>
      </c>
      <c r="AB109" s="382">
        <v>24</v>
      </c>
      <c r="AC109" s="382">
        <v>7</v>
      </c>
      <c r="AD109" s="386">
        <v>1393</v>
      </c>
      <c r="AE109" s="386">
        <v>2</v>
      </c>
      <c r="AF109" s="386">
        <v>4</v>
      </c>
      <c r="AG109" s="386">
        <v>6</v>
      </c>
    </row>
    <row r="110" spans="1:33" x14ac:dyDescent="0.25">
      <c r="A110" s="381" t="s">
        <v>280</v>
      </c>
      <c r="B110" s="387" t="s">
        <v>281</v>
      </c>
      <c r="C110" s="383">
        <v>4661</v>
      </c>
      <c r="D110" s="383">
        <v>0</v>
      </c>
      <c r="E110" s="383">
        <v>216</v>
      </c>
      <c r="F110" s="383">
        <v>685</v>
      </c>
      <c r="G110" s="383">
        <v>162</v>
      </c>
      <c r="H110" s="383">
        <v>5724</v>
      </c>
      <c r="I110" s="382">
        <v>5562</v>
      </c>
      <c r="J110" s="382">
        <v>13</v>
      </c>
      <c r="K110" s="384">
        <v>92.02</v>
      </c>
      <c r="L110" s="384">
        <v>89.08</v>
      </c>
      <c r="M110" s="384">
        <v>3.58</v>
      </c>
      <c r="N110" s="384">
        <v>93.25</v>
      </c>
      <c r="O110" s="385">
        <v>4445</v>
      </c>
      <c r="P110" s="382">
        <v>86.25</v>
      </c>
      <c r="Q110" s="382">
        <v>83.66</v>
      </c>
      <c r="R110" s="382">
        <v>34.200000000000003</v>
      </c>
      <c r="S110" s="382">
        <v>120.45</v>
      </c>
      <c r="T110" s="382">
        <v>827</v>
      </c>
      <c r="U110" s="382">
        <v>111.36</v>
      </c>
      <c r="V110" s="382">
        <v>204</v>
      </c>
      <c r="W110" s="382">
        <v>0</v>
      </c>
      <c r="X110" s="382">
        <v>0</v>
      </c>
      <c r="Y110" s="382">
        <v>0</v>
      </c>
      <c r="Z110" s="382">
        <v>16</v>
      </c>
      <c r="AA110" s="382">
        <v>1</v>
      </c>
      <c r="AB110" s="382">
        <v>7</v>
      </c>
      <c r="AC110" s="382">
        <v>10</v>
      </c>
      <c r="AD110" s="386">
        <v>4658</v>
      </c>
      <c r="AE110" s="386">
        <v>19</v>
      </c>
      <c r="AF110" s="386">
        <v>23</v>
      </c>
      <c r="AG110" s="386">
        <v>42</v>
      </c>
    </row>
    <row r="111" spans="1:33" x14ac:dyDescent="0.25">
      <c r="A111" s="381" t="s">
        <v>282</v>
      </c>
      <c r="B111" s="387" t="s">
        <v>283</v>
      </c>
      <c r="C111" s="383">
        <v>1584</v>
      </c>
      <c r="D111" s="383">
        <v>0</v>
      </c>
      <c r="E111" s="383">
        <v>112</v>
      </c>
      <c r="F111" s="383">
        <v>293</v>
      </c>
      <c r="G111" s="383">
        <v>227</v>
      </c>
      <c r="H111" s="383">
        <v>2216</v>
      </c>
      <c r="I111" s="382">
        <v>1989</v>
      </c>
      <c r="J111" s="382">
        <v>10</v>
      </c>
      <c r="K111" s="384">
        <v>96.79</v>
      </c>
      <c r="L111" s="384">
        <v>97.46</v>
      </c>
      <c r="M111" s="384">
        <v>5.63</v>
      </c>
      <c r="N111" s="384">
        <v>100.71</v>
      </c>
      <c r="O111" s="385">
        <v>1223</v>
      </c>
      <c r="P111" s="382">
        <v>92.76</v>
      </c>
      <c r="Q111" s="382">
        <v>87.25</v>
      </c>
      <c r="R111" s="382">
        <v>33.54</v>
      </c>
      <c r="S111" s="382">
        <v>121.67</v>
      </c>
      <c r="T111" s="382">
        <v>362</v>
      </c>
      <c r="U111" s="382">
        <v>140.57</v>
      </c>
      <c r="V111" s="382">
        <v>155</v>
      </c>
      <c r="W111" s="382">
        <v>0</v>
      </c>
      <c r="X111" s="382">
        <v>0</v>
      </c>
      <c r="Y111" s="382">
        <v>18</v>
      </c>
      <c r="Z111" s="382">
        <v>2</v>
      </c>
      <c r="AA111" s="382">
        <v>3</v>
      </c>
      <c r="AB111" s="382">
        <v>11</v>
      </c>
      <c r="AC111" s="382">
        <v>3</v>
      </c>
      <c r="AD111" s="386">
        <v>1425</v>
      </c>
      <c r="AE111" s="386">
        <v>11</v>
      </c>
      <c r="AF111" s="386">
        <v>29</v>
      </c>
      <c r="AG111" s="386">
        <v>40</v>
      </c>
    </row>
    <row r="112" spans="1:33" x14ac:dyDescent="0.25">
      <c r="A112" s="381" t="s">
        <v>284</v>
      </c>
      <c r="B112" s="387" t="s">
        <v>285</v>
      </c>
      <c r="C112" s="383">
        <v>3786</v>
      </c>
      <c r="D112" s="383">
        <v>14</v>
      </c>
      <c r="E112" s="383">
        <v>57</v>
      </c>
      <c r="F112" s="383">
        <v>1130</v>
      </c>
      <c r="G112" s="383">
        <v>185</v>
      </c>
      <c r="H112" s="383">
        <v>5172</v>
      </c>
      <c r="I112" s="382">
        <v>4987</v>
      </c>
      <c r="J112" s="382">
        <v>8</v>
      </c>
      <c r="K112" s="384">
        <v>96.81</v>
      </c>
      <c r="L112" s="384">
        <v>93.87</v>
      </c>
      <c r="M112" s="384">
        <v>1.44</v>
      </c>
      <c r="N112" s="384">
        <v>98</v>
      </c>
      <c r="O112" s="385">
        <v>3058</v>
      </c>
      <c r="P112" s="382">
        <v>90.23</v>
      </c>
      <c r="Q112" s="382">
        <v>82.89</v>
      </c>
      <c r="R112" s="382">
        <v>16.690000000000001</v>
      </c>
      <c r="S112" s="382">
        <v>106.9</v>
      </c>
      <c r="T112" s="382">
        <v>1097</v>
      </c>
      <c r="U112" s="382">
        <v>111.23</v>
      </c>
      <c r="V112" s="382">
        <v>330</v>
      </c>
      <c r="W112" s="382">
        <v>202.49</v>
      </c>
      <c r="X112" s="382">
        <v>68</v>
      </c>
      <c r="Y112" s="382">
        <v>0</v>
      </c>
      <c r="Z112" s="382">
        <v>8</v>
      </c>
      <c r="AA112" s="382">
        <v>15</v>
      </c>
      <c r="AB112" s="382">
        <v>10</v>
      </c>
      <c r="AC112" s="382">
        <v>6</v>
      </c>
      <c r="AD112" s="386">
        <v>3384</v>
      </c>
      <c r="AE112" s="386">
        <v>8</v>
      </c>
      <c r="AF112" s="386">
        <v>24</v>
      </c>
      <c r="AG112" s="386">
        <v>32</v>
      </c>
    </row>
    <row r="113" spans="1:33" x14ac:dyDescent="0.25">
      <c r="A113" s="381" t="s">
        <v>286</v>
      </c>
      <c r="B113" s="387" t="s">
        <v>287</v>
      </c>
      <c r="C113" s="383">
        <v>1963</v>
      </c>
      <c r="D113" s="383">
        <v>0</v>
      </c>
      <c r="E113" s="383">
        <v>132</v>
      </c>
      <c r="F113" s="383">
        <v>542</v>
      </c>
      <c r="G113" s="383">
        <v>73</v>
      </c>
      <c r="H113" s="383">
        <v>2710</v>
      </c>
      <c r="I113" s="382">
        <v>2637</v>
      </c>
      <c r="J113" s="382">
        <v>0</v>
      </c>
      <c r="K113" s="384">
        <v>89.21</v>
      </c>
      <c r="L113" s="384">
        <v>90.06</v>
      </c>
      <c r="M113" s="384">
        <v>3.26</v>
      </c>
      <c r="N113" s="384">
        <v>92.11</v>
      </c>
      <c r="O113" s="385">
        <v>1738</v>
      </c>
      <c r="P113" s="382">
        <v>90.69</v>
      </c>
      <c r="Q113" s="382">
        <v>80.290000000000006</v>
      </c>
      <c r="R113" s="382">
        <v>18.55</v>
      </c>
      <c r="S113" s="382">
        <v>109.19</v>
      </c>
      <c r="T113" s="382">
        <v>639</v>
      </c>
      <c r="U113" s="382">
        <v>107.58</v>
      </c>
      <c r="V113" s="382">
        <v>204</v>
      </c>
      <c r="W113" s="382">
        <v>0</v>
      </c>
      <c r="X113" s="382">
        <v>0</v>
      </c>
      <c r="Y113" s="382">
        <v>0</v>
      </c>
      <c r="Z113" s="382">
        <v>7</v>
      </c>
      <c r="AA113" s="382">
        <v>1</v>
      </c>
      <c r="AB113" s="382">
        <v>0</v>
      </c>
      <c r="AC113" s="382">
        <v>0</v>
      </c>
      <c r="AD113" s="386">
        <v>1961</v>
      </c>
      <c r="AE113" s="386">
        <v>16</v>
      </c>
      <c r="AF113" s="386">
        <v>1</v>
      </c>
      <c r="AG113" s="386">
        <v>17</v>
      </c>
    </row>
    <row r="114" spans="1:33" x14ac:dyDescent="0.25">
      <c r="A114" s="381" t="s">
        <v>288</v>
      </c>
      <c r="B114" s="387" t="s">
        <v>289</v>
      </c>
      <c r="C114" s="383">
        <v>3704</v>
      </c>
      <c r="D114" s="383">
        <v>46</v>
      </c>
      <c r="E114" s="383">
        <v>276</v>
      </c>
      <c r="F114" s="383">
        <v>1064</v>
      </c>
      <c r="G114" s="383">
        <v>251</v>
      </c>
      <c r="H114" s="383">
        <v>5341</v>
      </c>
      <c r="I114" s="382">
        <v>5090</v>
      </c>
      <c r="J114" s="382">
        <v>3</v>
      </c>
      <c r="K114" s="384">
        <v>80.510000000000005</v>
      </c>
      <c r="L114" s="384">
        <v>79.45</v>
      </c>
      <c r="M114" s="384">
        <v>6.43</v>
      </c>
      <c r="N114" s="384">
        <v>84.13</v>
      </c>
      <c r="O114" s="385">
        <v>3027</v>
      </c>
      <c r="P114" s="382">
        <v>87.57</v>
      </c>
      <c r="Q114" s="382">
        <v>78.47</v>
      </c>
      <c r="R114" s="382">
        <v>38.44</v>
      </c>
      <c r="S114" s="382">
        <v>125.07</v>
      </c>
      <c r="T114" s="382">
        <v>1152</v>
      </c>
      <c r="U114" s="382">
        <v>94.77</v>
      </c>
      <c r="V114" s="382">
        <v>710</v>
      </c>
      <c r="W114" s="382">
        <v>147.33000000000001</v>
      </c>
      <c r="X114" s="382">
        <v>172</v>
      </c>
      <c r="Y114" s="382">
        <v>0</v>
      </c>
      <c r="Z114" s="382">
        <v>4</v>
      </c>
      <c r="AA114" s="382">
        <v>4</v>
      </c>
      <c r="AB114" s="382">
        <v>9</v>
      </c>
      <c r="AC114" s="382">
        <v>2</v>
      </c>
      <c r="AD114" s="386">
        <v>3561</v>
      </c>
      <c r="AE114" s="386">
        <v>47</v>
      </c>
      <c r="AF114" s="386">
        <v>16</v>
      </c>
      <c r="AG114" s="386">
        <v>63</v>
      </c>
    </row>
    <row r="115" spans="1:33" x14ac:dyDescent="0.25">
      <c r="A115" s="381" t="s">
        <v>290</v>
      </c>
      <c r="B115" s="387" t="s">
        <v>291</v>
      </c>
      <c r="C115" s="383">
        <v>3733</v>
      </c>
      <c r="D115" s="383">
        <v>0</v>
      </c>
      <c r="E115" s="383">
        <v>152</v>
      </c>
      <c r="F115" s="383">
        <v>1212</v>
      </c>
      <c r="G115" s="383">
        <v>218</v>
      </c>
      <c r="H115" s="383">
        <v>5315</v>
      </c>
      <c r="I115" s="382">
        <v>5097</v>
      </c>
      <c r="J115" s="382">
        <v>56</v>
      </c>
      <c r="K115" s="384">
        <v>84.88</v>
      </c>
      <c r="L115" s="384">
        <v>89.32</v>
      </c>
      <c r="M115" s="384">
        <v>4.6399999999999997</v>
      </c>
      <c r="N115" s="384">
        <v>86.58</v>
      </c>
      <c r="O115" s="385">
        <v>3654</v>
      </c>
      <c r="P115" s="382">
        <v>81.41</v>
      </c>
      <c r="Q115" s="382">
        <v>80.25</v>
      </c>
      <c r="R115" s="382">
        <v>19.54</v>
      </c>
      <c r="S115" s="382">
        <v>100.87</v>
      </c>
      <c r="T115" s="382">
        <v>1287</v>
      </c>
      <c r="U115" s="382">
        <v>112.88</v>
      </c>
      <c r="V115" s="382">
        <v>65</v>
      </c>
      <c r="W115" s="382">
        <v>173.34</v>
      </c>
      <c r="X115" s="382">
        <v>2</v>
      </c>
      <c r="Y115" s="382">
        <v>0</v>
      </c>
      <c r="Z115" s="382">
        <v>19</v>
      </c>
      <c r="AA115" s="382">
        <v>7</v>
      </c>
      <c r="AB115" s="382">
        <v>1</v>
      </c>
      <c r="AC115" s="382">
        <v>6</v>
      </c>
      <c r="AD115" s="386">
        <v>3733</v>
      </c>
      <c r="AE115" s="386">
        <v>26</v>
      </c>
      <c r="AF115" s="386">
        <v>2</v>
      </c>
      <c r="AG115" s="386">
        <v>28</v>
      </c>
    </row>
    <row r="116" spans="1:33" x14ac:dyDescent="0.25">
      <c r="A116" s="381" t="s">
        <v>292</v>
      </c>
      <c r="B116" s="387" t="s">
        <v>293</v>
      </c>
      <c r="C116" s="383">
        <v>6588</v>
      </c>
      <c r="D116" s="383">
        <v>6</v>
      </c>
      <c r="E116" s="383">
        <v>428</v>
      </c>
      <c r="F116" s="383">
        <v>945</v>
      </c>
      <c r="G116" s="383">
        <v>463</v>
      </c>
      <c r="H116" s="383">
        <v>8430</v>
      </c>
      <c r="I116" s="382">
        <v>7967</v>
      </c>
      <c r="J116" s="382">
        <v>259</v>
      </c>
      <c r="K116" s="384">
        <v>86.48</v>
      </c>
      <c r="L116" s="384">
        <v>85.86</v>
      </c>
      <c r="M116" s="384">
        <v>5.82</v>
      </c>
      <c r="N116" s="384">
        <v>89.06</v>
      </c>
      <c r="O116" s="385">
        <v>5878</v>
      </c>
      <c r="P116" s="382">
        <v>86.29</v>
      </c>
      <c r="Q116" s="382">
        <v>83.61</v>
      </c>
      <c r="R116" s="382">
        <v>40.299999999999997</v>
      </c>
      <c r="S116" s="382">
        <v>124.87</v>
      </c>
      <c r="T116" s="382">
        <v>1122</v>
      </c>
      <c r="U116" s="382">
        <v>118.69</v>
      </c>
      <c r="V116" s="382">
        <v>156</v>
      </c>
      <c r="W116" s="382">
        <v>172.9</v>
      </c>
      <c r="X116" s="382">
        <v>31</v>
      </c>
      <c r="Y116" s="382">
        <v>0</v>
      </c>
      <c r="Z116" s="382">
        <v>25</v>
      </c>
      <c r="AA116" s="382">
        <v>3</v>
      </c>
      <c r="AB116" s="382">
        <v>24</v>
      </c>
      <c r="AC116" s="382">
        <v>16</v>
      </c>
      <c r="AD116" s="386">
        <v>6089</v>
      </c>
      <c r="AE116" s="386">
        <v>17</v>
      </c>
      <c r="AF116" s="386">
        <v>5</v>
      </c>
      <c r="AG116" s="386">
        <v>22</v>
      </c>
    </row>
    <row r="117" spans="1:33" x14ac:dyDescent="0.25">
      <c r="A117" s="381" t="s">
        <v>294</v>
      </c>
      <c r="B117" s="387" t="s">
        <v>295</v>
      </c>
      <c r="C117" s="383">
        <v>2290</v>
      </c>
      <c r="D117" s="383">
        <v>13</v>
      </c>
      <c r="E117" s="383">
        <v>74</v>
      </c>
      <c r="F117" s="383">
        <v>568</v>
      </c>
      <c r="G117" s="383">
        <v>356</v>
      </c>
      <c r="H117" s="383">
        <v>3301</v>
      </c>
      <c r="I117" s="382">
        <v>2945</v>
      </c>
      <c r="J117" s="382">
        <v>0</v>
      </c>
      <c r="K117" s="384">
        <v>101.84</v>
      </c>
      <c r="L117" s="384">
        <v>104.14</v>
      </c>
      <c r="M117" s="384">
        <v>8.98</v>
      </c>
      <c r="N117" s="384">
        <v>109.54</v>
      </c>
      <c r="O117" s="385">
        <v>1886</v>
      </c>
      <c r="P117" s="382">
        <v>91.22</v>
      </c>
      <c r="Q117" s="382">
        <v>89.48</v>
      </c>
      <c r="R117" s="382">
        <v>30.08</v>
      </c>
      <c r="S117" s="382">
        <v>119.62</v>
      </c>
      <c r="T117" s="382">
        <v>377</v>
      </c>
      <c r="U117" s="382">
        <v>129.37</v>
      </c>
      <c r="V117" s="382">
        <v>246</v>
      </c>
      <c r="W117" s="382">
        <v>101.78</v>
      </c>
      <c r="X117" s="382">
        <v>16</v>
      </c>
      <c r="Y117" s="382">
        <v>0</v>
      </c>
      <c r="Z117" s="382">
        <v>33</v>
      </c>
      <c r="AA117" s="382">
        <v>1</v>
      </c>
      <c r="AB117" s="382">
        <v>17</v>
      </c>
      <c r="AC117" s="382">
        <v>15</v>
      </c>
      <c r="AD117" s="386">
        <v>2257</v>
      </c>
      <c r="AE117" s="386">
        <v>11</v>
      </c>
      <c r="AF117" s="386">
        <v>5</v>
      </c>
      <c r="AG117" s="386">
        <v>16</v>
      </c>
    </row>
    <row r="118" spans="1:33" x14ac:dyDescent="0.25">
      <c r="A118" s="381" t="s">
        <v>296</v>
      </c>
      <c r="B118" s="387" t="s">
        <v>297</v>
      </c>
      <c r="C118" s="383">
        <v>1388</v>
      </c>
      <c r="D118" s="383">
        <v>0</v>
      </c>
      <c r="E118" s="383">
        <v>86</v>
      </c>
      <c r="F118" s="383">
        <v>212</v>
      </c>
      <c r="G118" s="383">
        <v>257</v>
      </c>
      <c r="H118" s="383">
        <v>1943</v>
      </c>
      <c r="I118" s="382">
        <v>1686</v>
      </c>
      <c r="J118" s="382">
        <v>0</v>
      </c>
      <c r="K118" s="384">
        <v>108.46</v>
      </c>
      <c r="L118" s="384">
        <v>108.55</v>
      </c>
      <c r="M118" s="384">
        <v>5.87</v>
      </c>
      <c r="N118" s="384">
        <v>112.88</v>
      </c>
      <c r="O118" s="385">
        <v>732</v>
      </c>
      <c r="P118" s="382">
        <v>95.59</v>
      </c>
      <c r="Q118" s="382">
        <v>92.43</v>
      </c>
      <c r="R118" s="382">
        <v>56.41</v>
      </c>
      <c r="S118" s="382">
        <v>146.21</v>
      </c>
      <c r="T118" s="382">
        <v>78</v>
      </c>
      <c r="U118" s="382">
        <v>140.41999999999999</v>
      </c>
      <c r="V118" s="382">
        <v>263</v>
      </c>
      <c r="W118" s="382">
        <v>164.81</v>
      </c>
      <c r="X118" s="382">
        <v>57</v>
      </c>
      <c r="Y118" s="382">
        <v>0</v>
      </c>
      <c r="Z118" s="382">
        <v>1</v>
      </c>
      <c r="AA118" s="382">
        <v>13</v>
      </c>
      <c r="AB118" s="382">
        <v>14</v>
      </c>
      <c r="AC118" s="382">
        <v>6</v>
      </c>
      <c r="AD118" s="386">
        <v>1005</v>
      </c>
      <c r="AE118" s="386">
        <v>6</v>
      </c>
      <c r="AF118" s="386">
        <v>6</v>
      </c>
      <c r="AG118" s="386">
        <v>12</v>
      </c>
    </row>
    <row r="119" spans="1:33" x14ac:dyDescent="0.25">
      <c r="A119" s="381" t="s">
        <v>298</v>
      </c>
      <c r="B119" s="387" t="s">
        <v>299</v>
      </c>
      <c r="C119" s="383">
        <v>1416</v>
      </c>
      <c r="D119" s="383">
        <v>0</v>
      </c>
      <c r="E119" s="383">
        <v>248</v>
      </c>
      <c r="F119" s="383">
        <v>147</v>
      </c>
      <c r="G119" s="383">
        <v>105</v>
      </c>
      <c r="H119" s="383">
        <v>1916</v>
      </c>
      <c r="I119" s="382">
        <v>1811</v>
      </c>
      <c r="J119" s="382">
        <v>11</v>
      </c>
      <c r="K119" s="384">
        <v>89.26</v>
      </c>
      <c r="L119" s="384">
        <v>87.71</v>
      </c>
      <c r="M119" s="384">
        <v>5.41</v>
      </c>
      <c r="N119" s="384">
        <v>92.5</v>
      </c>
      <c r="O119" s="385">
        <v>1266</v>
      </c>
      <c r="P119" s="382">
        <v>97.37</v>
      </c>
      <c r="Q119" s="382">
        <v>85.82</v>
      </c>
      <c r="R119" s="382">
        <v>53.44</v>
      </c>
      <c r="S119" s="382">
        <v>150.62</v>
      </c>
      <c r="T119" s="382">
        <v>275</v>
      </c>
      <c r="U119" s="382">
        <v>99.5</v>
      </c>
      <c r="V119" s="382">
        <v>130</v>
      </c>
      <c r="W119" s="382">
        <v>0</v>
      </c>
      <c r="X119" s="382">
        <v>0</v>
      </c>
      <c r="Y119" s="382">
        <v>0</v>
      </c>
      <c r="Z119" s="382">
        <v>0</v>
      </c>
      <c r="AA119" s="382">
        <v>8</v>
      </c>
      <c r="AB119" s="382">
        <v>0</v>
      </c>
      <c r="AC119" s="382">
        <v>5</v>
      </c>
      <c r="AD119" s="386">
        <v>1416</v>
      </c>
      <c r="AE119" s="386">
        <v>5</v>
      </c>
      <c r="AF119" s="386">
        <v>6</v>
      </c>
      <c r="AG119" s="386">
        <v>11</v>
      </c>
    </row>
    <row r="120" spans="1:33" x14ac:dyDescent="0.25">
      <c r="A120" s="381" t="s">
        <v>300</v>
      </c>
      <c r="B120" s="387" t="s">
        <v>301</v>
      </c>
      <c r="C120" s="383">
        <v>12314</v>
      </c>
      <c r="D120" s="383">
        <v>67</v>
      </c>
      <c r="E120" s="383">
        <v>487</v>
      </c>
      <c r="F120" s="383">
        <v>990</v>
      </c>
      <c r="G120" s="383">
        <v>2140</v>
      </c>
      <c r="H120" s="383">
        <v>15998</v>
      </c>
      <c r="I120" s="382">
        <v>13858</v>
      </c>
      <c r="J120" s="382">
        <v>5</v>
      </c>
      <c r="K120" s="384">
        <v>119.42</v>
      </c>
      <c r="L120" s="384">
        <v>121.24</v>
      </c>
      <c r="M120" s="384">
        <v>11.92</v>
      </c>
      <c r="N120" s="384">
        <v>127.86</v>
      </c>
      <c r="O120" s="385">
        <v>10654</v>
      </c>
      <c r="P120" s="382">
        <v>106.71</v>
      </c>
      <c r="Q120" s="382">
        <v>101.86</v>
      </c>
      <c r="R120" s="382">
        <v>43.12</v>
      </c>
      <c r="S120" s="382">
        <v>144.54</v>
      </c>
      <c r="T120" s="382">
        <v>1199</v>
      </c>
      <c r="U120" s="382">
        <v>172.66</v>
      </c>
      <c r="V120" s="382">
        <v>930</v>
      </c>
      <c r="W120" s="382">
        <v>0</v>
      </c>
      <c r="X120" s="382">
        <v>0</v>
      </c>
      <c r="Y120" s="382">
        <v>0</v>
      </c>
      <c r="Z120" s="382">
        <v>15</v>
      </c>
      <c r="AA120" s="382">
        <v>8</v>
      </c>
      <c r="AB120" s="382">
        <v>307</v>
      </c>
      <c r="AC120" s="382">
        <v>65</v>
      </c>
      <c r="AD120" s="386">
        <v>12021</v>
      </c>
      <c r="AE120" s="386">
        <v>88</v>
      </c>
      <c r="AF120" s="386">
        <v>36</v>
      </c>
      <c r="AG120" s="386">
        <v>124</v>
      </c>
    </row>
    <row r="121" spans="1:33" x14ac:dyDescent="0.25">
      <c r="A121" s="381" t="s">
        <v>302</v>
      </c>
      <c r="B121" s="387" t="s">
        <v>303</v>
      </c>
      <c r="C121" s="383">
        <v>1723</v>
      </c>
      <c r="D121" s="383">
        <v>10</v>
      </c>
      <c r="E121" s="383">
        <v>261</v>
      </c>
      <c r="F121" s="383">
        <v>210</v>
      </c>
      <c r="G121" s="383">
        <v>377</v>
      </c>
      <c r="H121" s="383">
        <v>2581</v>
      </c>
      <c r="I121" s="382">
        <v>2204</v>
      </c>
      <c r="J121" s="382">
        <v>0</v>
      </c>
      <c r="K121" s="384">
        <v>127.35</v>
      </c>
      <c r="L121" s="384">
        <v>125.88</v>
      </c>
      <c r="M121" s="384">
        <v>7.22</v>
      </c>
      <c r="N121" s="384">
        <v>133.43</v>
      </c>
      <c r="O121" s="385">
        <v>1374</v>
      </c>
      <c r="P121" s="382">
        <v>98.77</v>
      </c>
      <c r="Q121" s="382">
        <v>96.4</v>
      </c>
      <c r="R121" s="382">
        <v>72.599999999999994</v>
      </c>
      <c r="S121" s="382">
        <v>171.04</v>
      </c>
      <c r="T121" s="382">
        <v>224</v>
      </c>
      <c r="U121" s="382">
        <v>161.97</v>
      </c>
      <c r="V121" s="382">
        <v>181</v>
      </c>
      <c r="W121" s="382">
        <v>138.03</v>
      </c>
      <c r="X121" s="382">
        <v>8</v>
      </c>
      <c r="Y121" s="382">
        <v>20</v>
      </c>
      <c r="Z121" s="382">
        <v>2</v>
      </c>
      <c r="AA121" s="382">
        <v>0</v>
      </c>
      <c r="AB121" s="382">
        <v>13</v>
      </c>
      <c r="AC121" s="382">
        <v>11</v>
      </c>
      <c r="AD121" s="386">
        <v>1545</v>
      </c>
      <c r="AE121" s="386">
        <v>10</v>
      </c>
      <c r="AF121" s="386">
        <v>4</v>
      </c>
      <c r="AG121" s="386">
        <v>14</v>
      </c>
    </row>
    <row r="122" spans="1:33" x14ac:dyDescent="0.25">
      <c r="A122" s="381" t="s">
        <v>304</v>
      </c>
      <c r="B122" s="387" t="s">
        <v>305</v>
      </c>
      <c r="C122" s="383">
        <v>20114</v>
      </c>
      <c r="D122" s="383">
        <v>515</v>
      </c>
      <c r="E122" s="383">
        <v>1655</v>
      </c>
      <c r="F122" s="383">
        <v>1710</v>
      </c>
      <c r="G122" s="383">
        <v>2595</v>
      </c>
      <c r="H122" s="383">
        <v>26589</v>
      </c>
      <c r="I122" s="382">
        <v>23994</v>
      </c>
      <c r="J122" s="382">
        <v>0</v>
      </c>
      <c r="K122" s="384">
        <v>123.55</v>
      </c>
      <c r="L122" s="384">
        <v>129.68</v>
      </c>
      <c r="M122" s="384">
        <v>11.88</v>
      </c>
      <c r="N122" s="384">
        <v>132.19</v>
      </c>
      <c r="O122" s="385">
        <v>17281</v>
      </c>
      <c r="P122" s="382">
        <v>111.64</v>
      </c>
      <c r="Q122" s="382">
        <v>111.79</v>
      </c>
      <c r="R122" s="382">
        <v>41.91</v>
      </c>
      <c r="S122" s="382">
        <v>152.07</v>
      </c>
      <c r="T122" s="382">
        <v>2895</v>
      </c>
      <c r="U122" s="382">
        <v>203.17</v>
      </c>
      <c r="V122" s="382">
        <v>895</v>
      </c>
      <c r="W122" s="382">
        <v>198.27</v>
      </c>
      <c r="X122" s="382">
        <v>7</v>
      </c>
      <c r="Y122" s="382">
        <v>0</v>
      </c>
      <c r="Z122" s="382">
        <v>21</v>
      </c>
      <c r="AA122" s="382">
        <v>12</v>
      </c>
      <c r="AB122" s="382">
        <v>233</v>
      </c>
      <c r="AC122" s="382">
        <v>116</v>
      </c>
      <c r="AD122" s="386">
        <v>18615</v>
      </c>
      <c r="AE122" s="386">
        <v>100</v>
      </c>
      <c r="AF122" s="386">
        <v>67</v>
      </c>
      <c r="AG122" s="386">
        <v>167</v>
      </c>
    </row>
    <row r="123" spans="1:33" x14ac:dyDescent="0.25">
      <c r="A123" s="381" t="s">
        <v>306</v>
      </c>
      <c r="B123" s="387" t="s">
        <v>307</v>
      </c>
      <c r="C123" s="383">
        <v>13156</v>
      </c>
      <c r="D123" s="383">
        <v>0</v>
      </c>
      <c r="E123" s="383">
        <v>505</v>
      </c>
      <c r="F123" s="383">
        <v>500</v>
      </c>
      <c r="G123" s="383">
        <v>314</v>
      </c>
      <c r="H123" s="383">
        <v>14475</v>
      </c>
      <c r="I123" s="382">
        <v>14161</v>
      </c>
      <c r="J123" s="382">
        <v>7</v>
      </c>
      <c r="K123" s="384">
        <v>85.08</v>
      </c>
      <c r="L123" s="384">
        <v>89.97</v>
      </c>
      <c r="M123" s="384">
        <v>3.53</v>
      </c>
      <c r="N123" s="384">
        <v>88.46</v>
      </c>
      <c r="O123" s="385">
        <v>12145</v>
      </c>
      <c r="P123" s="382">
        <v>85.54</v>
      </c>
      <c r="Q123" s="382">
        <v>82.11</v>
      </c>
      <c r="R123" s="382">
        <v>32.57</v>
      </c>
      <c r="S123" s="382">
        <v>117.96</v>
      </c>
      <c r="T123" s="382">
        <v>810</v>
      </c>
      <c r="U123" s="382">
        <v>101.7</v>
      </c>
      <c r="V123" s="382">
        <v>984</v>
      </c>
      <c r="W123" s="382">
        <v>130.85</v>
      </c>
      <c r="X123" s="382">
        <v>75</v>
      </c>
      <c r="Y123" s="382">
        <v>0</v>
      </c>
      <c r="Z123" s="382">
        <v>43</v>
      </c>
      <c r="AA123" s="382">
        <v>4</v>
      </c>
      <c r="AB123" s="382">
        <v>0</v>
      </c>
      <c r="AC123" s="382">
        <v>10</v>
      </c>
      <c r="AD123" s="386">
        <v>13156</v>
      </c>
      <c r="AE123" s="386">
        <v>73</v>
      </c>
      <c r="AF123" s="386">
        <v>54</v>
      </c>
      <c r="AG123" s="386">
        <v>127</v>
      </c>
    </row>
    <row r="124" spans="1:33" x14ac:dyDescent="0.25">
      <c r="A124" s="381" t="s">
        <v>308</v>
      </c>
      <c r="B124" s="387" t="s">
        <v>309</v>
      </c>
      <c r="C124" s="383">
        <v>4899</v>
      </c>
      <c r="D124" s="383">
        <v>0</v>
      </c>
      <c r="E124" s="383">
        <v>165</v>
      </c>
      <c r="F124" s="383">
        <v>299</v>
      </c>
      <c r="G124" s="383">
        <v>105</v>
      </c>
      <c r="H124" s="383">
        <v>5468</v>
      </c>
      <c r="I124" s="382">
        <v>5363</v>
      </c>
      <c r="J124" s="382">
        <v>0</v>
      </c>
      <c r="K124" s="384">
        <v>92.75</v>
      </c>
      <c r="L124" s="384">
        <v>94.43</v>
      </c>
      <c r="M124" s="384">
        <v>1.47</v>
      </c>
      <c r="N124" s="384">
        <v>94.05</v>
      </c>
      <c r="O124" s="385">
        <v>4690</v>
      </c>
      <c r="P124" s="382">
        <v>106.84</v>
      </c>
      <c r="Q124" s="382">
        <v>86.32</v>
      </c>
      <c r="R124" s="382">
        <v>56.3</v>
      </c>
      <c r="S124" s="382">
        <v>161.58000000000001</v>
      </c>
      <c r="T124" s="382">
        <v>360</v>
      </c>
      <c r="U124" s="382">
        <v>108.8</v>
      </c>
      <c r="V124" s="382">
        <v>114</v>
      </c>
      <c r="W124" s="382">
        <v>154.91</v>
      </c>
      <c r="X124" s="382">
        <v>55</v>
      </c>
      <c r="Y124" s="382">
        <v>0</v>
      </c>
      <c r="Z124" s="382">
        <v>13</v>
      </c>
      <c r="AA124" s="382">
        <v>0</v>
      </c>
      <c r="AB124" s="382">
        <v>10</v>
      </c>
      <c r="AC124" s="382">
        <v>25</v>
      </c>
      <c r="AD124" s="386">
        <v>4885</v>
      </c>
      <c r="AE124" s="386">
        <v>28</v>
      </c>
      <c r="AF124" s="386">
        <v>37</v>
      </c>
      <c r="AG124" s="386">
        <v>65</v>
      </c>
    </row>
    <row r="125" spans="1:33" x14ac:dyDescent="0.25">
      <c r="A125" s="381" t="s">
        <v>310</v>
      </c>
      <c r="B125" s="387" t="s">
        <v>311</v>
      </c>
      <c r="C125" s="383">
        <v>11469</v>
      </c>
      <c r="D125" s="383">
        <v>38</v>
      </c>
      <c r="E125" s="383">
        <v>1164</v>
      </c>
      <c r="F125" s="383">
        <v>646</v>
      </c>
      <c r="G125" s="383">
        <v>1203</v>
      </c>
      <c r="H125" s="383">
        <v>14520</v>
      </c>
      <c r="I125" s="382">
        <v>13317</v>
      </c>
      <c r="J125" s="382">
        <v>85</v>
      </c>
      <c r="K125" s="384">
        <v>130.66</v>
      </c>
      <c r="L125" s="384">
        <v>143.51</v>
      </c>
      <c r="M125" s="384">
        <v>10.4</v>
      </c>
      <c r="N125" s="384">
        <v>135.62</v>
      </c>
      <c r="O125" s="385">
        <v>9928</v>
      </c>
      <c r="P125" s="382">
        <v>112.8</v>
      </c>
      <c r="Q125" s="382">
        <v>117.97</v>
      </c>
      <c r="R125" s="382">
        <v>43.79</v>
      </c>
      <c r="S125" s="382">
        <v>150.13999999999999</v>
      </c>
      <c r="T125" s="382">
        <v>1337</v>
      </c>
      <c r="U125" s="382">
        <v>211.02</v>
      </c>
      <c r="V125" s="382">
        <v>768</v>
      </c>
      <c r="W125" s="382">
        <v>203.16</v>
      </c>
      <c r="X125" s="382">
        <v>64</v>
      </c>
      <c r="Y125" s="382">
        <v>20</v>
      </c>
      <c r="Z125" s="382">
        <v>1</v>
      </c>
      <c r="AA125" s="382">
        <v>34</v>
      </c>
      <c r="AB125" s="382">
        <v>70</v>
      </c>
      <c r="AC125" s="382">
        <v>38</v>
      </c>
      <c r="AD125" s="386">
        <v>10961</v>
      </c>
      <c r="AE125" s="386">
        <v>33</v>
      </c>
      <c r="AF125" s="386">
        <v>116</v>
      </c>
      <c r="AG125" s="386">
        <v>149</v>
      </c>
    </row>
    <row r="126" spans="1:33" x14ac:dyDescent="0.25">
      <c r="A126" s="381" t="s">
        <v>312</v>
      </c>
      <c r="B126" s="387" t="s">
        <v>313</v>
      </c>
      <c r="C126" s="383">
        <v>2638</v>
      </c>
      <c r="D126" s="383">
        <v>0</v>
      </c>
      <c r="E126" s="383">
        <v>75</v>
      </c>
      <c r="F126" s="383">
        <v>440</v>
      </c>
      <c r="G126" s="383">
        <v>405</v>
      </c>
      <c r="H126" s="383">
        <v>3558</v>
      </c>
      <c r="I126" s="382">
        <v>3153</v>
      </c>
      <c r="J126" s="382">
        <v>2</v>
      </c>
      <c r="K126" s="384">
        <v>91.87</v>
      </c>
      <c r="L126" s="384">
        <v>91.72</v>
      </c>
      <c r="M126" s="384">
        <v>3.48</v>
      </c>
      <c r="N126" s="384">
        <v>94.11</v>
      </c>
      <c r="O126" s="385">
        <v>2444</v>
      </c>
      <c r="P126" s="382">
        <v>75.989999999999995</v>
      </c>
      <c r="Q126" s="382">
        <v>76.959999999999994</v>
      </c>
      <c r="R126" s="382">
        <v>30.96</v>
      </c>
      <c r="S126" s="382">
        <v>106.19</v>
      </c>
      <c r="T126" s="382">
        <v>488</v>
      </c>
      <c r="U126" s="382">
        <v>111.58</v>
      </c>
      <c r="V126" s="382">
        <v>119</v>
      </c>
      <c r="W126" s="382">
        <v>126.21</v>
      </c>
      <c r="X126" s="382">
        <v>7</v>
      </c>
      <c r="Y126" s="382">
        <v>0</v>
      </c>
      <c r="Z126" s="382">
        <v>11</v>
      </c>
      <c r="AA126" s="382">
        <v>3</v>
      </c>
      <c r="AB126" s="382">
        <v>41</v>
      </c>
      <c r="AC126" s="382">
        <v>7</v>
      </c>
      <c r="AD126" s="386">
        <v>2638</v>
      </c>
      <c r="AE126" s="386">
        <v>17</v>
      </c>
      <c r="AF126" s="386">
        <v>62</v>
      </c>
      <c r="AG126" s="386">
        <v>79</v>
      </c>
    </row>
    <row r="127" spans="1:33" x14ac:dyDescent="0.25">
      <c r="A127" s="381" t="s">
        <v>314</v>
      </c>
      <c r="B127" s="387" t="s">
        <v>315</v>
      </c>
      <c r="C127" s="383">
        <v>10061</v>
      </c>
      <c r="D127" s="383">
        <v>32</v>
      </c>
      <c r="E127" s="383">
        <v>916</v>
      </c>
      <c r="F127" s="383">
        <v>792</v>
      </c>
      <c r="G127" s="383">
        <v>1640</v>
      </c>
      <c r="H127" s="383">
        <v>13441</v>
      </c>
      <c r="I127" s="382">
        <v>11801</v>
      </c>
      <c r="J127" s="382">
        <v>23</v>
      </c>
      <c r="K127" s="384">
        <v>123.05</v>
      </c>
      <c r="L127" s="384">
        <v>123.75</v>
      </c>
      <c r="M127" s="384">
        <v>10.36</v>
      </c>
      <c r="N127" s="384">
        <v>129.22999999999999</v>
      </c>
      <c r="O127" s="385">
        <v>8207</v>
      </c>
      <c r="P127" s="382">
        <v>107.26</v>
      </c>
      <c r="Q127" s="382">
        <v>105.66</v>
      </c>
      <c r="R127" s="382">
        <v>47.13</v>
      </c>
      <c r="S127" s="382">
        <v>150.91999999999999</v>
      </c>
      <c r="T127" s="382">
        <v>1138</v>
      </c>
      <c r="U127" s="382">
        <v>166.66</v>
      </c>
      <c r="V127" s="382">
        <v>409</v>
      </c>
      <c r="W127" s="382">
        <v>180.38</v>
      </c>
      <c r="X127" s="382">
        <v>3</v>
      </c>
      <c r="Y127" s="382">
        <v>0</v>
      </c>
      <c r="Z127" s="382">
        <v>1</v>
      </c>
      <c r="AA127" s="382">
        <v>7</v>
      </c>
      <c r="AB127" s="382">
        <v>102</v>
      </c>
      <c r="AC127" s="382">
        <v>77</v>
      </c>
      <c r="AD127" s="386">
        <v>9103</v>
      </c>
      <c r="AE127" s="386">
        <v>38</v>
      </c>
      <c r="AF127" s="386">
        <v>52</v>
      </c>
      <c r="AG127" s="386">
        <v>90</v>
      </c>
    </row>
    <row r="128" spans="1:33" x14ac:dyDescent="0.25">
      <c r="A128" s="381" t="s">
        <v>316</v>
      </c>
      <c r="B128" s="387" t="s">
        <v>317</v>
      </c>
      <c r="C128" s="383">
        <v>1157</v>
      </c>
      <c r="D128" s="383">
        <v>56</v>
      </c>
      <c r="E128" s="383">
        <v>272</v>
      </c>
      <c r="F128" s="383">
        <v>259</v>
      </c>
      <c r="G128" s="383">
        <v>323</v>
      </c>
      <c r="H128" s="383">
        <v>2067</v>
      </c>
      <c r="I128" s="382">
        <v>1744</v>
      </c>
      <c r="J128" s="382">
        <v>0</v>
      </c>
      <c r="K128" s="384">
        <v>105.07</v>
      </c>
      <c r="L128" s="384">
        <v>104.77</v>
      </c>
      <c r="M128" s="384">
        <v>7.61</v>
      </c>
      <c r="N128" s="384">
        <v>111.25</v>
      </c>
      <c r="O128" s="385">
        <v>1003</v>
      </c>
      <c r="P128" s="382">
        <v>91.86</v>
      </c>
      <c r="Q128" s="382">
        <v>89.22</v>
      </c>
      <c r="R128" s="382">
        <v>43.04</v>
      </c>
      <c r="S128" s="382">
        <v>134.63999999999999</v>
      </c>
      <c r="T128" s="382">
        <v>500</v>
      </c>
      <c r="U128" s="382">
        <v>150.66999999999999</v>
      </c>
      <c r="V128" s="382">
        <v>161</v>
      </c>
      <c r="W128" s="382">
        <v>0</v>
      </c>
      <c r="X128" s="382">
        <v>0</v>
      </c>
      <c r="Y128" s="382">
        <v>0</v>
      </c>
      <c r="Z128" s="382">
        <v>0</v>
      </c>
      <c r="AA128" s="382">
        <v>1</v>
      </c>
      <c r="AB128" s="382">
        <v>51</v>
      </c>
      <c r="AC128" s="382">
        <v>9</v>
      </c>
      <c r="AD128" s="386">
        <v>1154</v>
      </c>
      <c r="AE128" s="386">
        <v>2</v>
      </c>
      <c r="AF128" s="386">
        <v>2</v>
      </c>
      <c r="AG128" s="386">
        <v>4</v>
      </c>
    </row>
    <row r="129" spans="1:33" x14ac:dyDescent="0.25">
      <c r="A129" s="381" t="s">
        <v>318</v>
      </c>
      <c r="B129" s="387" t="s">
        <v>319</v>
      </c>
      <c r="C129" s="383">
        <v>2141</v>
      </c>
      <c r="D129" s="383">
        <v>43</v>
      </c>
      <c r="E129" s="383">
        <v>260</v>
      </c>
      <c r="F129" s="383">
        <v>359</v>
      </c>
      <c r="G129" s="383">
        <v>260</v>
      </c>
      <c r="H129" s="383">
        <v>3063</v>
      </c>
      <c r="I129" s="382">
        <v>2803</v>
      </c>
      <c r="J129" s="382">
        <v>2</v>
      </c>
      <c r="K129" s="384">
        <v>96.54</v>
      </c>
      <c r="L129" s="384">
        <v>96.35</v>
      </c>
      <c r="M129" s="384">
        <v>6.83</v>
      </c>
      <c r="N129" s="384">
        <v>100.87</v>
      </c>
      <c r="O129" s="385">
        <v>1672</v>
      </c>
      <c r="P129" s="382">
        <v>101.32</v>
      </c>
      <c r="Q129" s="382">
        <v>85.03</v>
      </c>
      <c r="R129" s="382">
        <v>39.770000000000003</v>
      </c>
      <c r="S129" s="382">
        <v>140.22</v>
      </c>
      <c r="T129" s="382">
        <v>453</v>
      </c>
      <c r="U129" s="382">
        <v>113.2</v>
      </c>
      <c r="V129" s="382">
        <v>334</v>
      </c>
      <c r="W129" s="382">
        <v>141.49</v>
      </c>
      <c r="X129" s="382">
        <v>1</v>
      </c>
      <c r="Y129" s="382">
        <v>0</v>
      </c>
      <c r="Z129" s="382">
        <v>1</v>
      </c>
      <c r="AA129" s="382">
        <v>5</v>
      </c>
      <c r="AB129" s="382">
        <v>10</v>
      </c>
      <c r="AC129" s="382">
        <v>5</v>
      </c>
      <c r="AD129" s="386">
        <v>1947</v>
      </c>
      <c r="AE129" s="386">
        <v>20</v>
      </c>
      <c r="AF129" s="386">
        <v>4</v>
      </c>
      <c r="AG129" s="386">
        <v>24</v>
      </c>
    </row>
    <row r="130" spans="1:33" x14ac:dyDescent="0.25">
      <c r="A130" s="381" t="s">
        <v>320</v>
      </c>
      <c r="B130" s="387" t="s">
        <v>321</v>
      </c>
      <c r="C130" s="383">
        <v>3261</v>
      </c>
      <c r="D130" s="383">
        <v>2</v>
      </c>
      <c r="E130" s="383">
        <v>391</v>
      </c>
      <c r="F130" s="383">
        <v>605</v>
      </c>
      <c r="G130" s="383">
        <v>1050</v>
      </c>
      <c r="H130" s="383">
        <v>5309</v>
      </c>
      <c r="I130" s="382">
        <v>4259</v>
      </c>
      <c r="J130" s="382">
        <v>27</v>
      </c>
      <c r="K130" s="384">
        <v>137.38999999999999</v>
      </c>
      <c r="L130" s="384">
        <v>133.12</v>
      </c>
      <c r="M130" s="384">
        <v>9.91</v>
      </c>
      <c r="N130" s="384">
        <v>143.04</v>
      </c>
      <c r="O130" s="385">
        <v>2774</v>
      </c>
      <c r="P130" s="382">
        <v>100.99</v>
      </c>
      <c r="Q130" s="382">
        <v>96.73</v>
      </c>
      <c r="R130" s="382">
        <v>25.07</v>
      </c>
      <c r="S130" s="382">
        <v>124.46</v>
      </c>
      <c r="T130" s="382">
        <v>500</v>
      </c>
      <c r="U130" s="382">
        <v>172.29</v>
      </c>
      <c r="V130" s="382">
        <v>242</v>
      </c>
      <c r="W130" s="382">
        <v>183.96</v>
      </c>
      <c r="X130" s="382">
        <v>28</v>
      </c>
      <c r="Y130" s="382">
        <v>11</v>
      </c>
      <c r="Z130" s="382">
        <v>6</v>
      </c>
      <c r="AA130" s="382">
        <v>29</v>
      </c>
      <c r="AB130" s="382">
        <v>108</v>
      </c>
      <c r="AC130" s="382">
        <v>74</v>
      </c>
      <c r="AD130" s="386">
        <v>3180</v>
      </c>
      <c r="AE130" s="386">
        <v>11</v>
      </c>
      <c r="AF130" s="386">
        <v>12</v>
      </c>
      <c r="AG130" s="386">
        <v>23</v>
      </c>
    </row>
    <row r="131" spans="1:33" x14ac:dyDescent="0.25">
      <c r="A131" s="381" t="s">
        <v>322</v>
      </c>
      <c r="B131" s="387" t="s">
        <v>323</v>
      </c>
      <c r="C131" s="383">
        <v>2703</v>
      </c>
      <c r="D131" s="383">
        <v>0</v>
      </c>
      <c r="E131" s="383">
        <v>45</v>
      </c>
      <c r="F131" s="383">
        <v>321</v>
      </c>
      <c r="G131" s="383">
        <v>486</v>
      </c>
      <c r="H131" s="383">
        <v>3555</v>
      </c>
      <c r="I131" s="382">
        <v>3069</v>
      </c>
      <c r="J131" s="382">
        <v>1</v>
      </c>
      <c r="K131" s="384">
        <v>119.53</v>
      </c>
      <c r="L131" s="384">
        <v>120.07</v>
      </c>
      <c r="M131" s="384">
        <v>4.63</v>
      </c>
      <c r="N131" s="384">
        <v>121.36</v>
      </c>
      <c r="O131" s="385">
        <v>2405</v>
      </c>
      <c r="P131" s="382">
        <v>104.89</v>
      </c>
      <c r="Q131" s="382">
        <v>101.16</v>
      </c>
      <c r="R131" s="382">
        <v>34.4</v>
      </c>
      <c r="S131" s="382">
        <v>139.07</v>
      </c>
      <c r="T131" s="382">
        <v>313</v>
      </c>
      <c r="U131" s="382">
        <v>151.94999999999999</v>
      </c>
      <c r="V131" s="382">
        <v>271</v>
      </c>
      <c r="W131" s="382">
        <v>0</v>
      </c>
      <c r="X131" s="382">
        <v>0</v>
      </c>
      <c r="Y131" s="382">
        <v>0</v>
      </c>
      <c r="Z131" s="382">
        <v>11</v>
      </c>
      <c r="AA131" s="382">
        <v>3</v>
      </c>
      <c r="AB131" s="382">
        <v>30</v>
      </c>
      <c r="AC131" s="382">
        <v>92</v>
      </c>
      <c r="AD131" s="386">
        <v>2703</v>
      </c>
      <c r="AE131" s="386">
        <v>23</v>
      </c>
      <c r="AF131" s="386">
        <v>22</v>
      </c>
      <c r="AG131" s="386">
        <v>45</v>
      </c>
    </row>
    <row r="132" spans="1:33" x14ac:dyDescent="0.25">
      <c r="A132" s="381" t="s">
        <v>324</v>
      </c>
      <c r="B132" s="387" t="s">
        <v>325</v>
      </c>
      <c r="C132" s="383">
        <v>7638</v>
      </c>
      <c r="D132" s="383">
        <v>0</v>
      </c>
      <c r="E132" s="383">
        <v>333</v>
      </c>
      <c r="F132" s="383">
        <v>1973</v>
      </c>
      <c r="G132" s="383">
        <v>221</v>
      </c>
      <c r="H132" s="383">
        <v>10165</v>
      </c>
      <c r="I132" s="382">
        <v>9944</v>
      </c>
      <c r="J132" s="382">
        <v>6</v>
      </c>
      <c r="K132" s="384">
        <v>83.63</v>
      </c>
      <c r="L132" s="384">
        <v>83.4</v>
      </c>
      <c r="M132" s="384">
        <v>4.7300000000000004</v>
      </c>
      <c r="N132" s="384">
        <v>85.38</v>
      </c>
      <c r="O132" s="385">
        <v>6606</v>
      </c>
      <c r="P132" s="382">
        <v>80.489999999999995</v>
      </c>
      <c r="Q132" s="382">
        <v>78.95</v>
      </c>
      <c r="R132" s="382">
        <v>29.4</v>
      </c>
      <c r="S132" s="382">
        <v>97.83</v>
      </c>
      <c r="T132" s="382">
        <v>2248</v>
      </c>
      <c r="U132" s="382">
        <v>94.08</v>
      </c>
      <c r="V132" s="382">
        <v>974</v>
      </c>
      <c r="W132" s="382">
        <v>102.81</v>
      </c>
      <c r="X132" s="382">
        <v>48</v>
      </c>
      <c r="Y132" s="382">
        <v>0</v>
      </c>
      <c r="Z132" s="382">
        <v>26</v>
      </c>
      <c r="AA132" s="382">
        <v>2</v>
      </c>
      <c r="AB132" s="382">
        <v>3</v>
      </c>
      <c r="AC132" s="382">
        <v>2</v>
      </c>
      <c r="AD132" s="386">
        <v>7612</v>
      </c>
      <c r="AE132" s="386">
        <v>194</v>
      </c>
      <c r="AF132" s="386">
        <v>39</v>
      </c>
      <c r="AG132" s="386">
        <v>233</v>
      </c>
    </row>
    <row r="133" spans="1:33" x14ac:dyDescent="0.25">
      <c r="A133" s="381" t="s">
        <v>326</v>
      </c>
      <c r="B133" s="387" t="s">
        <v>327</v>
      </c>
      <c r="C133" s="383">
        <v>5029</v>
      </c>
      <c r="D133" s="383">
        <v>0</v>
      </c>
      <c r="E133" s="383">
        <v>279</v>
      </c>
      <c r="F133" s="383">
        <v>728</v>
      </c>
      <c r="G133" s="383">
        <v>191</v>
      </c>
      <c r="H133" s="383">
        <v>6227</v>
      </c>
      <c r="I133" s="382">
        <v>6036</v>
      </c>
      <c r="J133" s="382">
        <v>1</v>
      </c>
      <c r="K133" s="384">
        <v>89.81</v>
      </c>
      <c r="L133" s="384">
        <v>86.11</v>
      </c>
      <c r="M133" s="384">
        <v>6.44</v>
      </c>
      <c r="N133" s="384">
        <v>95.05</v>
      </c>
      <c r="O133" s="385">
        <v>4357</v>
      </c>
      <c r="P133" s="382">
        <v>72.75</v>
      </c>
      <c r="Q133" s="382">
        <v>71.61</v>
      </c>
      <c r="R133" s="382">
        <v>32.520000000000003</v>
      </c>
      <c r="S133" s="382">
        <v>103.81</v>
      </c>
      <c r="T133" s="382">
        <v>804</v>
      </c>
      <c r="U133" s="382">
        <v>114.31</v>
      </c>
      <c r="V133" s="382">
        <v>598</v>
      </c>
      <c r="W133" s="382">
        <v>178.16</v>
      </c>
      <c r="X133" s="382">
        <v>112</v>
      </c>
      <c r="Y133" s="382">
        <v>0</v>
      </c>
      <c r="Z133" s="382">
        <v>7</v>
      </c>
      <c r="AA133" s="382">
        <v>6</v>
      </c>
      <c r="AB133" s="382">
        <v>20</v>
      </c>
      <c r="AC133" s="382">
        <v>2</v>
      </c>
      <c r="AD133" s="386">
        <v>4960</v>
      </c>
      <c r="AE133" s="386">
        <v>9</v>
      </c>
      <c r="AF133" s="386">
        <v>15</v>
      </c>
      <c r="AG133" s="386">
        <v>24</v>
      </c>
    </row>
    <row r="134" spans="1:33" x14ac:dyDescent="0.25">
      <c r="A134" s="381" t="s">
        <v>328</v>
      </c>
      <c r="B134" s="387" t="s">
        <v>329</v>
      </c>
      <c r="C134" s="383">
        <v>4191</v>
      </c>
      <c r="D134" s="383">
        <v>0</v>
      </c>
      <c r="E134" s="383">
        <v>218</v>
      </c>
      <c r="F134" s="383">
        <v>1059</v>
      </c>
      <c r="G134" s="383">
        <v>342</v>
      </c>
      <c r="H134" s="383">
        <v>5810</v>
      </c>
      <c r="I134" s="382">
        <v>5468</v>
      </c>
      <c r="J134" s="382">
        <v>5</v>
      </c>
      <c r="K134" s="384">
        <v>108.36</v>
      </c>
      <c r="L134" s="384">
        <v>108.65</v>
      </c>
      <c r="M134" s="384">
        <v>8.7799999999999994</v>
      </c>
      <c r="N134" s="384">
        <v>112.5</v>
      </c>
      <c r="O134" s="385">
        <v>3620</v>
      </c>
      <c r="P134" s="382">
        <v>97.03</v>
      </c>
      <c r="Q134" s="382">
        <v>97.22</v>
      </c>
      <c r="R134" s="382">
        <v>19.88</v>
      </c>
      <c r="S134" s="382">
        <v>115.23</v>
      </c>
      <c r="T134" s="382">
        <v>1129</v>
      </c>
      <c r="U134" s="382">
        <v>146.62</v>
      </c>
      <c r="V134" s="382">
        <v>459</v>
      </c>
      <c r="W134" s="382">
        <v>154.79</v>
      </c>
      <c r="X134" s="382">
        <v>16</v>
      </c>
      <c r="Y134" s="382">
        <v>1</v>
      </c>
      <c r="Z134" s="382">
        <v>32</v>
      </c>
      <c r="AA134" s="382">
        <v>1</v>
      </c>
      <c r="AB134" s="382">
        <v>56</v>
      </c>
      <c r="AC134" s="382">
        <v>7</v>
      </c>
      <c r="AD134" s="386">
        <v>4168</v>
      </c>
      <c r="AE134" s="386">
        <v>20</v>
      </c>
      <c r="AF134" s="386">
        <v>2</v>
      </c>
      <c r="AG134" s="386">
        <v>22</v>
      </c>
    </row>
    <row r="135" spans="1:33" x14ac:dyDescent="0.25">
      <c r="A135" s="381" t="s">
        <v>330</v>
      </c>
      <c r="B135" s="387" t="s">
        <v>331</v>
      </c>
      <c r="C135" s="383">
        <v>3678</v>
      </c>
      <c r="D135" s="383">
        <v>354</v>
      </c>
      <c r="E135" s="383">
        <v>308</v>
      </c>
      <c r="F135" s="383">
        <v>505</v>
      </c>
      <c r="G135" s="383">
        <v>788</v>
      </c>
      <c r="H135" s="383">
        <v>5633</v>
      </c>
      <c r="I135" s="382">
        <v>4845</v>
      </c>
      <c r="J135" s="382">
        <v>2</v>
      </c>
      <c r="K135" s="384">
        <v>120.08</v>
      </c>
      <c r="L135" s="384">
        <v>120.13</v>
      </c>
      <c r="M135" s="384">
        <v>8.99</v>
      </c>
      <c r="N135" s="384">
        <v>127.03</v>
      </c>
      <c r="O135" s="385">
        <v>2593</v>
      </c>
      <c r="P135" s="382">
        <v>103.76</v>
      </c>
      <c r="Q135" s="382">
        <v>101.71</v>
      </c>
      <c r="R135" s="382">
        <v>31.18</v>
      </c>
      <c r="S135" s="382">
        <v>134.25</v>
      </c>
      <c r="T135" s="382">
        <v>625</v>
      </c>
      <c r="U135" s="382">
        <v>181.81</v>
      </c>
      <c r="V135" s="382">
        <v>889</v>
      </c>
      <c r="W135" s="382">
        <v>203.04</v>
      </c>
      <c r="X135" s="382">
        <v>30</v>
      </c>
      <c r="Y135" s="382">
        <v>0</v>
      </c>
      <c r="Z135" s="382">
        <v>1</v>
      </c>
      <c r="AA135" s="382">
        <v>23</v>
      </c>
      <c r="AB135" s="382">
        <v>184</v>
      </c>
      <c r="AC135" s="382">
        <v>26</v>
      </c>
      <c r="AD135" s="386">
        <v>3649</v>
      </c>
      <c r="AE135" s="386">
        <v>12</v>
      </c>
      <c r="AF135" s="386">
        <v>44</v>
      </c>
      <c r="AG135" s="386">
        <v>56</v>
      </c>
    </row>
    <row r="136" spans="1:33" x14ac:dyDescent="0.25">
      <c r="A136" s="381" t="s">
        <v>332</v>
      </c>
      <c r="B136" s="387" t="s">
        <v>333</v>
      </c>
      <c r="C136" s="383">
        <v>8808</v>
      </c>
      <c r="D136" s="383">
        <v>0</v>
      </c>
      <c r="E136" s="383">
        <v>285</v>
      </c>
      <c r="F136" s="383">
        <v>2003</v>
      </c>
      <c r="G136" s="383">
        <v>693</v>
      </c>
      <c r="H136" s="383">
        <v>11789</v>
      </c>
      <c r="I136" s="382">
        <v>11096</v>
      </c>
      <c r="J136" s="382">
        <v>0</v>
      </c>
      <c r="K136" s="384">
        <v>91.83</v>
      </c>
      <c r="L136" s="384">
        <v>92.19</v>
      </c>
      <c r="M136" s="384">
        <v>3.37</v>
      </c>
      <c r="N136" s="384">
        <v>93.46</v>
      </c>
      <c r="O136" s="385">
        <v>8201</v>
      </c>
      <c r="P136" s="382">
        <v>83.14</v>
      </c>
      <c r="Q136" s="382">
        <v>84.08</v>
      </c>
      <c r="R136" s="382">
        <v>26.55</v>
      </c>
      <c r="S136" s="382">
        <v>103.81</v>
      </c>
      <c r="T136" s="382">
        <v>2175</v>
      </c>
      <c r="U136" s="382">
        <v>104.57</v>
      </c>
      <c r="V136" s="382">
        <v>499</v>
      </c>
      <c r="W136" s="382">
        <v>105.77</v>
      </c>
      <c r="X136" s="382">
        <v>40</v>
      </c>
      <c r="Y136" s="382">
        <v>0</v>
      </c>
      <c r="Z136" s="382">
        <v>29</v>
      </c>
      <c r="AA136" s="382">
        <v>2</v>
      </c>
      <c r="AB136" s="382">
        <v>16</v>
      </c>
      <c r="AC136" s="382">
        <v>15</v>
      </c>
      <c r="AD136" s="386">
        <v>8780</v>
      </c>
      <c r="AE136" s="386">
        <v>63</v>
      </c>
      <c r="AF136" s="386">
        <v>63</v>
      </c>
      <c r="AG136" s="386">
        <v>126</v>
      </c>
    </row>
    <row r="137" spans="1:33" x14ac:dyDescent="0.25">
      <c r="A137" s="381" t="s">
        <v>334</v>
      </c>
      <c r="B137" s="387" t="s">
        <v>335</v>
      </c>
      <c r="C137" s="383">
        <v>6280</v>
      </c>
      <c r="D137" s="383">
        <v>24</v>
      </c>
      <c r="E137" s="383">
        <v>147</v>
      </c>
      <c r="F137" s="383">
        <v>863</v>
      </c>
      <c r="G137" s="383">
        <v>440</v>
      </c>
      <c r="H137" s="383">
        <v>7754</v>
      </c>
      <c r="I137" s="382">
        <v>7314</v>
      </c>
      <c r="J137" s="382">
        <v>0</v>
      </c>
      <c r="K137" s="384">
        <v>124.28</v>
      </c>
      <c r="L137" s="384">
        <v>130.96</v>
      </c>
      <c r="M137" s="384">
        <v>7.6</v>
      </c>
      <c r="N137" s="384">
        <v>127.98</v>
      </c>
      <c r="O137" s="385">
        <v>5441</v>
      </c>
      <c r="P137" s="382">
        <v>110.27</v>
      </c>
      <c r="Q137" s="382">
        <v>113.61</v>
      </c>
      <c r="R137" s="382">
        <v>32.869999999999997</v>
      </c>
      <c r="S137" s="382">
        <v>141.96</v>
      </c>
      <c r="T137" s="382">
        <v>951</v>
      </c>
      <c r="U137" s="382">
        <v>178.88</v>
      </c>
      <c r="V137" s="382">
        <v>646</v>
      </c>
      <c r="W137" s="382">
        <v>0</v>
      </c>
      <c r="X137" s="382">
        <v>0</v>
      </c>
      <c r="Y137" s="382">
        <v>0</v>
      </c>
      <c r="Z137" s="382">
        <v>5</v>
      </c>
      <c r="AA137" s="382">
        <v>28</v>
      </c>
      <c r="AB137" s="382">
        <v>0</v>
      </c>
      <c r="AC137" s="382">
        <v>18</v>
      </c>
      <c r="AD137" s="386">
        <v>6167</v>
      </c>
      <c r="AE137" s="386">
        <v>50</v>
      </c>
      <c r="AF137" s="386">
        <v>5</v>
      </c>
      <c r="AG137" s="386">
        <v>55</v>
      </c>
    </row>
    <row r="138" spans="1:33" x14ac:dyDescent="0.25">
      <c r="A138" s="381" t="s">
        <v>336</v>
      </c>
      <c r="B138" s="387" t="s">
        <v>337</v>
      </c>
      <c r="C138" s="383">
        <v>776</v>
      </c>
      <c r="D138" s="383">
        <v>0</v>
      </c>
      <c r="E138" s="383">
        <v>53</v>
      </c>
      <c r="F138" s="383">
        <v>345</v>
      </c>
      <c r="G138" s="383">
        <v>165</v>
      </c>
      <c r="H138" s="383">
        <v>1339</v>
      </c>
      <c r="I138" s="382">
        <v>1174</v>
      </c>
      <c r="J138" s="382">
        <v>0</v>
      </c>
      <c r="K138" s="384">
        <v>98.18</v>
      </c>
      <c r="L138" s="384">
        <v>96.89</v>
      </c>
      <c r="M138" s="384">
        <v>6.19</v>
      </c>
      <c r="N138" s="384">
        <v>101.54</v>
      </c>
      <c r="O138" s="385">
        <v>711</v>
      </c>
      <c r="P138" s="382">
        <v>82.4</v>
      </c>
      <c r="Q138" s="382">
        <v>81.19</v>
      </c>
      <c r="R138" s="382">
        <v>35.53</v>
      </c>
      <c r="S138" s="382">
        <v>116.61</v>
      </c>
      <c r="T138" s="382">
        <v>378</v>
      </c>
      <c r="U138" s="382">
        <v>108.08</v>
      </c>
      <c r="V138" s="382">
        <v>44</v>
      </c>
      <c r="W138" s="382">
        <v>0</v>
      </c>
      <c r="X138" s="382">
        <v>0</v>
      </c>
      <c r="Y138" s="382">
        <v>0</v>
      </c>
      <c r="Z138" s="382">
        <v>0</v>
      </c>
      <c r="AA138" s="382">
        <v>0</v>
      </c>
      <c r="AB138" s="382">
        <v>11</v>
      </c>
      <c r="AC138" s="382">
        <v>2</v>
      </c>
      <c r="AD138" s="386">
        <v>754</v>
      </c>
      <c r="AE138" s="386">
        <v>1</v>
      </c>
      <c r="AF138" s="386">
        <v>0</v>
      </c>
      <c r="AG138" s="386">
        <v>1</v>
      </c>
    </row>
    <row r="139" spans="1:33" x14ac:dyDescent="0.25">
      <c r="A139" s="381" t="s">
        <v>338</v>
      </c>
      <c r="B139" s="387" t="s">
        <v>339</v>
      </c>
      <c r="C139" s="383">
        <v>6348</v>
      </c>
      <c r="D139" s="383">
        <v>0</v>
      </c>
      <c r="E139" s="383">
        <v>586</v>
      </c>
      <c r="F139" s="383">
        <v>550</v>
      </c>
      <c r="G139" s="383">
        <v>1210</v>
      </c>
      <c r="H139" s="383">
        <v>8694</v>
      </c>
      <c r="I139" s="382">
        <v>7484</v>
      </c>
      <c r="J139" s="382">
        <v>25</v>
      </c>
      <c r="K139" s="384">
        <v>126.37</v>
      </c>
      <c r="L139" s="384">
        <v>126.64</v>
      </c>
      <c r="M139" s="384">
        <v>9.9499999999999993</v>
      </c>
      <c r="N139" s="384">
        <v>133.01</v>
      </c>
      <c r="O139" s="385">
        <v>5451</v>
      </c>
      <c r="P139" s="382">
        <v>105.47</v>
      </c>
      <c r="Q139" s="382">
        <v>105.39</v>
      </c>
      <c r="R139" s="382">
        <v>39.619999999999997</v>
      </c>
      <c r="S139" s="382">
        <v>143.53</v>
      </c>
      <c r="T139" s="382">
        <v>893</v>
      </c>
      <c r="U139" s="382">
        <v>188.13</v>
      </c>
      <c r="V139" s="382">
        <v>598</v>
      </c>
      <c r="W139" s="382">
        <v>162</v>
      </c>
      <c r="X139" s="382">
        <v>63</v>
      </c>
      <c r="Y139" s="382">
        <v>8</v>
      </c>
      <c r="Z139" s="382">
        <v>2</v>
      </c>
      <c r="AA139" s="382">
        <v>9</v>
      </c>
      <c r="AB139" s="382">
        <v>56</v>
      </c>
      <c r="AC139" s="382">
        <v>75</v>
      </c>
      <c r="AD139" s="386">
        <v>6082</v>
      </c>
      <c r="AE139" s="386">
        <v>5</v>
      </c>
      <c r="AF139" s="386">
        <v>19</v>
      </c>
      <c r="AG139" s="386">
        <v>24</v>
      </c>
    </row>
    <row r="140" spans="1:33" x14ac:dyDescent="0.25">
      <c r="A140" s="381" t="s">
        <v>340</v>
      </c>
      <c r="B140" s="387" t="s">
        <v>341</v>
      </c>
      <c r="C140" s="383">
        <v>1664</v>
      </c>
      <c r="D140" s="383">
        <v>0</v>
      </c>
      <c r="E140" s="383">
        <v>76</v>
      </c>
      <c r="F140" s="383">
        <v>125</v>
      </c>
      <c r="G140" s="383">
        <v>311</v>
      </c>
      <c r="H140" s="383">
        <v>2176</v>
      </c>
      <c r="I140" s="382">
        <v>1865</v>
      </c>
      <c r="J140" s="382">
        <v>23</v>
      </c>
      <c r="K140" s="384">
        <v>92.74</v>
      </c>
      <c r="L140" s="384">
        <v>90.51</v>
      </c>
      <c r="M140" s="384">
        <v>4.78</v>
      </c>
      <c r="N140" s="384">
        <v>95.2</v>
      </c>
      <c r="O140" s="385">
        <v>1433</v>
      </c>
      <c r="P140" s="382">
        <v>89.35</v>
      </c>
      <c r="Q140" s="382">
        <v>77.209999999999994</v>
      </c>
      <c r="R140" s="382">
        <v>31.29</v>
      </c>
      <c r="S140" s="382">
        <v>120.63</v>
      </c>
      <c r="T140" s="382">
        <v>191</v>
      </c>
      <c r="U140" s="382">
        <v>106.14</v>
      </c>
      <c r="V140" s="382">
        <v>199</v>
      </c>
      <c r="W140" s="382">
        <v>0</v>
      </c>
      <c r="X140" s="382">
        <v>0</v>
      </c>
      <c r="Y140" s="382">
        <v>0</v>
      </c>
      <c r="Z140" s="382">
        <v>0</v>
      </c>
      <c r="AA140" s="382">
        <v>12</v>
      </c>
      <c r="AB140" s="382">
        <v>28</v>
      </c>
      <c r="AC140" s="382">
        <v>5</v>
      </c>
      <c r="AD140" s="386">
        <v>1664</v>
      </c>
      <c r="AE140" s="386">
        <v>8</v>
      </c>
      <c r="AF140" s="386">
        <v>16</v>
      </c>
      <c r="AG140" s="386">
        <v>24</v>
      </c>
    </row>
    <row r="141" spans="1:33" x14ac:dyDescent="0.25">
      <c r="A141" s="381" t="s">
        <v>342</v>
      </c>
      <c r="B141" s="387" t="s">
        <v>343</v>
      </c>
      <c r="C141" s="383">
        <v>5499</v>
      </c>
      <c r="D141" s="383">
        <v>0</v>
      </c>
      <c r="E141" s="383">
        <v>154</v>
      </c>
      <c r="F141" s="383">
        <v>1119</v>
      </c>
      <c r="G141" s="383">
        <v>523</v>
      </c>
      <c r="H141" s="383">
        <v>7295</v>
      </c>
      <c r="I141" s="382">
        <v>6772</v>
      </c>
      <c r="J141" s="382">
        <v>8</v>
      </c>
      <c r="K141" s="384">
        <v>114.36</v>
      </c>
      <c r="L141" s="384">
        <v>113.94</v>
      </c>
      <c r="M141" s="384">
        <v>3.93</v>
      </c>
      <c r="N141" s="384">
        <v>116.71</v>
      </c>
      <c r="O141" s="385">
        <v>4634</v>
      </c>
      <c r="P141" s="382">
        <v>97.64</v>
      </c>
      <c r="Q141" s="382">
        <v>95.44</v>
      </c>
      <c r="R141" s="382">
        <v>22.81</v>
      </c>
      <c r="S141" s="382">
        <v>120.17</v>
      </c>
      <c r="T141" s="382">
        <v>1065</v>
      </c>
      <c r="U141" s="382">
        <v>157.66999999999999</v>
      </c>
      <c r="V141" s="382">
        <v>797</v>
      </c>
      <c r="W141" s="382">
        <v>138.28</v>
      </c>
      <c r="X141" s="382">
        <v>62</v>
      </c>
      <c r="Y141" s="382">
        <v>0</v>
      </c>
      <c r="Z141" s="382">
        <v>7</v>
      </c>
      <c r="AA141" s="382">
        <v>2</v>
      </c>
      <c r="AB141" s="382">
        <v>63</v>
      </c>
      <c r="AC141" s="382">
        <v>33</v>
      </c>
      <c r="AD141" s="386">
        <v>5466</v>
      </c>
      <c r="AE141" s="386">
        <v>20</v>
      </c>
      <c r="AF141" s="386">
        <v>17</v>
      </c>
      <c r="AG141" s="386">
        <v>37</v>
      </c>
    </row>
    <row r="142" spans="1:33" x14ac:dyDescent="0.25">
      <c r="A142" s="381" t="s">
        <v>344</v>
      </c>
      <c r="B142" s="387" t="s">
        <v>345</v>
      </c>
      <c r="C142" s="383">
        <v>7409</v>
      </c>
      <c r="D142" s="383">
        <v>9</v>
      </c>
      <c r="E142" s="383">
        <v>411</v>
      </c>
      <c r="F142" s="383">
        <v>184</v>
      </c>
      <c r="G142" s="383">
        <v>1955</v>
      </c>
      <c r="H142" s="383">
        <v>9968</v>
      </c>
      <c r="I142" s="382">
        <v>8013</v>
      </c>
      <c r="J142" s="382">
        <v>93</v>
      </c>
      <c r="K142" s="384">
        <v>126.84</v>
      </c>
      <c r="L142" s="384">
        <v>127.89</v>
      </c>
      <c r="M142" s="384">
        <v>9.43</v>
      </c>
      <c r="N142" s="384">
        <v>134.16</v>
      </c>
      <c r="O142" s="385">
        <v>5995</v>
      </c>
      <c r="P142" s="382">
        <v>112.15</v>
      </c>
      <c r="Q142" s="382">
        <v>118.59</v>
      </c>
      <c r="R142" s="382">
        <v>67.59</v>
      </c>
      <c r="S142" s="382">
        <v>167.75</v>
      </c>
      <c r="T142" s="382">
        <v>310</v>
      </c>
      <c r="U142" s="382">
        <v>191.65</v>
      </c>
      <c r="V142" s="382">
        <v>529</v>
      </c>
      <c r="W142" s="382">
        <v>230.02</v>
      </c>
      <c r="X142" s="382">
        <v>97</v>
      </c>
      <c r="Y142" s="382">
        <v>0</v>
      </c>
      <c r="Z142" s="382">
        <v>5</v>
      </c>
      <c r="AA142" s="382">
        <v>1</v>
      </c>
      <c r="AB142" s="382">
        <v>77</v>
      </c>
      <c r="AC142" s="382">
        <v>105</v>
      </c>
      <c r="AD142" s="386">
        <v>6889</v>
      </c>
      <c r="AE142" s="386">
        <v>7</v>
      </c>
      <c r="AF142" s="386">
        <v>57</v>
      </c>
      <c r="AG142" s="386">
        <v>64</v>
      </c>
    </row>
    <row r="143" spans="1:33" x14ac:dyDescent="0.25">
      <c r="A143" s="381" t="s">
        <v>346</v>
      </c>
      <c r="B143" s="387" t="s">
        <v>347</v>
      </c>
      <c r="C143" s="383">
        <v>8243</v>
      </c>
      <c r="D143" s="383">
        <v>0</v>
      </c>
      <c r="E143" s="383">
        <v>367</v>
      </c>
      <c r="F143" s="383">
        <v>994</v>
      </c>
      <c r="G143" s="383">
        <v>654</v>
      </c>
      <c r="H143" s="383">
        <v>10258</v>
      </c>
      <c r="I143" s="382">
        <v>9604</v>
      </c>
      <c r="J143" s="382">
        <v>15</v>
      </c>
      <c r="K143" s="384">
        <v>97.61</v>
      </c>
      <c r="L143" s="384">
        <v>97.9</v>
      </c>
      <c r="M143" s="384">
        <v>3.85</v>
      </c>
      <c r="N143" s="384">
        <v>99.04</v>
      </c>
      <c r="O143" s="385">
        <v>7915</v>
      </c>
      <c r="P143" s="382">
        <v>89.16</v>
      </c>
      <c r="Q143" s="382">
        <v>88.81</v>
      </c>
      <c r="R143" s="382">
        <v>41.6</v>
      </c>
      <c r="S143" s="382">
        <v>130.31</v>
      </c>
      <c r="T143" s="382">
        <v>734</v>
      </c>
      <c r="U143" s="382">
        <v>119.24</v>
      </c>
      <c r="V143" s="382">
        <v>129</v>
      </c>
      <c r="W143" s="382">
        <v>0</v>
      </c>
      <c r="X143" s="382">
        <v>0</v>
      </c>
      <c r="Y143" s="382">
        <v>0</v>
      </c>
      <c r="Z143" s="382">
        <v>21</v>
      </c>
      <c r="AA143" s="382">
        <v>8</v>
      </c>
      <c r="AB143" s="382">
        <v>56</v>
      </c>
      <c r="AC143" s="382">
        <v>32</v>
      </c>
      <c r="AD143" s="386">
        <v>8240</v>
      </c>
      <c r="AE143" s="386">
        <v>23</v>
      </c>
      <c r="AF143" s="386">
        <v>29</v>
      </c>
      <c r="AG143" s="386">
        <v>52</v>
      </c>
    </row>
    <row r="144" spans="1:33" x14ac:dyDescent="0.25">
      <c r="A144" s="381" t="s">
        <v>348</v>
      </c>
      <c r="B144" s="387" t="s">
        <v>349</v>
      </c>
      <c r="C144" s="383">
        <v>2965</v>
      </c>
      <c r="D144" s="383">
        <v>0</v>
      </c>
      <c r="E144" s="383">
        <v>226</v>
      </c>
      <c r="F144" s="383">
        <v>1707</v>
      </c>
      <c r="G144" s="383">
        <v>51</v>
      </c>
      <c r="H144" s="383">
        <v>4949</v>
      </c>
      <c r="I144" s="382">
        <v>4898</v>
      </c>
      <c r="J144" s="382">
        <v>10</v>
      </c>
      <c r="K144" s="384">
        <v>79.319999999999993</v>
      </c>
      <c r="L144" s="384">
        <v>80.209999999999994</v>
      </c>
      <c r="M144" s="384">
        <v>2.2799999999999998</v>
      </c>
      <c r="N144" s="384">
        <v>80.47</v>
      </c>
      <c r="O144" s="385">
        <v>2874</v>
      </c>
      <c r="P144" s="382">
        <v>75.25</v>
      </c>
      <c r="Q144" s="382">
        <v>71.989999999999995</v>
      </c>
      <c r="R144" s="382">
        <v>16.8</v>
      </c>
      <c r="S144" s="382">
        <v>91.92</v>
      </c>
      <c r="T144" s="382">
        <v>1878</v>
      </c>
      <c r="U144" s="382">
        <v>90.18</v>
      </c>
      <c r="V144" s="382">
        <v>90</v>
      </c>
      <c r="W144" s="382">
        <v>241.93</v>
      </c>
      <c r="X144" s="382">
        <v>12</v>
      </c>
      <c r="Y144" s="382">
        <v>0</v>
      </c>
      <c r="Z144" s="382">
        <v>7</v>
      </c>
      <c r="AA144" s="382">
        <v>15</v>
      </c>
      <c r="AB144" s="382">
        <v>0</v>
      </c>
      <c r="AC144" s="382">
        <v>0</v>
      </c>
      <c r="AD144" s="386">
        <v>2965</v>
      </c>
      <c r="AE144" s="386">
        <v>36</v>
      </c>
      <c r="AF144" s="386">
        <v>23</v>
      </c>
      <c r="AG144" s="386">
        <v>59</v>
      </c>
    </row>
    <row r="145" spans="1:33" x14ac:dyDescent="0.25">
      <c r="A145" s="381" t="s">
        <v>350</v>
      </c>
      <c r="B145" s="387" t="s">
        <v>351</v>
      </c>
      <c r="C145" s="383">
        <v>3645</v>
      </c>
      <c r="D145" s="383">
        <v>0</v>
      </c>
      <c r="E145" s="383">
        <v>613</v>
      </c>
      <c r="F145" s="383">
        <v>742</v>
      </c>
      <c r="G145" s="383">
        <v>348</v>
      </c>
      <c r="H145" s="383">
        <v>5348</v>
      </c>
      <c r="I145" s="382">
        <v>5000</v>
      </c>
      <c r="J145" s="382">
        <v>79</v>
      </c>
      <c r="K145" s="384">
        <v>90.28</v>
      </c>
      <c r="L145" s="384">
        <v>89.91</v>
      </c>
      <c r="M145" s="384">
        <v>6.52</v>
      </c>
      <c r="N145" s="384">
        <v>95.11</v>
      </c>
      <c r="O145" s="385">
        <v>3183</v>
      </c>
      <c r="P145" s="382">
        <v>79.92</v>
      </c>
      <c r="Q145" s="382">
        <v>73.25</v>
      </c>
      <c r="R145" s="382">
        <v>52.82</v>
      </c>
      <c r="S145" s="382">
        <v>132.69</v>
      </c>
      <c r="T145" s="382">
        <v>1115</v>
      </c>
      <c r="U145" s="382">
        <v>97.62</v>
      </c>
      <c r="V145" s="382">
        <v>411</v>
      </c>
      <c r="W145" s="382">
        <v>93.64</v>
      </c>
      <c r="X145" s="382">
        <v>2</v>
      </c>
      <c r="Y145" s="382">
        <v>14</v>
      </c>
      <c r="Z145" s="382">
        <v>2</v>
      </c>
      <c r="AA145" s="382">
        <v>0</v>
      </c>
      <c r="AB145" s="382">
        <v>40</v>
      </c>
      <c r="AC145" s="382">
        <v>17</v>
      </c>
      <c r="AD145" s="386">
        <v>3645</v>
      </c>
      <c r="AE145" s="386">
        <v>19</v>
      </c>
      <c r="AF145" s="386">
        <v>17</v>
      </c>
      <c r="AG145" s="386">
        <v>36</v>
      </c>
    </row>
    <row r="146" spans="1:33" x14ac:dyDescent="0.25">
      <c r="A146" s="381" t="s">
        <v>352</v>
      </c>
      <c r="B146" s="387" t="s">
        <v>353</v>
      </c>
      <c r="C146" s="383">
        <v>6241</v>
      </c>
      <c r="D146" s="383">
        <v>10</v>
      </c>
      <c r="E146" s="383">
        <v>310</v>
      </c>
      <c r="F146" s="383">
        <v>681</v>
      </c>
      <c r="G146" s="383">
        <v>258</v>
      </c>
      <c r="H146" s="383">
        <v>7500</v>
      </c>
      <c r="I146" s="382">
        <v>7242</v>
      </c>
      <c r="J146" s="382">
        <v>2</v>
      </c>
      <c r="K146" s="384">
        <v>90.75</v>
      </c>
      <c r="L146" s="384">
        <v>91.22</v>
      </c>
      <c r="M146" s="384">
        <v>5.26</v>
      </c>
      <c r="N146" s="384">
        <v>93.82</v>
      </c>
      <c r="O146" s="385">
        <v>5483</v>
      </c>
      <c r="P146" s="382">
        <v>74.260000000000005</v>
      </c>
      <c r="Q146" s="382">
        <v>75.91</v>
      </c>
      <c r="R146" s="382">
        <v>36.22</v>
      </c>
      <c r="S146" s="382">
        <v>102.72</v>
      </c>
      <c r="T146" s="382">
        <v>952</v>
      </c>
      <c r="U146" s="382">
        <v>122.93</v>
      </c>
      <c r="V146" s="382">
        <v>238</v>
      </c>
      <c r="W146" s="382">
        <v>100.93</v>
      </c>
      <c r="X146" s="382">
        <v>13</v>
      </c>
      <c r="Y146" s="382">
        <v>1</v>
      </c>
      <c r="Z146" s="382">
        <v>5</v>
      </c>
      <c r="AA146" s="382">
        <v>8</v>
      </c>
      <c r="AB146" s="382">
        <v>19</v>
      </c>
      <c r="AC146" s="382">
        <v>10</v>
      </c>
      <c r="AD146" s="386">
        <v>5806</v>
      </c>
      <c r="AE146" s="386">
        <v>13</v>
      </c>
      <c r="AF146" s="386">
        <v>3</v>
      </c>
      <c r="AG146" s="386">
        <v>16</v>
      </c>
    </row>
    <row r="147" spans="1:33" x14ac:dyDescent="0.25">
      <c r="A147" s="381" t="s">
        <v>354</v>
      </c>
      <c r="B147" s="387" t="s">
        <v>355</v>
      </c>
      <c r="C147" s="383">
        <v>54</v>
      </c>
      <c r="D147" s="383">
        <v>0</v>
      </c>
      <c r="E147" s="383">
        <v>0</v>
      </c>
      <c r="F147" s="383">
        <v>7</v>
      </c>
      <c r="G147" s="383">
        <v>0</v>
      </c>
      <c r="H147" s="383">
        <v>61</v>
      </c>
      <c r="I147" s="382">
        <v>61</v>
      </c>
      <c r="J147" s="382">
        <v>0</v>
      </c>
      <c r="K147" s="384">
        <v>104.09</v>
      </c>
      <c r="L147" s="384">
        <v>106.36</v>
      </c>
      <c r="M147" s="384">
        <v>0.89</v>
      </c>
      <c r="N147" s="384">
        <v>104.45</v>
      </c>
      <c r="O147" s="385">
        <v>27</v>
      </c>
      <c r="P147" s="382">
        <v>96.71</v>
      </c>
      <c r="Q147" s="382">
        <v>88.23</v>
      </c>
      <c r="R147" s="382">
        <v>18.27</v>
      </c>
      <c r="S147" s="382">
        <v>114.98</v>
      </c>
      <c r="T147" s="382">
        <v>7</v>
      </c>
      <c r="U147" s="382">
        <v>118.6</v>
      </c>
      <c r="V147" s="382">
        <v>2</v>
      </c>
      <c r="W147" s="382">
        <v>0</v>
      </c>
      <c r="X147" s="382">
        <v>0</v>
      </c>
      <c r="Y147" s="382">
        <v>0</v>
      </c>
      <c r="Z147" s="382">
        <v>0</v>
      </c>
      <c r="AA147" s="382">
        <v>0</v>
      </c>
      <c r="AB147" s="382">
        <v>0</v>
      </c>
      <c r="AC147" s="382">
        <v>0</v>
      </c>
      <c r="AD147" s="386">
        <v>27</v>
      </c>
      <c r="AE147" s="386">
        <v>1</v>
      </c>
      <c r="AF147" s="386">
        <v>0</v>
      </c>
      <c r="AG147" s="386">
        <v>1</v>
      </c>
    </row>
    <row r="148" spans="1:33" x14ac:dyDescent="0.25">
      <c r="A148" s="381" t="s">
        <v>356</v>
      </c>
      <c r="B148" s="387" t="s">
        <v>357</v>
      </c>
      <c r="C148" s="383">
        <v>13324</v>
      </c>
      <c r="D148" s="383">
        <v>252</v>
      </c>
      <c r="E148" s="383">
        <v>1283</v>
      </c>
      <c r="F148" s="383">
        <v>758</v>
      </c>
      <c r="G148" s="383">
        <v>1413</v>
      </c>
      <c r="H148" s="383">
        <v>17030</v>
      </c>
      <c r="I148" s="382">
        <v>15617</v>
      </c>
      <c r="J148" s="382">
        <v>28</v>
      </c>
      <c r="K148" s="384">
        <v>127.4</v>
      </c>
      <c r="L148" s="384">
        <v>137.1</v>
      </c>
      <c r="M148" s="384">
        <v>11.02</v>
      </c>
      <c r="N148" s="384">
        <v>135.47</v>
      </c>
      <c r="O148" s="385">
        <v>11484</v>
      </c>
      <c r="P148" s="382">
        <v>114.67</v>
      </c>
      <c r="Q148" s="382">
        <v>115.64</v>
      </c>
      <c r="R148" s="382">
        <v>44.87</v>
      </c>
      <c r="S148" s="382">
        <v>154.6</v>
      </c>
      <c r="T148" s="382">
        <v>1664</v>
      </c>
      <c r="U148" s="382">
        <v>182.83</v>
      </c>
      <c r="V148" s="382">
        <v>468</v>
      </c>
      <c r="W148" s="382">
        <v>237.91</v>
      </c>
      <c r="X148" s="382">
        <v>1</v>
      </c>
      <c r="Y148" s="382">
        <v>0</v>
      </c>
      <c r="Z148" s="382">
        <v>3</v>
      </c>
      <c r="AA148" s="382">
        <v>11</v>
      </c>
      <c r="AB148" s="382">
        <v>43</v>
      </c>
      <c r="AC148" s="382">
        <v>81</v>
      </c>
      <c r="AD148" s="386">
        <v>12332</v>
      </c>
      <c r="AE148" s="386">
        <v>103</v>
      </c>
      <c r="AF148" s="386">
        <v>48</v>
      </c>
      <c r="AG148" s="386">
        <v>151</v>
      </c>
    </row>
    <row r="149" spans="1:33" x14ac:dyDescent="0.25">
      <c r="A149" s="381" t="s">
        <v>358</v>
      </c>
      <c r="B149" s="387" t="s">
        <v>359</v>
      </c>
      <c r="C149" s="383">
        <v>10732</v>
      </c>
      <c r="D149" s="383">
        <v>328</v>
      </c>
      <c r="E149" s="383">
        <v>977</v>
      </c>
      <c r="F149" s="383">
        <v>997</v>
      </c>
      <c r="G149" s="383">
        <v>599</v>
      </c>
      <c r="H149" s="383">
        <v>13633</v>
      </c>
      <c r="I149" s="382">
        <v>13034</v>
      </c>
      <c r="J149" s="382">
        <v>66</v>
      </c>
      <c r="K149" s="384">
        <v>126.69</v>
      </c>
      <c r="L149" s="384">
        <v>147.69999999999999</v>
      </c>
      <c r="M149" s="384">
        <v>11.07</v>
      </c>
      <c r="N149" s="384">
        <v>133.93</v>
      </c>
      <c r="O149" s="385">
        <v>9373</v>
      </c>
      <c r="P149" s="382">
        <v>118.96</v>
      </c>
      <c r="Q149" s="382">
        <v>128.51</v>
      </c>
      <c r="R149" s="382">
        <v>50.92</v>
      </c>
      <c r="S149" s="382">
        <v>161.59</v>
      </c>
      <c r="T149" s="382">
        <v>1536</v>
      </c>
      <c r="U149" s="382">
        <v>217.76</v>
      </c>
      <c r="V149" s="382">
        <v>458</v>
      </c>
      <c r="W149" s="382">
        <v>208.64</v>
      </c>
      <c r="X149" s="382">
        <v>22</v>
      </c>
      <c r="Y149" s="382">
        <v>76</v>
      </c>
      <c r="Z149" s="382">
        <v>1</v>
      </c>
      <c r="AA149" s="382">
        <v>48</v>
      </c>
      <c r="AB149" s="382">
        <v>32</v>
      </c>
      <c r="AC149" s="382">
        <v>18</v>
      </c>
      <c r="AD149" s="386">
        <v>9923</v>
      </c>
      <c r="AE149" s="386">
        <v>34</v>
      </c>
      <c r="AF149" s="386">
        <v>177</v>
      </c>
      <c r="AG149" s="386">
        <v>211</v>
      </c>
    </row>
    <row r="150" spans="1:33" x14ac:dyDescent="0.25">
      <c r="A150" s="381" t="s">
        <v>360</v>
      </c>
      <c r="B150" s="387" t="s">
        <v>361</v>
      </c>
      <c r="C150" s="383">
        <v>8397</v>
      </c>
      <c r="D150" s="383">
        <v>17</v>
      </c>
      <c r="E150" s="383">
        <v>360</v>
      </c>
      <c r="F150" s="383">
        <v>941</v>
      </c>
      <c r="G150" s="383">
        <v>213</v>
      </c>
      <c r="H150" s="383">
        <v>9928</v>
      </c>
      <c r="I150" s="382">
        <v>9715</v>
      </c>
      <c r="J150" s="382">
        <v>1</v>
      </c>
      <c r="K150" s="384">
        <v>85.76</v>
      </c>
      <c r="L150" s="384">
        <v>85.97</v>
      </c>
      <c r="M150" s="384">
        <v>4.1399999999999997</v>
      </c>
      <c r="N150" s="384">
        <v>86.56</v>
      </c>
      <c r="O150" s="385">
        <v>7848</v>
      </c>
      <c r="P150" s="382">
        <v>85.07</v>
      </c>
      <c r="Q150" s="382">
        <v>82.31</v>
      </c>
      <c r="R150" s="382">
        <v>30.16</v>
      </c>
      <c r="S150" s="382">
        <v>113.15</v>
      </c>
      <c r="T150" s="382">
        <v>1263</v>
      </c>
      <c r="U150" s="382">
        <v>102.62</v>
      </c>
      <c r="V150" s="382">
        <v>512</v>
      </c>
      <c r="W150" s="382">
        <v>96</v>
      </c>
      <c r="X150" s="382">
        <v>10</v>
      </c>
      <c r="Y150" s="382">
        <v>0</v>
      </c>
      <c r="Z150" s="382">
        <v>27</v>
      </c>
      <c r="AA150" s="382">
        <v>5</v>
      </c>
      <c r="AB150" s="382">
        <v>3</v>
      </c>
      <c r="AC150" s="382">
        <v>12</v>
      </c>
      <c r="AD150" s="386">
        <v>8389</v>
      </c>
      <c r="AE150" s="386">
        <v>7</v>
      </c>
      <c r="AF150" s="386">
        <v>4</v>
      </c>
      <c r="AG150" s="386">
        <v>11</v>
      </c>
    </row>
    <row r="151" spans="1:33" x14ac:dyDescent="0.25">
      <c r="A151" s="381" t="s">
        <v>362</v>
      </c>
      <c r="B151" s="387" t="s">
        <v>363</v>
      </c>
      <c r="C151" s="383">
        <v>5708</v>
      </c>
      <c r="D151" s="383">
        <v>0</v>
      </c>
      <c r="E151" s="383">
        <v>711</v>
      </c>
      <c r="F151" s="383">
        <v>2463</v>
      </c>
      <c r="G151" s="383">
        <v>403</v>
      </c>
      <c r="H151" s="383">
        <v>9285</v>
      </c>
      <c r="I151" s="382">
        <v>8882</v>
      </c>
      <c r="J151" s="382">
        <v>5</v>
      </c>
      <c r="K151" s="384">
        <v>81.81</v>
      </c>
      <c r="L151" s="384">
        <v>82</v>
      </c>
      <c r="M151" s="384">
        <v>5.61</v>
      </c>
      <c r="N151" s="384">
        <v>84.63</v>
      </c>
      <c r="O151" s="385">
        <v>5078</v>
      </c>
      <c r="P151" s="382">
        <v>81.400000000000006</v>
      </c>
      <c r="Q151" s="382">
        <v>81.040000000000006</v>
      </c>
      <c r="R151" s="382">
        <v>33.229999999999997</v>
      </c>
      <c r="S151" s="382">
        <v>114.07</v>
      </c>
      <c r="T151" s="382">
        <v>2848</v>
      </c>
      <c r="U151" s="382">
        <v>100.26</v>
      </c>
      <c r="V151" s="382">
        <v>411</v>
      </c>
      <c r="W151" s="382">
        <v>127.7</v>
      </c>
      <c r="X151" s="382">
        <v>8</v>
      </c>
      <c r="Y151" s="382">
        <v>0</v>
      </c>
      <c r="Z151" s="382">
        <v>8</v>
      </c>
      <c r="AA151" s="382">
        <v>10</v>
      </c>
      <c r="AB151" s="382">
        <v>0</v>
      </c>
      <c r="AC151" s="382">
        <v>1</v>
      </c>
      <c r="AD151" s="386">
        <v>5514</v>
      </c>
      <c r="AE151" s="386">
        <v>46</v>
      </c>
      <c r="AF151" s="386">
        <v>13</v>
      </c>
      <c r="AG151" s="386">
        <v>59</v>
      </c>
    </row>
    <row r="152" spans="1:33" x14ac:dyDescent="0.25">
      <c r="A152" s="381" t="s">
        <v>364</v>
      </c>
      <c r="B152" s="387" t="s">
        <v>365</v>
      </c>
      <c r="C152" s="383">
        <v>2077</v>
      </c>
      <c r="D152" s="383">
        <v>13</v>
      </c>
      <c r="E152" s="383">
        <v>325</v>
      </c>
      <c r="F152" s="383">
        <v>219</v>
      </c>
      <c r="G152" s="383">
        <v>275</v>
      </c>
      <c r="H152" s="383">
        <v>2909</v>
      </c>
      <c r="I152" s="382">
        <v>2634</v>
      </c>
      <c r="J152" s="382">
        <v>20</v>
      </c>
      <c r="K152" s="384">
        <v>132.81</v>
      </c>
      <c r="L152" s="384">
        <v>135.57</v>
      </c>
      <c r="M152" s="384">
        <v>8.98</v>
      </c>
      <c r="N152" s="384">
        <v>140.49</v>
      </c>
      <c r="O152" s="385">
        <v>1561</v>
      </c>
      <c r="P152" s="382">
        <v>105.86</v>
      </c>
      <c r="Q152" s="382">
        <v>105.13</v>
      </c>
      <c r="R152" s="382">
        <v>32.68</v>
      </c>
      <c r="S152" s="382">
        <v>138.24</v>
      </c>
      <c r="T152" s="382">
        <v>325</v>
      </c>
      <c r="U152" s="382">
        <v>222.75</v>
      </c>
      <c r="V152" s="382">
        <v>254</v>
      </c>
      <c r="W152" s="382">
        <v>0</v>
      </c>
      <c r="X152" s="382">
        <v>0</v>
      </c>
      <c r="Y152" s="382">
        <v>0</v>
      </c>
      <c r="Z152" s="382">
        <v>1</v>
      </c>
      <c r="AA152" s="382">
        <v>1</v>
      </c>
      <c r="AB152" s="382">
        <v>0</v>
      </c>
      <c r="AC152" s="382">
        <v>10</v>
      </c>
      <c r="AD152" s="386">
        <v>1817</v>
      </c>
      <c r="AE152" s="386">
        <v>11</v>
      </c>
      <c r="AF152" s="386">
        <v>6</v>
      </c>
      <c r="AG152" s="386">
        <v>17</v>
      </c>
    </row>
    <row r="153" spans="1:33" x14ac:dyDescent="0.25">
      <c r="A153" s="381" t="s">
        <v>366</v>
      </c>
      <c r="B153" s="387" t="s">
        <v>367</v>
      </c>
      <c r="C153" s="383">
        <v>3806</v>
      </c>
      <c r="D153" s="383">
        <v>42</v>
      </c>
      <c r="E153" s="383">
        <v>401</v>
      </c>
      <c r="F153" s="383">
        <v>1495</v>
      </c>
      <c r="G153" s="383">
        <v>370</v>
      </c>
      <c r="H153" s="383">
        <v>6114</v>
      </c>
      <c r="I153" s="382">
        <v>5744</v>
      </c>
      <c r="J153" s="382">
        <v>21</v>
      </c>
      <c r="K153" s="384">
        <v>87.53</v>
      </c>
      <c r="L153" s="384">
        <v>86.26</v>
      </c>
      <c r="M153" s="384">
        <v>5.28</v>
      </c>
      <c r="N153" s="384">
        <v>91.43</v>
      </c>
      <c r="O153" s="385">
        <v>3296</v>
      </c>
      <c r="P153" s="382">
        <v>78.260000000000005</v>
      </c>
      <c r="Q153" s="382">
        <v>75.569999999999993</v>
      </c>
      <c r="R153" s="382">
        <v>27.09</v>
      </c>
      <c r="S153" s="382">
        <v>104.49</v>
      </c>
      <c r="T153" s="382">
        <v>1737</v>
      </c>
      <c r="U153" s="382">
        <v>97.67</v>
      </c>
      <c r="V153" s="382">
        <v>351</v>
      </c>
      <c r="W153" s="382">
        <v>99.34</v>
      </c>
      <c r="X153" s="382">
        <v>24</v>
      </c>
      <c r="Y153" s="382">
        <v>0</v>
      </c>
      <c r="Z153" s="382">
        <v>2</v>
      </c>
      <c r="AA153" s="382">
        <v>12</v>
      </c>
      <c r="AB153" s="382">
        <v>13</v>
      </c>
      <c r="AC153" s="382">
        <v>5</v>
      </c>
      <c r="AD153" s="386">
        <v>3797</v>
      </c>
      <c r="AE153" s="386">
        <v>32</v>
      </c>
      <c r="AF153" s="386">
        <v>10</v>
      </c>
      <c r="AG153" s="386">
        <v>42</v>
      </c>
    </row>
    <row r="154" spans="1:33" x14ac:dyDescent="0.25">
      <c r="A154" s="381" t="s">
        <v>368</v>
      </c>
      <c r="B154" s="387" t="s">
        <v>369</v>
      </c>
      <c r="C154" s="383">
        <v>15916</v>
      </c>
      <c r="D154" s="383">
        <v>0</v>
      </c>
      <c r="E154" s="383">
        <v>871</v>
      </c>
      <c r="F154" s="383">
        <v>1580</v>
      </c>
      <c r="G154" s="383">
        <v>289</v>
      </c>
      <c r="H154" s="383">
        <v>18656</v>
      </c>
      <c r="I154" s="382">
        <v>18367</v>
      </c>
      <c r="J154" s="382">
        <v>36</v>
      </c>
      <c r="K154" s="384">
        <v>86.11</v>
      </c>
      <c r="L154" s="384">
        <v>87.21</v>
      </c>
      <c r="M154" s="384">
        <v>10.99</v>
      </c>
      <c r="N154" s="384">
        <v>88.6</v>
      </c>
      <c r="O154" s="385">
        <v>14830</v>
      </c>
      <c r="P154" s="382">
        <v>84.27</v>
      </c>
      <c r="Q154" s="382">
        <v>83.65</v>
      </c>
      <c r="R154" s="382">
        <v>27.4</v>
      </c>
      <c r="S154" s="382">
        <v>102.78</v>
      </c>
      <c r="T154" s="382">
        <v>2259</v>
      </c>
      <c r="U154" s="382">
        <v>110.73</v>
      </c>
      <c r="V154" s="382">
        <v>793</v>
      </c>
      <c r="W154" s="382">
        <v>143.63999999999999</v>
      </c>
      <c r="X154" s="382">
        <v>41</v>
      </c>
      <c r="Y154" s="382">
        <v>0</v>
      </c>
      <c r="Z154" s="382">
        <v>92</v>
      </c>
      <c r="AA154" s="382">
        <v>7</v>
      </c>
      <c r="AB154" s="382">
        <v>16</v>
      </c>
      <c r="AC154" s="382">
        <v>4</v>
      </c>
      <c r="AD154" s="386">
        <v>15666</v>
      </c>
      <c r="AE154" s="386">
        <v>268</v>
      </c>
      <c r="AF154" s="386">
        <v>201</v>
      </c>
      <c r="AG154" s="386">
        <v>469</v>
      </c>
    </row>
    <row r="155" spans="1:33" x14ac:dyDescent="0.25">
      <c r="A155" s="381" t="s">
        <v>370</v>
      </c>
      <c r="B155" s="387" t="s">
        <v>371</v>
      </c>
      <c r="C155" s="383">
        <v>20823</v>
      </c>
      <c r="D155" s="383">
        <v>57</v>
      </c>
      <c r="E155" s="383">
        <v>1787</v>
      </c>
      <c r="F155" s="383">
        <v>1344</v>
      </c>
      <c r="G155" s="383">
        <v>2049</v>
      </c>
      <c r="H155" s="383">
        <v>26060</v>
      </c>
      <c r="I155" s="382">
        <v>24011</v>
      </c>
      <c r="J155" s="382">
        <v>58</v>
      </c>
      <c r="K155" s="384">
        <v>119.46</v>
      </c>
      <c r="L155" s="384">
        <v>129.69999999999999</v>
      </c>
      <c r="M155" s="384">
        <v>12.42</v>
      </c>
      <c r="N155" s="384">
        <v>129.36000000000001</v>
      </c>
      <c r="O155" s="385">
        <v>18520</v>
      </c>
      <c r="P155" s="382">
        <v>110.4</v>
      </c>
      <c r="Q155" s="382">
        <v>111.84</v>
      </c>
      <c r="R155" s="382">
        <v>44.51</v>
      </c>
      <c r="S155" s="382">
        <v>151.27000000000001</v>
      </c>
      <c r="T155" s="382">
        <v>2786</v>
      </c>
      <c r="U155" s="382">
        <v>185.35</v>
      </c>
      <c r="V155" s="382">
        <v>915</v>
      </c>
      <c r="W155" s="382">
        <v>201.29</v>
      </c>
      <c r="X155" s="382">
        <v>9</v>
      </c>
      <c r="Y155" s="382">
        <v>4</v>
      </c>
      <c r="Z155" s="382">
        <v>21</v>
      </c>
      <c r="AA155" s="382">
        <v>20</v>
      </c>
      <c r="AB155" s="382">
        <v>267</v>
      </c>
      <c r="AC155" s="382">
        <v>108</v>
      </c>
      <c r="AD155" s="386">
        <v>19696</v>
      </c>
      <c r="AE155" s="386">
        <v>141</v>
      </c>
      <c r="AF155" s="386">
        <v>372</v>
      </c>
      <c r="AG155" s="386">
        <v>513</v>
      </c>
    </row>
    <row r="156" spans="1:33" x14ac:dyDescent="0.25">
      <c r="A156" s="381" t="s">
        <v>372</v>
      </c>
      <c r="B156" s="387" t="s">
        <v>373</v>
      </c>
      <c r="C156" s="383">
        <v>1731</v>
      </c>
      <c r="D156" s="383">
        <v>2</v>
      </c>
      <c r="E156" s="383">
        <v>321</v>
      </c>
      <c r="F156" s="383">
        <v>485</v>
      </c>
      <c r="G156" s="383">
        <v>324</v>
      </c>
      <c r="H156" s="383">
        <v>2863</v>
      </c>
      <c r="I156" s="382">
        <v>2539</v>
      </c>
      <c r="J156" s="382">
        <v>4</v>
      </c>
      <c r="K156" s="384">
        <v>85.93</v>
      </c>
      <c r="L156" s="384">
        <v>83.12</v>
      </c>
      <c r="M156" s="384">
        <v>5.18</v>
      </c>
      <c r="N156" s="384">
        <v>90.32</v>
      </c>
      <c r="O156" s="385">
        <v>1342</v>
      </c>
      <c r="P156" s="382">
        <v>83.63</v>
      </c>
      <c r="Q156" s="382">
        <v>72.180000000000007</v>
      </c>
      <c r="R156" s="382">
        <v>45.39</v>
      </c>
      <c r="S156" s="382">
        <v>128.57</v>
      </c>
      <c r="T156" s="382">
        <v>711</v>
      </c>
      <c r="U156" s="382">
        <v>103.07</v>
      </c>
      <c r="V156" s="382">
        <v>336</v>
      </c>
      <c r="W156" s="382">
        <v>133.9</v>
      </c>
      <c r="X156" s="382">
        <v>10</v>
      </c>
      <c r="Y156" s="382">
        <v>5</v>
      </c>
      <c r="Z156" s="382">
        <v>0</v>
      </c>
      <c r="AA156" s="382">
        <v>22</v>
      </c>
      <c r="AB156" s="382">
        <v>23</v>
      </c>
      <c r="AC156" s="382">
        <v>5</v>
      </c>
      <c r="AD156" s="386">
        <v>1699</v>
      </c>
      <c r="AE156" s="386">
        <v>14</v>
      </c>
      <c r="AF156" s="386">
        <v>1</v>
      </c>
      <c r="AG156" s="386">
        <v>15</v>
      </c>
    </row>
    <row r="157" spans="1:33" x14ac:dyDescent="0.25">
      <c r="A157" s="381" t="s">
        <v>374</v>
      </c>
      <c r="B157" s="387" t="s">
        <v>375</v>
      </c>
      <c r="C157" s="383">
        <v>12176</v>
      </c>
      <c r="D157" s="383">
        <v>68</v>
      </c>
      <c r="E157" s="383">
        <v>1417</v>
      </c>
      <c r="F157" s="383">
        <v>3079</v>
      </c>
      <c r="G157" s="383">
        <v>1155</v>
      </c>
      <c r="H157" s="383">
        <v>17895</v>
      </c>
      <c r="I157" s="382">
        <v>16740</v>
      </c>
      <c r="J157" s="382">
        <v>12</v>
      </c>
      <c r="K157" s="384">
        <v>85.91</v>
      </c>
      <c r="L157" s="384">
        <v>85.33</v>
      </c>
      <c r="M157" s="384">
        <v>6.58</v>
      </c>
      <c r="N157" s="384">
        <v>89.91</v>
      </c>
      <c r="O157" s="385">
        <v>10539</v>
      </c>
      <c r="P157" s="382">
        <v>88.86</v>
      </c>
      <c r="Q157" s="382">
        <v>76.27</v>
      </c>
      <c r="R157" s="382">
        <v>40.700000000000003</v>
      </c>
      <c r="S157" s="382">
        <v>128.91</v>
      </c>
      <c r="T157" s="382">
        <v>3550</v>
      </c>
      <c r="U157" s="382">
        <v>104.75</v>
      </c>
      <c r="V157" s="382">
        <v>849</v>
      </c>
      <c r="W157" s="382">
        <v>92.46</v>
      </c>
      <c r="X157" s="382">
        <v>33</v>
      </c>
      <c r="Y157" s="382">
        <v>0</v>
      </c>
      <c r="Z157" s="382">
        <v>15</v>
      </c>
      <c r="AA157" s="382">
        <v>24</v>
      </c>
      <c r="AB157" s="382">
        <v>38</v>
      </c>
      <c r="AC157" s="382">
        <v>23</v>
      </c>
      <c r="AD157" s="386">
        <v>11811</v>
      </c>
      <c r="AE157" s="386">
        <v>67</v>
      </c>
      <c r="AF157" s="386">
        <v>33</v>
      </c>
      <c r="AG157" s="386">
        <v>100</v>
      </c>
    </row>
    <row r="158" spans="1:33" x14ac:dyDescent="0.25">
      <c r="A158" s="381" t="s">
        <v>376</v>
      </c>
      <c r="B158" s="387" t="s">
        <v>377</v>
      </c>
      <c r="C158" s="383">
        <v>8858</v>
      </c>
      <c r="D158" s="383">
        <v>0</v>
      </c>
      <c r="E158" s="383">
        <v>809</v>
      </c>
      <c r="F158" s="383">
        <v>974</v>
      </c>
      <c r="G158" s="383">
        <v>542</v>
      </c>
      <c r="H158" s="383">
        <v>11183</v>
      </c>
      <c r="I158" s="382">
        <v>10641</v>
      </c>
      <c r="J158" s="382">
        <v>109</v>
      </c>
      <c r="K158" s="384">
        <v>85.42</v>
      </c>
      <c r="L158" s="384">
        <v>83.81</v>
      </c>
      <c r="M158" s="384">
        <v>7.99</v>
      </c>
      <c r="N158" s="384">
        <v>90.59</v>
      </c>
      <c r="O158" s="385">
        <v>7467</v>
      </c>
      <c r="P158" s="382">
        <v>81.09</v>
      </c>
      <c r="Q158" s="382">
        <v>75.84</v>
      </c>
      <c r="R158" s="382">
        <v>54.64</v>
      </c>
      <c r="S158" s="382">
        <v>134.79</v>
      </c>
      <c r="T158" s="382">
        <v>1507</v>
      </c>
      <c r="U158" s="382">
        <v>107.03</v>
      </c>
      <c r="V158" s="382">
        <v>506</v>
      </c>
      <c r="W158" s="382">
        <v>100.78</v>
      </c>
      <c r="X158" s="382">
        <v>73</v>
      </c>
      <c r="Y158" s="382">
        <v>0</v>
      </c>
      <c r="Z158" s="382">
        <v>2</v>
      </c>
      <c r="AA158" s="382">
        <v>33</v>
      </c>
      <c r="AB158" s="382">
        <v>13</v>
      </c>
      <c r="AC158" s="382">
        <v>34</v>
      </c>
      <c r="AD158" s="386">
        <v>8137</v>
      </c>
      <c r="AE158" s="386">
        <v>49</v>
      </c>
      <c r="AF158" s="386">
        <v>79</v>
      </c>
      <c r="AG158" s="386">
        <v>128</v>
      </c>
    </row>
    <row r="159" spans="1:33" x14ac:dyDescent="0.25">
      <c r="A159" s="381" t="s">
        <v>378</v>
      </c>
      <c r="B159" s="387" t="s">
        <v>379</v>
      </c>
      <c r="C159" s="383">
        <v>1006</v>
      </c>
      <c r="D159" s="383">
        <v>0</v>
      </c>
      <c r="E159" s="383">
        <v>154</v>
      </c>
      <c r="F159" s="383">
        <v>427</v>
      </c>
      <c r="G159" s="383">
        <v>246</v>
      </c>
      <c r="H159" s="383">
        <v>1833</v>
      </c>
      <c r="I159" s="382">
        <v>1587</v>
      </c>
      <c r="J159" s="382">
        <v>0</v>
      </c>
      <c r="K159" s="384">
        <v>96.3</v>
      </c>
      <c r="L159" s="384">
        <v>98.16</v>
      </c>
      <c r="M159" s="384">
        <v>7.93</v>
      </c>
      <c r="N159" s="384">
        <v>103.06</v>
      </c>
      <c r="O159" s="385">
        <v>865</v>
      </c>
      <c r="P159" s="382">
        <v>82.25</v>
      </c>
      <c r="Q159" s="382">
        <v>81.25</v>
      </c>
      <c r="R159" s="382">
        <v>39.200000000000003</v>
      </c>
      <c r="S159" s="382">
        <v>120.79</v>
      </c>
      <c r="T159" s="382">
        <v>295</v>
      </c>
      <c r="U159" s="382">
        <v>152.91</v>
      </c>
      <c r="V159" s="382">
        <v>118</v>
      </c>
      <c r="W159" s="382">
        <v>134.29</v>
      </c>
      <c r="X159" s="382">
        <v>9</v>
      </c>
      <c r="Y159" s="382">
        <v>0</v>
      </c>
      <c r="Z159" s="382">
        <v>0</v>
      </c>
      <c r="AA159" s="382">
        <v>0</v>
      </c>
      <c r="AB159" s="382">
        <v>8</v>
      </c>
      <c r="AC159" s="382">
        <v>3</v>
      </c>
      <c r="AD159" s="386">
        <v>994</v>
      </c>
      <c r="AE159" s="386">
        <v>8</v>
      </c>
      <c r="AF159" s="386">
        <v>1</v>
      </c>
      <c r="AG159" s="386">
        <v>9</v>
      </c>
    </row>
    <row r="160" spans="1:33" x14ac:dyDescent="0.25">
      <c r="A160" s="381" t="s">
        <v>380</v>
      </c>
      <c r="B160" s="387" t="s">
        <v>381</v>
      </c>
      <c r="C160" s="383">
        <v>20796</v>
      </c>
      <c r="D160" s="383">
        <v>194</v>
      </c>
      <c r="E160" s="383">
        <v>1223</v>
      </c>
      <c r="F160" s="383">
        <v>651</v>
      </c>
      <c r="G160" s="383">
        <v>1595</v>
      </c>
      <c r="H160" s="383">
        <v>24459</v>
      </c>
      <c r="I160" s="382">
        <v>22864</v>
      </c>
      <c r="J160" s="382">
        <v>6</v>
      </c>
      <c r="K160" s="384">
        <v>111.79</v>
      </c>
      <c r="L160" s="384">
        <v>115.03</v>
      </c>
      <c r="M160" s="384">
        <v>8.34</v>
      </c>
      <c r="N160" s="384">
        <v>116.63</v>
      </c>
      <c r="O160" s="385">
        <v>18506</v>
      </c>
      <c r="P160" s="382">
        <v>103.27</v>
      </c>
      <c r="Q160" s="382">
        <v>105.29</v>
      </c>
      <c r="R160" s="382">
        <v>49.95</v>
      </c>
      <c r="S160" s="382">
        <v>148.29</v>
      </c>
      <c r="T160" s="382">
        <v>1631</v>
      </c>
      <c r="U160" s="382">
        <v>167.07</v>
      </c>
      <c r="V160" s="382">
        <v>1131</v>
      </c>
      <c r="W160" s="382">
        <v>270.57</v>
      </c>
      <c r="X160" s="382">
        <v>56</v>
      </c>
      <c r="Y160" s="382">
        <v>0</v>
      </c>
      <c r="Z160" s="382">
        <v>57</v>
      </c>
      <c r="AA160" s="382">
        <v>40</v>
      </c>
      <c r="AB160" s="382">
        <v>223</v>
      </c>
      <c r="AC160" s="382">
        <v>59</v>
      </c>
      <c r="AD160" s="386">
        <v>19866</v>
      </c>
      <c r="AE160" s="386">
        <v>89</v>
      </c>
      <c r="AF160" s="386">
        <v>48</v>
      </c>
      <c r="AG160" s="386">
        <v>137</v>
      </c>
    </row>
    <row r="161" spans="1:33" x14ac:dyDescent="0.25">
      <c r="A161" s="381" t="s">
        <v>382</v>
      </c>
      <c r="B161" s="387" t="s">
        <v>383</v>
      </c>
      <c r="C161" s="383">
        <v>5303</v>
      </c>
      <c r="D161" s="383">
        <v>17</v>
      </c>
      <c r="E161" s="383">
        <v>131</v>
      </c>
      <c r="F161" s="383">
        <v>272</v>
      </c>
      <c r="G161" s="383">
        <v>200</v>
      </c>
      <c r="H161" s="383">
        <v>5923</v>
      </c>
      <c r="I161" s="382">
        <v>5723</v>
      </c>
      <c r="J161" s="382">
        <v>3</v>
      </c>
      <c r="K161" s="384">
        <v>90.23</v>
      </c>
      <c r="L161" s="384">
        <v>86.98</v>
      </c>
      <c r="M161" s="384">
        <v>2.88</v>
      </c>
      <c r="N161" s="384">
        <v>91.7</v>
      </c>
      <c r="O161" s="385">
        <v>4964</v>
      </c>
      <c r="P161" s="382">
        <v>93.58</v>
      </c>
      <c r="Q161" s="382">
        <v>91.43</v>
      </c>
      <c r="R161" s="382">
        <v>42.49</v>
      </c>
      <c r="S161" s="382">
        <v>109.61</v>
      </c>
      <c r="T161" s="382">
        <v>403</v>
      </c>
      <c r="U161" s="382">
        <v>110.67</v>
      </c>
      <c r="V161" s="382">
        <v>331</v>
      </c>
      <c r="W161" s="382">
        <v>0</v>
      </c>
      <c r="X161" s="382">
        <v>0</v>
      </c>
      <c r="Y161" s="382">
        <v>0</v>
      </c>
      <c r="Z161" s="382">
        <v>15</v>
      </c>
      <c r="AA161" s="382">
        <v>10</v>
      </c>
      <c r="AB161" s="382">
        <v>6</v>
      </c>
      <c r="AC161" s="382">
        <v>9</v>
      </c>
      <c r="AD161" s="386">
        <v>5301</v>
      </c>
      <c r="AE161" s="386">
        <v>14</v>
      </c>
      <c r="AF161" s="386">
        <v>13</v>
      </c>
      <c r="AG161" s="386">
        <v>27</v>
      </c>
    </row>
    <row r="162" spans="1:33" x14ac:dyDescent="0.25">
      <c r="A162" s="381" t="s">
        <v>384</v>
      </c>
      <c r="B162" s="387" t="s">
        <v>385</v>
      </c>
      <c r="C162" s="383">
        <v>1252</v>
      </c>
      <c r="D162" s="383">
        <v>0</v>
      </c>
      <c r="E162" s="383">
        <v>433</v>
      </c>
      <c r="F162" s="383">
        <v>182</v>
      </c>
      <c r="G162" s="383">
        <v>212</v>
      </c>
      <c r="H162" s="383">
        <v>2079</v>
      </c>
      <c r="I162" s="382">
        <v>1867</v>
      </c>
      <c r="J162" s="382">
        <v>16</v>
      </c>
      <c r="K162" s="384">
        <v>82</v>
      </c>
      <c r="L162" s="384">
        <v>80.98</v>
      </c>
      <c r="M162" s="384">
        <v>6.65</v>
      </c>
      <c r="N162" s="384">
        <v>87.64</v>
      </c>
      <c r="O162" s="385">
        <v>978</v>
      </c>
      <c r="P162" s="382">
        <v>89.56</v>
      </c>
      <c r="Q162" s="382">
        <v>83.62</v>
      </c>
      <c r="R162" s="382">
        <v>52.8</v>
      </c>
      <c r="S162" s="382">
        <v>142.35</v>
      </c>
      <c r="T162" s="382">
        <v>199</v>
      </c>
      <c r="U162" s="382">
        <v>97.7</v>
      </c>
      <c r="V162" s="382">
        <v>101</v>
      </c>
      <c r="W162" s="382">
        <v>239.38</v>
      </c>
      <c r="X162" s="382">
        <v>16</v>
      </c>
      <c r="Y162" s="382">
        <v>94</v>
      </c>
      <c r="Z162" s="382">
        <v>0</v>
      </c>
      <c r="AA162" s="382">
        <v>4</v>
      </c>
      <c r="AB162" s="382">
        <v>8</v>
      </c>
      <c r="AC162" s="382">
        <v>7</v>
      </c>
      <c r="AD162" s="386">
        <v>1223</v>
      </c>
      <c r="AE162" s="386">
        <v>6</v>
      </c>
      <c r="AF162" s="386">
        <v>2</v>
      </c>
      <c r="AG162" s="386">
        <v>8</v>
      </c>
    </row>
    <row r="163" spans="1:33" x14ac:dyDescent="0.25">
      <c r="A163" s="381" t="s">
        <v>386</v>
      </c>
      <c r="B163" s="387" t="s">
        <v>387</v>
      </c>
      <c r="C163" s="383">
        <v>52470</v>
      </c>
      <c r="D163" s="383">
        <v>1</v>
      </c>
      <c r="E163" s="383">
        <v>2182</v>
      </c>
      <c r="F163" s="383">
        <v>3958</v>
      </c>
      <c r="G163" s="383">
        <v>747</v>
      </c>
      <c r="H163" s="383">
        <v>59358</v>
      </c>
      <c r="I163" s="382">
        <v>58611</v>
      </c>
      <c r="J163" s="382">
        <v>103</v>
      </c>
      <c r="K163" s="384">
        <v>85.64</v>
      </c>
      <c r="L163" s="384">
        <v>86.47</v>
      </c>
      <c r="M163" s="384">
        <v>8.01</v>
      </c>
      <c r="N163" s="384">
        <v>87.82</v>
      </c>
      <c r="O163" s="385">
        <v>45979</v>
      </c>
      <c r="P163" s="382">
        <v>83.29</v>
      </c>
      <c r="Q163" s="382">
        <v>81.14</v>
      </c>
      <c r="R163" s="382">
        <v>41.65</v>
      </c>
      <c r="S163" s="382">
        <v>123.69</v>
      </c>
      <c r="T163" s="382">
        <v>5319</v>
      </c>
      <c r="U163" s="382">
        <v>103.08</v>
      </c>
      <c r="V163" s="382">
        <v>3918</v>
      </c>
      <c r="W163" s="382">
        <v>152.22</v>
      </c>
      <c r="X163" s="382">
        <v>28</v>
      </c>
      <c r="Y163" s="382">
        <v>105</v>
      </c>
      <c r="Z163" s="382">
        <v>169</v>
      </c>
      <c r="AA163" s="382">
        <v>190</v>
      </c>
      <c r="AB163" s="382">
        <v>60</v>
      </c>
      <c r="AC163" s="382">
        <v>20</v>
      </c>
      <c r="AD163" s="386">
        <v>50046</v>
      </c>
      <c r="AE163" s="386">
        <v>308</v>
      </c>
      <c r="AF163" s="386">
        <v>476</v>
      </c>
      <c r="AG163" s="386">
        <v>784</v>
      </c>
    </row>
    <row r="164" spans="1:33" x14ac:dyDescent="0.25">
      <c r="A164" s="381" t="s">
        <v>388</v>
      </c>
      <c r="B164" s="387" t="s">
        <v>389</v>
      </c>
      <c r="C164" s="383">
        <v>3557</v>
      </c>
      <c r="D164" s="383">
        <v>0</v>
      </c>
      <c r="E164" s="383">
        <v>292</v>
      </c>
      <c r="F164" s="383">
        <v>356</v>
      </c>
      <c r="G164" s="383">
        <v>337</v>
      </c>
      <c r="H164" s="383">
        <v>4542</v>
      </c>
      <c r="I164" s="382">
        <v>4205</v>
      </c>
      <c r="J164" s="382">
        <v>4</v>
      </c>
      <c r="K164" s="384">
        <v>103.96</v>
      </c>
      <c r="L164" s="384">
        <v>101.78</v>
      </c>
      <c r="M164" s="384">
        <v>6.2</v>
      </c>
      <c r="N164" s="384">
        <v>108.42</v>
      </c>
      <c r="O164" s="385">
        <v>2857</v>
      </c>
      <c r="P164" s="382">
        <v>100.59</v>
      </c>
      <c r="Q164" s="382">
        <v>98.53</v>
      </c>
      <c r="R164" s="382">
        <v>34.69</v>
      </c>
      <c r="S164" s="382">
        <v>133.53</v>
      </c>
      <c r="T164" s="382">
        <v>417</v>
      </c>
      <c r="U164" s="382">
        <v>130.22</v>
      </c>
      <c r="V164" s="382">
        <v>277</v>
      </c>
      <c r="W164" s="382">
        <v>0</v>
      </c>
      <c r="X164" s="382">
        <v>0</v>
      </c>
      <c r="Y164" s="382">
        <v>10</v>
      </c>
      <c r="Z164" s="382">
        <v>0</v>
      </c>
      <c r="AA164" s="382">
        <v>1</v>
      </c>
      <c r="AB164" s="382">
        <v>23</v>
      </c>
      <c r="AC164" s="382">
        <v>24</v>
      </c>
      <c r="AD164" s="386">
        <v>3230</v>
      </c>
      <c r="AE164" s="386">
        <v>12</v>
      </c>
      <c r="AF164" s="386">
        <v>2</v>
      </c>
      <c r="AG164" s="386">
        <v>14</v>
      </c>
    </row>
    <row r="165" spans="1:33" x14ac:dyDescent="0.25">
      <c r="A165" s="381" t="s">
        <v>390</v>
      </c>
      <c r="B165" s="387" t="s">
        <v>391</v>
      </c>
      <c r="C165" s="383">
        <v>7431</v>
      </c>
      <c r="D165" s="383">
        <v>0</v>
      </c>
      <c r="E165" s="383">
        <v>243</v>
      </c>
      <c r="F165" s="383">
        <v>1136</v>
      </c>
      <c r="G165" s="383">
        <v>694</v>
      </c>
      <c r="H165" s="383">
        <v>9504</v>
      </c>
      <c r="I165" s="382">
        <v>8810</v>
      </c>
      <c r="J165" s="382">
        <v>1</v>
      </c>
      <c r="K165" s="384">
        <v>97.73</v>
      </c>
      <c r="L165" s="384">
        <v>96.56</v>
      </c>
      <c r="M165" s="384">
        <v>4.6900000000000004</v>
      </c>
      <c r="N165" s="384">
        <v>101.3</v>
      </c>
      <c r="O165" s="385">
        <v>6140</v>
      </c>
      <c r="P165" s="382">
        <v>86.94</v>
      </c>
      <c r="Q165" s="382">
        <v>92.86</v>
      </c>
      <c r="R165" s="382">
        <v>14.51</v>
      </c>
      <c r="S165" s="382">
        <v>100.47</v>
      </c>
      <c r="T165" s="382">
        <v>1235</v>
      </c>
      <c r="U165" s="382">
        <v>156.1</v>
      </c>
      <c r="V165" s="382">
        <v>916</v>
      </c>
      <c r="W165" s="382">
        <v>218.43</v>
      </c>
      <c r="X165" s="382">
        <v>57</v>
      </c>
      <c r="Y165" s="382">
        <v>33</v>
      </c>
      <c r="Z165" s="382">
        <v>34</v>
      </c>
      <c r="AA165" s="382">
        <v>2</v>
      </c>
      <c r="AB165" s="382">
        <v>18</v>
      </c>
      <c r="AC165" s="382">
        <v>30</v>
      </c>
      <c r="AD165" s="386">
        <v>7118</v>
      </c>
      <c r="AE165" s="386">
        <v>35</v>
      </c>
      <c r="AF165" s="386">
        <v>49</v>
      </c>
      <c r="AG165" s="386">
        <v>84</v>
      </c>
    </row>
    <row r="166" spans="1:33" x14ac:dyDescent="0.25">
      <c r="A166" s="381" t="s">
        <v>392</v>
      </c>
      <c r="B166" s="387" t="s">
        <v>393</v>
      </c>
      <c r="C166" s="383">
        <v>2155</v>
      </c>
      <c r="D166" s="383">
        <v>0</v>
      </c>
      <c r="E166" s="383">
        <v>28</v>
      </c>
      <c r="F166" s="383">
        <v>811</v>
      </c>
      <c r="G166" s="383">
        <v>51</v>
      </c>
      <c r="H166" s="383">
        <v>3045</v>
      </c>
      <c r="I166" s="382">
        <v>2994</v>
      </c>
      <c r="J166" s="382">
        <v>0</v>
      </c>
      <c r="K166" s="384">
        <v>105.59</v>
      </c>
      <c r="L166" s="384">
        <v>104.57</v>
      </c>
      <c r="M166" s="384">
        <v>4.6900000000000004</v>
      </c>
      <c r="N166" s="384">
        <v>108.64</v>
      </c>
      <c r="O166" s="385">
        <v>1960</v>
      </c>
      <c r="P166" s="382">
        <v>87.63</v>
      </c>
      <c r="Q166" s="382">
        <v>87.03</v>
      </c>
      <c r="R166" s="382">
        <v>12.47</v>
      </c>
      <c r="S166" s="382">
        <v>100.01</v>
      </c>
      <c r="T166" s="382">
        <v>765</v>
      </c>
      <c r="U166" s="382">
        <v>134.65</v>
      </c>
      <c r="V166" s="382">
        <v>187</v>
      </c>
      <c r="W166" s="382">
        <v>116.23</v>
      </c>
      <c r="X166" s="382">
        <v>1</v>
      </c>
      <c r="Y166" s="382">
        <v>0</v>
      </c>
      <c r="Z166" s="382">
        <v>2</v>
      </c>
      <c r="AA166" s="382">
        <v>3</v>
      </c>
      <c r="AB166" s="382">
        <v>0</v>
      </c>
      <c r="AC166" s="382">
        <v>3</v>
      </c>
      <c r="AD166" s="386">
        <v>2155</v>
      </c>
      <c r="AE166" s="386">
        <v>11</v>
      </c>
      <c r="AF166" s="386">
        <v>8</v>
      </c>
      <c r="AG166" s="386">
        <v>19</v>
      </c>
    </row>
    <row r="167" spans="1:33" x14ac:dyDescent="0.25">
      <c r="A167" s="381" t="s">
        <v>394</v>
      </c>
      <c r="B167" s="387" t="s">
        <v>395</v>
      </c>
      <c r="C167" s="383">
        <v>3933</v>
      </c>
      <c r="D167" s="383">
        <v>0</v>
      </c>
      <c r="E167" s="383">
        <v>66</v>
      </c>
      <c r="F167" s="383">
        <v>681</v>
      </c>
      <c r="G167" s="383">
        <v>314</v>
      </c>
      <c r="H167" s="383">
        <v>4994</v>
      </c>
      <c r="I167" s="382">
        <v>4680</v>
      </c>
      <c r="J167" s="382">
        <v>0</v>
      </c>
      <c r="K167" s="384">
        <v>98.78</v>
      </c>
      <c r="L167" s="384">
        <v>99.02</v>
      </c>
      <c r="M167" s="384">
        <v>3.43</v>
      </c>
      <c r="N167" s="384">
        <v>101.87</v>
      </c>
      <c r="O167" s="385">
        <v>3680</v>
      </c>
      <c r="P167" s="382">
        <v>89.51</v>
      </c>
      <c r="Q167" s="382">
        <v>91.15</v>
      </c>
      <c r="R167" s="382">
        <v>23.45</v>
      </c>
      <c r="S167" s="382">
        <v>112.83</v>
      </c>
      <c r="T167" s="382">
        <v>699</v>
      </c>
      <c r="U167" s="382">
        <v>115.11</v>
      </c>
      <c r="V167" s="382">
        <v>179</v>
      </c>
      <c r="W167" s="382">
        <v>159.49</v>
      </c>
      <c r="X167" s="382">
        <v>45</v>
      </c>
      <c r="Y167" s="382">
        <v>0</v>
      </c>
      <c r="Z167" s="382">
        <v>5</v>
      </c>
      <c r="AA167" s="382">
        <v>0</v>
      </c>
      <c r="AB167" s="382">
        <v>13</v>
      </c>
      <c r="AC167" s="382">
        <v>7</v>
      </c>
      <c r="AD167" s="386">
        <v>3932</v>
      </c>
      <c r="AE167" s="386">
        <v>31</v>
      </c>
      <c r="AF167" s="386">
        <v>17</v>
      </c>
      <c r="AG167" s="386">
        <v>48</v>
      </c>
    </row>
    <row r="168" spans="1:33" x14ac:dyDescent="0.25">
      <c r="A168" s="381" t="s">
        <v>396</v>
      </c>
      <c r="B168" s="387" t="s">
        <v>397</v>
      </c>
      <c r="C168" s="383">
        <v>46708</v>
      </c>
      <c r="D168" s="383">
        <v>62</v>
      </c>
      <c r="E168" s="383">
        <v>1541</v>
      </c>
      <c r="F168" s="383">
        <v>3235</v>
      </c>
      <c r="G168" s="383">
        <v>1313</v>
      </c>
      <c r="H168" s="383">
        <v>52859</v>
      </c>
      <c r="I168" s="382">
        <v>51546</v>
      </c>
      <c r="J168" s="382">
        <v>144</v>
      </c>
      <c r="K168" s="384">
        <v>82.87</v>
      </c>
      <c r="L168" s="384">
        <v>83.66</v>
      </c>
      <c r="M168" s="384">
        <v>4.74</v>
      </c>
      <c r="N168" s="384">
        <v>84.56</v>
      </c>
      <c r="O168" s="385">
        <v>43057</v>
      </c>
      <c r="P168" s="382">
        <v>80.81</v>
      </c>
      <c r="Q168" s="382">
        <v>75.33</v>
      </c>
      <c r="R168" s="382">
        <v>42.57</v>
      </c>
      <c r="S168" s="382">
        <v>120.92</v>
      </c>
      <c r="T168" s="382">
        <v>4133</v>
      </c>
      <c r="U168" s="382">
        <v>107.11</v>
      </c>
      <c r="V168" s="382">
        <v>1923</v>
      </c>
      <c r="W168" s="382">
        <v>0</v>
      </c>
      <c r="X168" s="382">
        <v>0</v>
      </c>
      <c r="Y168" s="382">
        <v>10</v>
      </c>
      <c r="Z168" s="382">
        <v>251</v>
      </c>
      <c r="AA168" s="382">
        <v>115</v>
      </c>
      <c r="AB168" s="382">
        <v>76</v>
      </c>
      <c r="AC168" s="382">
        <v>45</v>
      </c>
      <c r="AD168" s="386">
        <v>45028</v>
      </c>
      <c r="AE168" s="386">
        <v>121</v>
      </c>
      <c r="AF168" s="386">
        <v>194</v>
      </c>
      <c r="AG168" s="386">
        <v>315</v>
      </c>
    </row>
    <row r="169" spans="1:33" x14ac:dyDescent="0.25">
      <c r="A169" s="381" t="s">
        <v>398</v>
      </c>
      <c r="B169" s="387" t="s">
        <v>399</v>
      </c>
      <c r="C169" s="383">
        <v>1730</v>
      </c>
      <c r="D169" s="383">
        <v>0</v>
      </c>
      <c r="E169" s="383">
        <v>383</v>
      </c>
      <c r="F169" s="383">
        <v>248</v>
      </c>
      <c r="G169" s="383">
        <v>139</v>
      </c>
      <c r="H169" s="383">
        <v>2500</v>
      </c>
      <c r="I169" s="382">
        <v>2361</v>
      </c>
      <c r="J169" s="382">
        <v>5</v>
      </c>
      <c r="K169" s="384">
        <v>83.62</v>
      </c>
      <c r="L169" s="384">
        <v>81.739999999999995</v>
      </c>
      <c r="M169" s="384">
        <v>5.81</v>
      </c>
      <c r="N169" s="384">
        <v>86.38</v>
      </c>
      <c r="O169" s="385">
        <v>1690</v>
      </c>
      <c r="P169" s="382">
        <v>100.15</v>
      </c>
      <c r="Q169" s="382">
        <v>72.849999999999994</v>
      </c>
      <c r="R169" s="382">
        <v>53.34</v>
      </c>
      <c r="S169" s="382">
        <v>150.96</v>
      </c>
      <c r="T169" s="382">
        <v>316</v>
      </c>
      <c r="U169" s="382">
        <v>93.67</v>
      </c>
      <c r="V169" s="382">
        <v>32</v>
      </c>
      <c r="W169" s="382">
        <v>0</v>
      </c>
      <c r="X169" s="382">
        <v>0</v>
      </c>
      <c r="Y169" s="382">
        <v>0</v>
      </c>
      <c r="Z169" s="382">
        <v>0</v>
      </c>
      <c r="AA169" s="382">
        <v>16</v>
      </c>
      <c r="AB169" s="382">
        <v>13</v>
      </c>
      <c r="AC169" s="382">
        <v>1</v>
      </c>
      <c r="AD169" s="386">
        <v>1730</v>
      </c>
      <c r="AE169" s="386">
        <v>13</v>
      </c>
      <c r="AF169" s="386">
        <v>18</v>
      </c>
      <c r="AG169" s="386">
        <v>31</v>
      </c>
    </row>
    <row r="170" spans="1:33" x14ac:dyDescent="0.25">
      <c r="A170" s="381" t="s">
        <v>400</v>
      </c>
      <c r="B170" s="387" t="s">
        <v>401</v>
      </c>
      <c r="C170" s="383">
        <v>3832</v>
      </c>
      <c r="D170" s="383">
        <v>0</v>
      </c>
      <c r="E170" s="383">
        <v>290</v>
      </c>
      <c r="F170" s="383">
        <v>784</v>
      </c>
      <c r="G170" s="383">
        <v>1129</v>
      </c>
      <c r="H170" s="383">
        <v>6035</v>
      </c>
      <c r="I170" s="382">
        <v>4906</v>
      </c>
      <c r="J170" s="382">
        <v>1</v>
      </c>
      <c r="K170" s="384">
        <v>102.8</v>
      </c>
      <c r="L170" s="384">
        <v>101.36</v>
      </c>
      <c r="M170" s="384">
        <v>6.83</v>
      </c>
      <c r="N170" s="384">
        <v>108.11</v>
      </c>
      <c r="O170" s="385">
        <v>2891</v>
      </c>
      <c r="P170" s="382">
        <v>87.63</v>
      </c>
      <c r="Q170" s="382">
        <v>85.11</v>
      </c>
      <c r="R170" s="382">
        <v>35.29</v>
      </c>
      <c r="S170" s="382">
        <v>118.44</v>
      </c>
      <c r="T170" s="382">
        <v>907</v>
      </c>
      <c r="U170" s="382">
        <v>128.85</v>
      </c>
      <c r="V170" s="382">
        <v>553</v>
      </c>
      <c r="W170" s="382">
        <v>161.72</v>
      </c>
      <c r="X170" s="382">
        <v>61</v>
      </c>
      <c r="Y170" s="382">
        <v>49</v>
      </c>
      <c r="Z170" s="382">
        <v>9</v>
      </c>
      <c r="AA170" s="382">
        <v>7</v>
      </c>
      <c r="AB170" s="382">
        <v>30</v>
      </c>
      <c r="AC170" s="382">
        <v>25</v>
      </c>
      <c r="AD170" s="386">
        <v>3496</v>
      </c>
      <c r="AE170" s="386">
        <v>15</v>
      </c>
      <c r="AF170" s="386">
        <v>9</v>
      </c>
      <c r="AG170" s="386">
        <v>24</v>
      </c>
    </row>
    <row r="171" spans="1:33" x14ac:dyDescent="0.25">
      <c r="A171" s="381" t="s">
        <v>402</v>
      </c>
      <c r="B171" s="387" t="s">
        <v>403</v>
      </c>
      <c r="C171" s="383">
        <v>503</v>
      </c>
      <c r="D171" s="383">
        <v>0</v>
      </c>
      <c r="E171" s="383">
        <v>66</v>
      </c>
      <c r="F171" s="383">
        <v>77</v>
      </c>
      <c r="G171" s="383">
        <v>149</v>
      </c>
      <c r="H171" s="383">
        <v>795</v>
      </c>
      <c r="I171" s="382">
        <v>646</v>
      </c>
      <c r="J171" s="382">
        <v>3</v>
      </c>
      <c r="K171" s="384">
        <v>93.17</v>
      </c>
      <c r="L171" s="384">
        <v>91</v>
      </c>
      <c r="M171" s="384">
        <v>2.89</v>
      </c>
      <c r="N171" s="384">
        <v>95.31</v>
      </c>
      <c r="O171" s="385">
        <v>420</v>
      </c>
      <c r="P171" s="382">
        <v>79.14</v>
      </c>
      <c r="Q171" s="382">
        <v>77.97</v>
      </c>
      <c r="R171" s="382">
        <v>57.33</v>
      </c>
      <c r="S171" s="382">
        <v>136.47</v>
      </c>
      <c r="T171" s="382">
        <v>143</v>
      </c>
      <c r="U171" s="382">
        <v>102.73</v>
      </c>
      <c r="V171" s="382">
        <v>58</v>
      </c>
      <c r="W171" s="382">
        <v>0</v>
      </c>
      <c r="X171" s="382">
        <v>0</v>
      </c>
      <c r="Y171" s="382">
        <v>0</v>
      </c>
      <c r="Z171" s="382">
        <v>0</v>
      </c>
      <c r="AA171" s="382">
        <v>0</v>
      </c>
      <c r="AB171" s="382">
        <v>0</v>
      </c>
      <c r="AC171" s="382">
        <v>3</v>
      </c>
      <c r="AD171" s="386">
        <v>502</v>
      </c>
      <c r="AE171" s="386">
        <v>5</v>
      </c>
      <c r="AF171" s="386">
        <v>2</v>
      </c>
      <c r="AG171" s="386">
        <v>7</v>
      </c>
    </row>
    <row r="172" spans="1:33" x14ac:dyDescent="0.25">
      <c r="A172" s="381" t="s">
        <v>404</v>
      </c>
      <c r="B172" s="387" t="s">
        <v>405</v>
      </c>
      <c r="C172" s="383">
        <v>5008</v>
      </c>
      <c r="D172" s="383">
        <v>0</v>
      </c>
      <c r="E172" s="383">
        <v>293</v>
      </c>
      <c r="F172" s="383">
        <v>1029</v>
      </c>
      <c r="G172" s="383">
        <v>361</v>
      </c>
      <c r="H172" s="383">
        <v>6691</v>
      </c>
      <c r="I172" s="382">
        <v>6330</v>
      </c>
      <c r="J172" s="382">
        <v>0</v>
      </c>
      <c r="K172" s="384">
        <v>95.37</v>
      </c>
      <c r="L172" s="384">
        <v>94.77</v>
      </c>
      <c r="M172" s="384">
        <v>4.41</v>
      </c>
      <c r="N172" s="384">
        <v>97.05</v>
      </c>
      <c r="O172" s="385">
        <v>4159</v>
      </c>
      <c r="P172" s="382">
        <v>85.18</v>
      </c>
      <c r="Q172" s="382">
        <v>82.03</v>
      </c>
      <c r="R172" s="382">
        <v>20.52</v>
      </c>
      <c r="S172" s="382">
        <v>105.37</v>
      </c>
      <c r="T172" s="382">
        <v>1181</v>
      </c>
      <c r="U172" s="382">
        <v>115.87</v>
      </c>
      <c r="V172" s="382">
        <v>683</v>
      </c>
      <c r="W172" s="382">
        <v>113.42</v>
      </c>
      <c r="X172" s="382">
        <v>33</v>
      </c>
      <c r="Y172" s="382">
        <v>0</v>
      </c>
      <c r="Z172" s="382">
        <v>12</v>
      </c>
      <c r="AA172" s="382">
        <v>11</v>
      </c>
      <c r="AB172" s="382">
        <v>47</v>
      </c>
      <c r="AC172" s="382">
        <v>5</v>
      </c>
      <c r="AD172" s="386">
        <v>4845</v>
      </c>
      <c r="AE172" s="386">
        <v>15</v>
      </c>
      <c r="AF172" s="386">
        <v>7</v>
      </c>
      <c r="AG172" s="386">
        <v>22</v>
      </c>
    </row>
    <row r="173" spans="1:33" x14ac:dyDescent="0.25">
      <c r="A173" s="381" t="s">
        <v>406</v>
      </c>
      <c r="B173" s="387" t="s">
        <v>407</v>
      </c>
      <c r="C173" s="383">
        <v>10082</v>
      </c>
      <c r="D173" s="383">
        <v>6</v>
      </c>
      <c r="E173" s="383">
        <v>453</v>
      </c>
      <c r="F173" s="383">
        <v>808</v>
      </c>
      <c r="G173" s="383">
        <v>706</v>
      </c>
      <c r="H173" s="383">
        <v>12055</v>
      </c>
      <c r="I173" s="382">
        <v>11349</v>
      </c>
      <c r="J173" s="382">
        <v>172</v>
      </c>
      <c r="K173" s="384">
        <v>116.11</v>
      </c>
      <c r="L173" s="384">
        <v>117.87</v>
      </c>
      <c r="M173" s="384">
        <v>7.05</v>
      </c>
      <c r="N173" s="384">
        <v>121.92</v>
      </c>
      <c r="O173" s="385">
        <v>8978</v>
      </c>
      <c r="P173" s="382">
        <v>107.47</v>
      </c>
      <c r="Q173" s="382">
        <v>104.1</v>
      </c>
      <c r="R173" s="382">
        <v>30.65</v>
      </c>
      <c r="S173" s="382">
        <v>137.5</v>
      </c>
      <c r="T173" s="382">
        <v>930</v>
      </c>
      <c r="U173" s="382">
        <v>147.86000000000001</v>
      </c>
      <c r="V173" s="382">
        <v>955</v>
      </c>
      <c r="W173" s="382">
        <v>235.26</v>
      </c>
      <c r="X173" s="382">
        <v>56</v>
      </c>
      <c r="Y173" s="382">
        <v>82</v>
      </c>
      <c r="Z173" s="382">
        <v>49</v>
      </c>
      <c r="AA173" s="382">
        <v>31</v>
      </c>
      <c r="AB173" s="382">
        <v>25</v>
      </c>
      <c r="AC173" s="382">
        <v>44</v>
      </c>
      <c r="AD173" s="386">
        <v>10036</v>
      </c>
      <c r="AE173" s="386">
        <v>16</v>
      </c>
      <c r="AF173" s="386">
        <v>18</v>
      </c>
      <c r="AG173" s="386">
        <v>34</v>
      </c>
    </row>
    <row r="174" spans="1:33" x14ac:dyDescent="0.25">
      <c r="A174" s="381" t="s">
        <v>408</v>
      </c>
      <c r="B174" s="387" t="s">
        <v>409</v>
      </c>
      <c r="C174" s="383">
        <v>964</v>
      </c>
      <c r="D174" s="383">
        <v>0</v>
      </c>
      <c r="E174" s="383">
        <v>26</v>
      </c>
      <c r="F174" s="383">
        <v>285</v>
      </c>
      <c r="G174" s="383">
        <v>210</v>
      </c>
      <c r="H174" s="383">
        <v>1485</v>
      </c>
      <c r="I174" s="382">
        <v>1275</v>
      </c>
      <c r="J174" s="382">
        <v>4</v>
      </c>
      <c r="K174" s="384">
        <v>89.58</v>
      </c>
      <c r="L174" s="384">
        <v>87.03</v>
      </c>
      <c r="M174" s="384">
        <v>6.48</v>
      </c>
      <c r="N174" s="384">
        <v>95.23</v>
      </c>
      <c r="O174" s="385">
        <v>741</v>
      </c>
      <c r="P174" s="382">
        <v>79.39</v>
      </c>
      <c r="Q174" s="382">
        <v>75.900000000000006</v>
      </c>
      <c r="R174" s="382">
        <v>39.35</v>
      </c>
      <c r="S174" s="382">
        <v>118.74</v>
      </c>
      <c r="T174" s="382">
        <v>156</v>
      </c>
      <c r="U174" s="382">
        <v>112.35</v>
      </c>
      <c r="V174" s="382">
        <v>95</v>
      </c>
      <c r="W174" s="382">
        <v>0</v>
      </c>
      <c r="X174" s="382">
        <v>0</v>
      </c>
      <c r="Y174" s="382">
        <v>24</v>
      </c>
      <c r="Z174" s="382">
        <v>0</v>
      </c>
      <c r="AA174" s="382">
        <v>2</v>
      </c>
      <c r="AB174" s="382">
        <v>1</v>
      </c>
      <c r="AC174" s="382">
        <v>10</v>
      </c>
      <c r="AD174" s="386">
        <v>838</v>
      </c>
      <c r="AE174" s="386">
        <v>12</v>
      </c>
      <c r="AF174" s="386">
        <v>9</v>
      </c>
      <c r="AG174" s="386">
        <v>21</v>
      </c>
    </row>
    <row r="175" spans="1:33" x14ac:dyDescent="0.25">
      <c r="A175" s="381" t="s">
        <v>410</v>
      </c>
      <c r="B175" s="387" t="s">
        <v>411</v>
      </c>
      <c r="C175" s="383">
        <v>1199</v>
      </c>
      <c r="D175" s="383">
        <v>0</v>
      </c>
      <c r="E175" s="383">
        <v>113</v>
      </c>
      <c r="F175" s="383">
        <v>210</v>
      </c>
      <c r="G175" s="383">
        <v>297</v>
      </c>
      <c r="H175" s="383">
        <v>1819</v>
      </c>
      <c r="I175" s="382">
        <v>1522</v>
      </c>
      <c r="J175" s="382">
        <v>16</v>
      </c>
      <c r="K175" s="384">
        <v>95.59</v>
      </c>
      <c r="L175" s="384">
        <v>94.29</v>
      </c>
      <c r="M175" s="384">
        <v>3.93</v>
      </c>
      <c r="N175" s="384">
        <v>98.25</v>
      </c>
      <c r="O175" s="385">
        <v>911</v>
      </c>
      <c r="P175" s="382">
        <v>85.56</v>
      </c>
      <c r="Q175" s="382">
        <v>79.86</v>
      </c>
      <c r="R175" s="382">
        <v>32.42</v>
      </c>
      <c r="S175" s="382">
        <v>117.53</v>
      </c>
      <c r="T175" s="382">
        <v>291</v>
      </c>
      <c r="U175" s="382">
        <v>111.98</v>
      </c>
      <c r="V175" s="382">
        <v>238</v>
      </c>
      <c r="W175" s="382">
        <v>131.63</v>
      </c>
      <c r="X175" s="382">
        <v>1</v>
      </c>
      <c r="Y175" s="382">
        <v>0</v>
      </c>
      <c r="Z175" s="382">
        <v>0</v>
      </c>
      <c r="AA175" s="382">
        <v>0</v>
      </c>
      <c r="AB175" s="382">
        <v>0</v>
      </c>
      <c r="AC175" s="382">
        <v>4</v>
      </c>
      <c r="AD175" s="386">
        <v>1194</v>
      </c>
      <c r="AE175" s="386">
        <v>1</v>
      </c>
      <c r="AF175" s="386">
        <v>2</v>
      </c>
      <c r="AG175" s="386">
        <v>3</v>
      </c>
    </row>
    <row r="176" spans="1:33" x14ac:dyDescent="0.25">
      <c r="A176" s="381" t="s">
        <v>412</v>
      </c>
      <c r="B176" s="387" t="s">
        <v>413</v>
      </c>
      <c r="C176" s="383">
        <v>5511</v>
      </c>
      <c r="D176" s="383">
        <v>3</v>
      </c>
      <c r="E176" s="383">
        <v>170</v>
      </c>
      <c r="F176" s="383">
        <v>744</v>
      </c>
      <c r="G176" s="383">
        <v>565</v>
      </c>
      <c r="H176" s="383">
        <v>6993</v>
      </c>
      <c r="I176" s="382">
        <v>6428</v>
      </c>
      <c r="J176" s="382">
        <v>7</v>
      </c>
      <c r="K176" s="384">
        <v>119.14</v>
      </c>
      <c r="L176" s="384">
        <v>119.37</v>
      </c>
      <c r="M176" s="384">
        <v>5.29</v>
      </c>
      <c r="N176" s="384">
        <v>122.61</v>
      </c>
      <c r="O176" s="385">
        <v>4160</v>
      </c>
      <c r="P176" s="382">
        <v>102.59</v>
      </c>
      <c r="Q176" s="382">
        <v>101.11</v>
      </c>
      <c r="R176" s="382">
        <v>35.76</v>
      </c>
      <c r="S176" s="382">
        <v>135.36000000000001</v>
      </c>
      <c r="T176" s="382">
        <v>825</v>
      </c>
      <c r="U176" s="382">
        <v>160.28</v>
      </c>
      <c r="V176" s="382">
        <v>1012</v>
      </c>
      <c r="W176" s="382">
        <v>242.05</v>
      </c>
      <c r="X176" s="382">
        <v>17</v>
      </c>
      <c r="Y176" s="382">
        <v>101</v>
      </c>
      <c r="Z176" s="382">
        <v>7</v>
      </c>
      <c r="AA176" s="382">
        <v>28</v>
      </c>
      <c r="AB176" s="382">
        <v>42</v>
      </c>
      <c r="AC176" s="382">
        <v>17</v>
      </c>
      <c r="AD176" s="386">
        <v>5214</v>
      </c>
      <c r="AE176" s="386">
        <v>74</v>
      </c>
      <c r="AF176" s="386">
        <v>40</v>
      </c>
      <c r="AG176" s="386">
        <v>114</v>
      </c>
    </row>
    <row r="177" spans="1:33" x14ac:dyDescent="0.25">
      <c r="A177" s="381" t="s">
        <v>414</v>
      </c>
      <c r="B177" s="387" t="s">
        <v>415</v>
      </c>
      <c r="C177" s="383">
        <v>12975</v>
      </c>
      <c r="D177" s="383">
        <v>4</v>
      </c>
      <c r="E177" s="383">
        <v>653</v>
      </c>
      <c r="F177" s="383">
        <v>1584</v>
      </c>
      <c r="G177" s="383">
        <v>268</v>
      </c>
      <c r="H177" s="383">
        <v>15484</v>
      </c>
      <c r="I177" s="382">
        <v>15216</v>
      </c>
      <c r="J177" s="382">
        <v>29</v>
      </c>
      <c r="K177" s="384">
        <v>87.75</v>
      </c>
      <c r="L177" s="384">
        <v>85.12</v>
      </c>
      <c r="M177" s="384">
        <v>7.87</v>
      </c>
      <c r="N177" s="384">
        <v>90.01</v>
      </c>
      <c r="O177" s="385">
        <v>12419</v>
      </c>
      <c r="P177" s="382">
        <v>86.14</v>
      </c>
      <c r="Q177" s="382">
        <v>82.12</v>
      </c>
      <c r="R177" s="382">
        <v>41.66</v>
      </c>
      <c r="S177" s="382">
        <v>118.66</v>
      </c>
      <c r="T177" s="382">
        <v>2132</v>
      </c>
      <c r="U177" s="382">
        <v>98.59</v>
      </c>
      <c r="V177" s="382">
        <v>382</v>
      </c>
      <c r="W177" s="382">
        <v>160.96</v>
      </c>
      <c r="X177" s="382">
        <v>86</v>
      </c>
      <c r="Y177" s="382">
        <v>10</v>
      </c>
      <c r="Z177" s="382">
        <v>56</v>
      </c>
      <c r="AA177" s="382">
        <v>13</v>
      </c>
      <c r="AB177" s="382">
        <v>10</v>
      </c>
      <c r="AC177" s="382">
        <v>4</v>
      </c>
      <c r="AD177" s="386">
        <v>12943</v>
      </c>
      <c r="AE177" s="386">
        <v>181</v>
      </c>
      <c r="AF177" s="386">
        <v>33</v>
      </c>
      <c r="AG177" s="386">
        <v>214</v>
      </c>
    </row>
    <row r="178" spans="1:33" x14ac:dyDescent="0.25">
      <c r="A178" s="381" t="s">
        <v>416</v>
      </c>
      <c r="B178" s="387" t="s">
        <v>417</v>
      </c>
      <c r="C178" s="383">
        <v>7777</v>
      </c>
      <c r="D178" s="383">
        <v>49</v>
      </c>
      <c r="E178" s="383">
        <v>459</v>
      </c>
      <c r="F178" s="383">
        <v>587</v>
      </c>
      <c r="G178" s="383">
        <v>4987</v>
      </c>
      <c r="H178" s="383">
        <v>13859</v>
      </c>
      <c r="I178" s="382">
        <v>8872</v>
      </c>
      <c r="J178" s="382">
        <v>0</v>
      </c>
      <c r="K178" s="384">
        <v>101.76</v>
      </c>
      <c r="L178" s="384">
        <v>100.88</v>
      </c>
      <c r="M178" s="384">
        <v>5.63</v>
      </c>
      <c r="N178" s="384">
        <v>105.46</v>
      </c>
      <c r="O178" s="385">
        <v>6172</v>
      </c>
      <c r="P178" s="382">
        <v>102.18</v>
      </c>
      <c r="Q178" s="382">
        <v>101.58</v>
      </c>
      <c r="R178" s="382">
        <v>35.200000000000003</v>
      </c>
      <c r="S178" s="382">
        <v>135.91</v>
      </c>
      <c r="T178" s="382">
        <v>890</v>
      </c>
      <c r="U178" s="382">
        <v>133.36000000000001</v>
      </c>
      <c r="V178" s="382">
        <v>721</v>
      </c>
      <c r="W178" s="382">
        <v>141.04</v>
      </c>
      <c r="X178" s="382">
        <v>5</v>
      </c>
      <c r="Y178" s="382">
        <v>0</v>
      </c>
      <c r="Z178" s="382">
        <v>3</v>
      </c>
      <c r="AA178" s="382">
        <v>15</v>
      </c>
      <c r="AB178" s="382">
        <v>115</v>
      </c>
      <c r="AC178" s="382">
        <v>91</v>
      </c>
      <c r="AD178" s="386">
        <v>7581</v>
      </c>
      <c r="AE178" s="386">
        <v>21</v>
      </c>
      <c r="AF178" s="386">
        <v>8</v>
      </c>
      <c r="AG178" s="386">
        <v>29</v>
      </c>
    </row>
    <row r="179" spans="1:33" x14ac:dyDescent="0.25">
      <c r="A179" s="381" t="s">
        <v>418</v>
      </c>
      <c r="B179" s="387" t="s">
        <v>419</v>
      </c>
      <c r="C179" s="383">
        <v>3498</v>
      </c>
      <c r="D179" s="383">
        <v>0</v>
      </c>
      <c r="E179" s="383">
        <v>203</v>
      </c>
      <c r="F179" s="383">
        <v>678</v>
      </c>
      <c r="G179" s="383">
        <v>296</v>
      </c>
      <c r="H179" s="383">
        <v>4675</v>
      </c>
      <c r="I179" s="382">
        <v>4379</v>
      </c>
      <c r="J179" s="382">
        <v>0</v>
      </c>
      <c r="K179" s="384">
        <v>114.73</v>
      </c>
      <c r="L179" s="384">
        <v>117.18</v>
      </c>
      <c r="M179" s="384">
        <v>3.07</v>
      </c>
      <c r="N179" s="384">
        <v>117.67</v>
      </c>
      <c r="O179" s="385">
        <v>2993</v>
      </c>
      <c r="P179" s="382">
        <v>97.3</v>
      </c>
      <c r="Q179" s="382">
        <v>94.37</v>
      </c>
      <c r="R179" s="382">
        <v>26.01</v>
      </c>
      <c r="S179" s="382">
        <v>123.24</v>
      </c>
      <c r="T179" s="382">
        <v>723</v>
      </c>
      <c r="U179" s="382">
        <v>152.94</v>
      </c>
      <c r="V179" s="382">
        <v>445</v>
      </c>
      <c r="W179" s="382">
        <v>0</v>
      </c>
      <c r="X179" s="382">
        <v>0</v>
      </c>
      <c r="Y179" s="382">
        <v>145</v>
      </c>
      <c r="Z179" s="382">
        <v>38</v>
      </c>
      <c r="AA179" s="382">
        <v>0</v>
      </c>
      <c r="AB179" s="382">
        <v>31</v>
      </c>
      <c r="AC179" s="382">
        <v>14</v>
      </c>
      <c r="AD179" s="386">
        <v>3465</v>
      </c>
      <c r="AE179" s="386">
        <v>12</v>
      </c>
      <c r="AF179" s="386">
        <v>9</v>
      </c>
      <c r="AG179" s="386">
        <v>21</v>
      </c>
    </row>
    <row r="180" spans="1:33" x14ac:dyDescent="0.25">
      <c r="A180" s="381" t="s">
        <v>420</v>
      </c>
      <c r="B180" s="387" t="s">
        <v>421</v>
      </c>
      <c r="C180" s="383">
        <v>2702</v>
      </c>
      <c r="D180" s="383">
        <v>8</v>
      </c>
      <c r="E180" s="383">
        <v>286</v>
      </c>
      <c r="F180" s="383">
        <v>384</v>
      </c>
      <c r="G180" s="383">
        <v>309</v>
      </c>
      <c r="H180" s="383">
        <v>3689</v>
      </c>
      <c r="I180" s="382">
        <v>3380</v>
      </c>
      <c r="J180" s="382">
        <v>0</v>
      </c>
      <c r="K180" s="384">
        <v>0</v>
      </c>
      <c r="L180" s="384">
        <v>0</v>
      </c>
      <c r="M180" s="384">
        <v>0</v>
      </c>
      <c r="N180" s="384">
        <v>0</v>
      </c>
      <c r="O180" s="385">
        <v>2375</v>
      </c>
      <c r="P180" s="382">
        <v>0</v>
      </c>
      <c r="Q180" s="382">
        <v>0</v>
      </c>
      <c r="R180" s="382">
        <v>0</v>
      </c>
      <c r="S180" s="382">
        <v>0</v>
      </c>
      <c r="T180" s="382">
        <v>471</v>
      </c>
      <c r="U180" s="382">
        <v>143.96</v>
      </c>
      <c r="V180" s="382">
        <v>204</v>
      </c>
      <c r="W180" s="382">
        <v>140.09</v>
      </c>
      <c r="X180" s="382">
        <v>3</v>
      </c>
      <c r="Y180" s="382">
        <v>114</v>
      </c>
      <c r="Z180" s="382">
        <v>0</v>
      </c>
      <c r="AA180" s="382">
        <v>2</v>
      </c>
      <c r="AB180" s="382">
        <v>2</v>
      </c>
      <c r="AC180" s="382">
        <v>8</v>
      </c>
      <c r="AD180" s="386">
        <v>2655</v>
      </c>
      <c r="AE180" s="386">
        <v>4</v>
      </c>
      <c r="AF180" s="386">
        <v>1</v>
      </c>
      <c r="AG180" s="386">
        <v>5</v>
      </c>
    </row>
    <row r="181" spans="1:33" x14ac:dyDescent="0.25">
      <c r="A181" s="381" t="s">
        <v>422</v>
      </c>
      <c r="B181" s="387" t="s">
        <v>423</v>
      </c>
      <c r="C181" s="383">
        <v>1683</v>
      </c>
      <c r="D181" s="383">
        <v>13</v>
      </c>
      <c r="E181" s="383">
        <v>302</v>
      </c>
      <c r="F181" s="383">
        <v>362</v>
      </c>
      <c r="G181" s="383">
        <v>240</v>
      </c>
      <c r="H181" s="383">
        <v>2600</v>
      </c>
      <c r="I181" s="382">
        <v>2360</v>
      </c>
      <c r="J181" s="382">
        <v>8</v>
      </c>
      <c r="K181" s="384">
        <v>89.07</v>
      </c>
      <c r="L181" s="384">
        <v>86.39</v>
      </c>
      <c r="M181" s="384">
        <v>3.86</v>
      </c>
      <c r="N181" s="384">
        <v>91.14</v>
      </c>
      <c r="O181" s="385">
        <v>1533</v>
      </c>
      <c r="P181" s="382">
        <v>100.76</v>
      </c>
      <c r="Q181" s="382">
        <v>77.64</v>
      </c>
      <c r="R181" s="382">
        <v>37.130000000000003</v>
      </c>
      <c r="S181" s="382">
        <v>136.16999999999999</v>
      </c>
      <c r="T181" s="382">
        <v>477</v>
      </c>
      <c r="U181" s="382">
        <v>97.44</v>
      </c>
      <c r="V181" s="382">
        <v>135</v>
      </c>
      <c r="W181" s="382">
        <v>0</v>
      </c>
      <c r="X181" s="382">
        <v>0</v>
      </c>
      <c r="Y181" s="382">
        <v>0</v>
      </c>
      <c r="Z181" s="382">
        <v>0</v>
      </c>
      <c r="AA181" s="382">
        <v>6</v>
      </c>
      <c r="AB181" s="382">
        <v>7</v>
      </c>
      <c r="AC181" s="382">
        <v>8</v>
      </c>
      <c r="AD181" s="386">
        <v>1683</v>
      </c>
      <c r="AE181" s="386">
        <v>23</v>
      </c>
      <c r="AF181" s="386">
        <v>31</v>
      </c>
      <c r="AG181" s="386">
        <v>54</v>
      </c>
    </row>
    <row r="182" spans="1:33" x14ac:dyDescent="0.25">
      <c r="A182" s="381" t="s">
        <v>424</v>
      </c>
      <c r="B182" s="387" t="s">
        <v>425</v>
      </c>
      <c r="C182" s="383">
        <v>6759</v>
      </c>
      <c r="D182" s="383">
        <v>235</v>
      </c>
      <c r="E182" s="383">
        <v>1260</v>
      </c>
      <c r="F182" s="383">
        <v>1592</v>
      </c>
      <c r="G182" s="383">
        <v>361</v>
      </c>
      <c r="H182" s="383">
        <v>10207</v>
      </c>
      <c r="I182" s="382">
        <v>9846</v>
      </c>
      <c r="J182" s="382">
        <v>131</v>
      </c>
      <c r="K182" s="384">
        <v>79.540000000000006</v>
      </c>
      <c r="L182" s="384">
        <v>79.44</v>
      </c>
      <c r="M182" s="384">
        <v>8.76</v>
      </c>
      <c r="N182" s="384">
        <v>86.68</v>
      </c>
      <c r="O182" s="385">
        <v>5805</v>
      </c>
      <c r="P182" s="382">
        <v>82.6</v>
      </c>
      <c r="Q182" s="382">
        <v>75.02</v>
      </c>
      <c r="R182" s="382">
        <v>48.22</v>
      </c>
      <c r="S182" s="382">
        <v>128.22999999999999</v>
      </c>
      <c r="T182" s="382">
        <v>2374</v>
      </c>
      <c r="U182" s="382">
        <v>101.14</v>
      </c>
      <c r="V182" s="382">
        <v>646</v>
      </c>
      <c r="W182" s="382">
        <v>188.86</v>
      </c>
      <c r="X182" s="382">
        <v>148</v>
      </c>
      <c r="Y182" s="382">
        <v>0</v>
      </c>
      <c r="Z182" s="382">
        <v>9</v>
      </c>
      <c r="AA182" s="382">
        <v>7</v>
      </c>
      <c r="AB182" s="382">
        <v>11</v>
      </c>
      <c r="AC182" s="382">
        <v>8</v>
      </c>
      <c r="AD182" s="386">
        <v>6320</v>
      </c>
      <c r="AE182" s="386">
        <v>72</v>
      </c>
      <c r="AF182" s="386">
        <v>35</v>
      </c>
      <c r="AG182" s="386">
        <v>107</v>
      </c>
    </row>
    <row r="183" spans="1:33" x14ac:dyDescent="0.25">
      <c r="A183" s="381" t="s">
        <v>426</v>
      </c>
      <c r="B183" s="387" t="s">
        <v>427</v>
      </c>
      <c r="C183" s="383">
        <v>9071</v>
      </c>
      <c r="D183" s="383">
        <v>0</v>
      </c>
      <c r="E183" s="383">
        <v>52</v>
      </c>
      <c r="F183" s="383">
        <v>1273</v>
      </c>
      <c r="G183" s="383">
        <v>207</v>
      </c>
      <c r="H183" s="383">
        <v>10603</v>
      </c>
      <c r="I183" s="382">
        <v>10396</v>
      </c>
      <c r="J183" s="382">
        <v>3</v>
      </c>
      <c r="K183" s="384">
        <v>79.2</v>
      </c>
      <c r="L183" s="384">
        <v>81.73</v>
      </c>
      <c r="M183" s="384">
        <v>3.77</v>
      </c>
      <c r="N183" s="384">
        <v>82.8</v>
      </c>
      <c r="O183" s="385">
        <v>8698</v>
      </c>
      <c r="P183" s="382">
        <v>77.22</v>
      </c>
      <c r="Q183" s="382">
        <v>77.989999999999995</v>
      </c>
      <c r="R183" s="382">
        <v>21.62</v>
      </c>
      <c r="S183" s="382">
        <v>98.79</v>
      </c>
      <c r="T183" s="382">
        <v>1215</v>
      </c>
      <c r="U183" s="382">
        <v>97.54</v>
      </c>
      <c r="V183" s="382">
        <v>328</v>
      </c>
      <c r="W183" s="382">
        <v>164.98</v>
      </c>
      <c r="X183" s="382">
        <v>23</v>
      </c>
      <c r="Y183" s="382">
        <v>0</v>
      </c>
      <c r="Z183" s="382">
        <v>30</v>
      </c>
      <c r="AA183" s="382">
        <v>32</v>
      </c>
      <c r="AB183" s="382">
        <v>9</v>
      </c>
      <c r="AC183" s="382">
        <v>3</v>
      </c>
      <c r="AD183" s="386">
        <v>9070</v>
      </c>
      <c r="AE183" s="386">
        <v>9</v>
      </c>
      <c r="AF183" s="386">
        <v>29</v>
      </c>
      <c r="AG183" s="386">
        <v>38</v>
      </c>
    </row>
    <row r="184" spans="1:33" x14ac:dyDescent="0.25">
      <c r="A184" s="381" t="s">
        <v>428</v>
      </c>
      <c r="B184" s="387" t="s">
        <v>429</v>
      </c>
      <c r="C184" s="383">
        <v>12271</v>
      </c>
      <c r="D184" s="383">
        <v>37</v>
      </c>
      <c r="E184" s="383">
        <v>812</v>
      </c>
      <c r="F184" s="383">
        <v>954</v>
      </c>
      <c r="G184" s="383">
        <v>1873</v>
      </c>
      <c r="H184" s="383">
        <v>15947</v>
      </c>
      <c r="I184" s="382">
        <v>14074</v>
      </c>
      <c r="J184" s="382">
        <v>13</v>
      </c>
      <c r="K184" s="384">
        <v>141.18</v>
      </c>
      <c r="L184" s="384">
        <v>122.27</v>
      </c>
      <c r="M184" s="384">
        <v>8.89</v>
      </c>
      <c r="N184" s="384">
        <v>145.38999999999999</v>
      </c>
      <c r="O184" s="385">
        <v>10275</v>
      </c>
      <c r="P184" s="382">
        <v>102.77</v>
      </c>
      <c r="Q184" s="382">
        <v>101.44</v>
      </c>
      <c r="R184" s="382">
        <v>60.25</v>
      </c>
      <c r="S184" s="382">
        <v>157.51</v>
      </c>
      <c r="T184" s="382">
        <v>1717</v>
      </c>
      <c r="U184" s="382">
        <v>177.84</v>
      </c>
      <c r="V184" s="382">
        <v>607</v>
      </c>
      <c r="W184" s="382">
        <v>175.66</v>
      </c>
      <c r="X184" s="382">
        <v>10</v>
      </c>
      <c r="Y184" s="382">
        <v>14</v>
      </c>
      <c r="Z184" s="382">
        <v>4</v>
      </c>
      <c r="AA184" s="382">
        <v>12</v>
      </c>
      <c r="AB184" s="382">
        <v>121</v>
      </c>
      <c r="AC184" s="382">
        <v>102</v>
      </c>
      <c r="AD184" s="386">
        <v>11706</v>
      </c>
      <c r="AE184" s="386">
        <v>25</v>
      </c>
      <c r="AF184" s="386">
        <v>24</v>
      </c>
      <c r="AG184" s="386">
        <v>49</v>
      </c>
    </row>
    <row r="185" spans="1:33" x14ac:dyDescent="0.25">
      <c r="A185" s="381" t="s">
        <v>430</v>
      </c>
      <c r="B185" s="387" t="s">
        <v>431</v>
      </c>
      <c r="C185" s="383">
        <v>3513</v>
      </c>
      <c r="D185" s="383">
        <v>0</v>
      </c>
      <c r="E185" s="383">
        <v>48</v>
      </c>
      <c r="F185" s="383">
        <v>912</v>
      </c>
      <c r="G185" s="383">
        <v>216</v>
      </c>
      <c r="H185" s="383">
        <v>4689</v>
      </c>
      <c r="I185" s="382">
        <v>4473</v>
      </c>
      <c r="J185" s="382">
        <v>5</v>
      </c>
      <c r="K185" s="384">
        <v>86.76</v>
      </c>
      <c r="L185" s="384">
        <v>86.22</v>
      </c>
      <c r="M185" s="384">
        <v>3.14</v>
      </c>
      <c r="N185" s="384">
        <v>88.58</v>
      </c>
      <c r="O185" s="385">
        <v>3110</v>
      </c>
      <c r="P185" s="382">
        <v>75.84</v>
      </c>
      <c r="Q185" s="382">
        <v>74.77</v>
      </c>
      <c r="R185" s="382">
        <v>14.6</v>
      </c>
      <c r="S185" s="382">
        <v>89.92</v>
      </c>
      <c r="T185" s="382">
        <v>905</v>
      </c>
      <c r="U185" s="382">
        <v>116.29</v>
      </c>
      <c r="V185" s="382">
        <v>380</v>
      </c>
      <c r="W185" s="382">
        <v>0</v>
      </c>
      <c r="X185" s="382">
        <v>0</v>
      </c>
      <c r="Y185" s="382">
        <v>0</v>
      </c>
      <c r="Z185" s="382">
        <v>10</v>
      </c>
      <c r="AA185" s="382">
        <v>2</v>
      </c>
      <c r="AB185" s="382">
        <v>15</v>
      </c>
      <c r="AC185" s="382">
        <v>4</v>
      </c>
      <c r="AD185" s="386">
        <v>3513</v>
      </c>
      <c r="AE185" s="386">
        <v>0</v>
      </c>
      <c r="AF185" s="386">
        <v>22</v>
      </c>
      <c r="AG185" s="386">
        <v>22</v>
      </c>
    </row>
    <row r="186" spans="1:33" x14ac:dyDescent="0.25">
      <c r="A186" s="381" t="s">
        <v>432</v>
      </c>
      <c r="B186" s="387" t="s">
        <v>433</v>
      </c>
      <c r="C186" s="383">
        <v>762</v>
      </c>
      <c r="D186" s="383">
        <v>0</v>
      </c>
      <c r="E186" s="383">
        <v>66</v>
      </c>
      <c r="F186" s="383">
        <v>240</v>
      </c>
      <c r="G186" s="383">
        <v>107</v>
      </c>
      <c r="H186" s="383">
        <v>1175</v>
      </c>
      <c r="I186" s="382">
        <v>1068</v>
      </c>
      <c r="J186" s="382">
        <v>0</v>
      </c>
      <c r="K186" s="384">
        <v>91.79</v>
      </c>
      <c r="L186" s="384">
        <v>91.56</v>
      </c>
      <c r="M186" s="384">
        <v>4.47</v>
      </c>
      <c r="N186" s="384">
        <v>94.03</v>
      </c>
      <c r="O186" s="385">
        <v>586</v>
      </c>
      <c r="P186" s="382">
        <v>105.93</v>
      </c>
      <c r="Q186" s="382">
        <v>105.91</v>
      </c>
      <c r="R186" s="382">
        <v>43.87</v>
      </c>
      <c r="S186" s="382">
        <v>146.03</v>
      </c>
      <c r="T186" s="382">
        <v>302</v>
      </c>
      <c r="U186" s="382">
        <v>102.14</v>
      </c>
      <c r="V186" s="382">
        <v>140</v>
      </c>
      <c r="W186" s="382">
        <v>0</v>
      </c>
      <c r="X186" s="382">
        <v>0</v>
      </c>
      <c r="Y186" s="382">
        <v>0</v>
      </c>
      <c r="Z186" s="382">
        <v>14</v>
      </c>
      <c r="AA186" s="382">
        <v>1</v>
      </c>
      <c r="AB186" s="382">
        <v>21</v>
      </c>
      <c r="AC186" s="382">
        <v>4</v>
      </c>
      <c r="AD186" s="386">
        <v>667</v>
      </c>
      <c r="AE186" s="386">
        <v>31</v>
      </c>
      <c r="AF186" s="386">
        <v>3</v>
      </c>
      <c r="AG186" s="386">
        <v>34</v>
      </c>
    </row>
    <row r="187" spans="1:33" x14ac:dyDescent="0.25">
      <c r="A187" s="381" t="s">
        <v>434</v>
      </c>
      <c r="B187" s="387" t="s">
        <v>435</v>
      </c>
      <c r="C187" s="383">
        <v>7295</v>
      </c>
      <c r="D187" s="383">
        <v>0</v>
      </c>
      <c r="E187" s="383">
        <v>332</v>
      </c>
      <c r="F187" s="383">
        <v>2652</v>
      </c>
      <c r="G187" s="383">
        <v>191</v>
      </c>
      <c r="H187" s="383">
        <v>10470</v>
      </c>
      <c r="I187" s="382">
        <v>10279</v>
      </c>
      <c r="J187" s="382">
        <v>56</v>
      </c>
      <c r="K187" s="384">
        <v>85.24</v>
      </c>
      <c r="L187" s="384">
        <v>85.45</v>
      </c>
      <c r="M187" s="384">
        <v>2.14</v>
      </c>
      <c r="N187" s="384">
        <v>87.09</v>
      </c>
      <c r="O187" s="385">
        <v>7249</v>
      </c>
      <c r="P187" s="382">
        <v>78.66</v>
      </c>
      <c r="Q187" s="382">
        <v>77.06</v>
      </c>
      <c r="R187" s="382">
        <v>9.64</v>
      </c>
      <c r="S187" s="382">
        <v>87.9</v>
      </c>
      <c r="T187" s="382">
        <v>2738</v>
      </c>
      <c r="U187" s="382">
        <v>102.43</v>
      </c>
      <c r="V187" s="382">
        <v>25</v>
      </c>
      <c r="W187" s="382">
        <v>0</v>
      </c>
      <c r="X187" s="382">
        <v>0</v>
      </c>
      <c r="Y187" s="382">
        <v>0</v>
      </c>
      <c r="Z187" s="382">
        <v>20</v>
      </c>
      <c r="AA187" s="382">
        <v>3</v>
      </c>
      <c r="AB187" s="382">
        <v>4</v>
      </c>
      <c r="AC187" s="382">
        <v>6</v>
      </c>
      <c r="AD187" s="386">
        <v>7295</v>
      </c>
      <c r="AE187" s="386">
        <v>122</v>
      </c>
      <c r="AF187" s="386">
        <v>626</v>
      </c>
      <c r="AG187" s="386">
        <v>748</v>
      </c>
    </row>
    <row r="188" spans="1:33" x14ac:dyDescent="0.25">
      <c r="A188" s="381" t="s">
        <v>436</v>
      </c>
      <c r="B188" s="387" t="s">
        <v>437</v>
      </c>
      <c r="C188" s="383">
        <v>9171</v>
      </c>
      <c r="D188" s="383">
        <v>0</v>
      </c>
      <c r="E188" s="383">
        <v>313</v>
      </c>
      <c r="F188" s="383">
        <v>1017</v>
      </c>
      <c r="G188" s="383">
        <v>442</v>
      </c>
      <c r="H188" s="383">
        <v>10943</v>
      </c>
      <c r="I188" s="382">
        <v>10501</v>
      </c>
      <c r="J188" s="382">
        <v>1</v>
      </c>
      <c r="K188" s="384">
        <v>110.67</v>
      </c>
      <c r="L188" s="384">
        <v>118.44</v>
      </c>
      <c r="M188" s="384">
        <v>4.2</v>
      </c>
      <c r="N188" s="384">
        <v>111.8</v>
      </c>
      <c r="O188" s="385">
        <v>9006</v>
      </c>
      <c r="P188" s="382">
        <v>94.19</v>
      </c>
      <c r="Q188" s="382">
        <v>94.55</v>
      </c>
      <c r="R188" s="382">
        <v>23.84</v>
      </c>
      <c r="S188" s="382">
        <v>114.86</v>
      </c>
      <c r="T188" s="382">
        <v>1302</v>
      </c>
      <c r="U188" s="382">
        <v>139.43</v>
      </c>
      <c r="V188" s="382">
        <v>92</v>
      </c>
      <c r="W188" s="382">
        <v>0</v>
      </c>
      <c r="X188" s="382">
        <v>0</v>
      </c>
      <c r="Y188" s="382">
        <v>0</v>
      </c>
      <c r="Z188" s="382">
        <v>48</v>
      </c>
      <c r="AA188" s="382">
        <v>1</v>
      </c>
      <c r="AB188" s="382">
        <v>10</v>
      </c>
      <c r="AC188" s="382">
        <v>16</v>
      </c>
      <c r="AD188" s="386">
        <v>9131</v>
      </c>
      <c r="AE188" s="386">
        <v>33</v>
      </c>
      <c r="AF188" s="386">
        <v>22</v>
      </c>
      <c r="AG188" s="386">
        <v>55</v>
      </c>
    </row>
    <row r="189" spans="1:33" x14ac:dyDescent="0.25">
      <c r="A189" s="381" t="s">
        <v>438</v>
      </c>
      <c r="B189" s="387" t="s">
        <v>439</v>
      </c>
      <c r="C189" s="383">
        <v>947</v>
      </c>
      <c r="D189" s="383">
        <v>0</v>
      </c>
      <c r="E189" s="383">
        <v>88</v>
      </c>
      <c r="F189" s="383">
        <v>152</v>
      </c>
      <c r="G189" s="383">
        <v>267</v>
      </c>
      <c r="H189" s="383">
        <v>1454</v>
      </c>
      <c r="I189" s="382">
        <v>1187</v>
      </c>
      <c r="J189" s="382">
        <v>0</v>
      </c>
      <c r="K189" s="384">
        <v>89.3</v>
      </c>
      <c r="L189" s="384">
        <v>88.52</v>
      </c>
      <c r="M189" s="384">
        <v>3.97</v>
      </c>
      <c r="N189" s="384">
        <v>92.5</v>
      </c>
      <c r="O189" s="385">
        <v>752</v>
      </c>
      <c r="P189" s="382">
        <v>98.8</v>
      </c>
      <c r="Q189" s="382">
        <v>79.62</v>
      </c>
      <c r="R189" s="382">
        <v>35.61</v>
      </c>
      <c r="S189" s="382">
        <v>129.93</v>
      </c>
      <c r="T189" s="382">
        <v>207</v>
      </c>
      <c r="U189" s="382">
        <v>99.05</v>
      </c>
      <c r="V189" s="382">
        <v>117</v>
      </c>
      <c r="W189" s="382">
        <v>0</v>
      </c>
      <c r="X189" s="382">
        <v>0</v>
      </c>
      <c r="Y189" s="382">
        <v>0</v>
      </c>
      <c r="Z189" s="382">
        <v>0</v>
      </c>
      <c r="AA189" s="382">
        <v>0</v>
      </c>
      <c r="AB189" s="382">
        <v>22</v>
      </c>
      <c r="AC189" s="382">
        <v>3</v>
      </c>
      <c r="AD189" s="386">
        <v>890</v>
      </c>
      <c r="AE189" s="386">
        <v>3</v>
      </c>
      <c r="AF189" s="386">
        <v>1</v>
      </c>
      <c r="AG189" s="386">
        <v>4</v>
      </c>
    </row>
    <row r="190" spans="1:33" x14ac:dyDescent="0.25">
      <c r="A190" s="381" t="s">
        <v>440</v>
      </c>
      <c r="B190" s="387" t="s">
        <v>441</v>
      </c>
      <c r="C190" s="383">
        <v>10431</v>
      </c>
      <c r="D190" s="383">
        <v>0</v>
      </c>
      <c r="E190" s="383">
        <v>146</v>
      </c>
      <c r="F190" s="383">
        <v>772</v>
      </c>
      <c r="G190" s="383">
        <v>69</v>
      </c>
      <c r="H190" s="383">
        <v>11418</v>
      </c>
      <c r="I190" s="382">
        <v>11349</v>
      </c>
      <c r="J190" s="382">
        <v>0</v>
      </c>
      <c r="K190" s="384">
        <v>82.07</v>
      </c>
      <c r="L190" s="384">
        <v>78.62</v>
      </c>
      <c r="M190" s="384">
        <v>2.88</v>
      </c>
      <c r="N190" s="384">
        <v>83.05</v>
      </c>
      <c r="O190" s="385">
        <v>10067</v>
      </c>
      <c r="P190" s="382">
        <v>83.63</v>
      </c>
      <c r="Q190" s="382">
        <v>73.69</v>
      </c>
      <c r="R190" s="382">
        <v>29.96</v>
      </c>
      <c r="S190" s="382">
        <v>107.02</v>
      </c>
      <c r="T190" s="382">
        <v>890</v>
      </c>
      <c r="U190" s="382">
        <v>90.07</v>
      </c>
      <c r="V190" s="382">
        <v>257</v>
      </c>
      <c r="W190" s="382">
        <v>0</v>
      </c>
      <c r="X190" s="382">
        <v>0</v>
      </c>
      <c r="Y190" s="382">
        <v>0</v>
      </c>
      <c r="Z190" s="382">
        <v>42</v>
      </c>
      <c r="AA190" s="382">
        <v>4</v>
      </c>
      <c r="AB190" s="382">
        <v>1</v>
      </c>
      <c r="AC190" s="382">
        <v>2</v>
      </c>
      <c r="AD190" s="386">
        <v>10391</v>
      </c>
      <c r="AE190" s="386">
        <v>74</v>
      </c>
      <c r="AF190" s="386">
        <v>56</v>
      </c>
      <c r="AG190" s="386">
        <v>130</v>
      </c>
    </row>
    <row r="191" spans="1:33" x14ac:dyDescent="0.25">
      <c r="A191" s="381" t="s">
        <v>442</v>
      </c>
      <c r="B191" s="387" t="s">
        <v>443</v>
      </c>
      <c r="C191" s="383">
        <v>5502</v>
      </c>
      <c r="D191" s="383">
        <v>4</v>
      </c>
      <c r="E191" s="383">
        <v>154</v>
      </c>
      <c r="F191" s="383">
        <v>661</v>
      </c>
      <c r="G191" s="383">
        <v>137</v>
      </c>
      <c r="H191" s="383">
        <v>6458</v>
      </c>
      <c r="I191" s="382">
        <v>6321</v>
      </c>
      <c r="J191" s="382">
        <v>26</v>
      </c>
      <c r="K191" s="384">
        <v>91.73</v>
      </c>
      <c r="L191" s="384">
        <v>92.74</v>
      </c>
      <c r="M191" s="384">
        <v>2.31</v>
      </c>
      <c r="N191" s="384">
        <v>93.28</v>
      </c>
      <c r="O191" s="385">
        <v>5143</v>
      </c>
      <c r="P191" s="382">
        <v>91.37</v>
      </c>
      <c r="Q191" s="382">
        <v>84.51</v>
      </c>
      <c r="R191" s="382">
        <v>22.3</v>
      </c>
      <c r="S191" s="382">
        <v>113.02</v>
      </c>
      <c r="T191" s="382">
        <v>786</v>
      </c>
      <c r="U191" s="382">
        <v>105.21</v>
      </c>
      <c r="V191" s="382">
        <v>350</v>
      </c>
      <c r="W191" s="382">
        <v>97.52</v>
      </c>
      <c r="X191" s="382">
        <v>27</v>
      </c>
      <c r="Y191" s="382">
        <v>0</v>
      </c>
      <c r="Z191" s="382">
        <v>30</v>
      </c>
      <c r="AA191" s="382">
        <v>48</v>
      </c>
      <c r="AB191" s="382">
        <v>5</v>
      </c>
      <c r="AC191" s="382">
        <v>4</v>
      </c>
      <c r="AD191" s="386">
        <v>5486</v>
      </c>
      <c r="AE191" s="386">
        <v>63</v>
      </c>
      <c r="AF191" s="386">
        <v>29</v>
      </c>
      <c r="AG191" s="386">
        <v>92</v>
      </c>
    </row>
    <row r="192" spans="1:33" x14ac:dyDescent="0.25">
      <c r="A192" s="381" t="s">
        <v>814</v>
      </c>
      <c r="B192" s="387" t="s">
        <v>812</v>
      </c>
      <c r="C192" s="383">
        <v>12445</v>
      </c>
      <c r="D192" s="383">
        <v>83</v>
      </c>
      <c r="E192" s="383">
        <v>605</v>
      </c>
      <c r="F192" s="383">
        <v>1557</v>
      </c>
      <c r="G192" s="383">
        <v>1117</v>
      </c>
      <c r="H192" s="383">
        <v>15807</v>
      </c>
      <c r="I192" s="382">
        <v>14690</v>
      </c>
      <c r="J192" s="382">
        <v>15</v>
      </c>
      <c r="K192" s="384">
        <v>91.59</v>
      </c>
      <c r="L192" s="384">
        <v>91.46</v>
      </c>
      <c r="M192" s="384">
        <v>5.67</v>
      </c>
      <c r="N192" s="384">
        <v>93.95</v>
      </c>
      <c r="O192" s="385">
        <v>10751</v>
      </c>
      <c r="P192" s="382">
        <v>87.03</v>
      </c>
      <c r="Q192" s="382">
        <v>87.09</v>
      </c>
      <c r="R192" s="382">
        <v>33.869999999999997</v>
      </c>
      <c r="S192" s="382">
        <v>111.5</v>
      </c>
      <c r="T192" s="382">
        <v>2036</v>
      </c>
      <c r="U192" s="382">
        <v>104.59</v>
      </c>
      <c r="V192" s="382">
        <v>782</v>
      </c>
      <c r="W192" s="382">
        <v>106.64</v>
      </c>
      <c r="X192" s="382">
        <v>49</v>
      </c>
      <c r="Y192" s="382">
        <v>8</v>
      </c>
      <c r="Z192" s="382">
        <v>26</v>
      </c>
      <c r="AA192" s="382">
        <v>32</v>
      </c>
      <c r="AB192" s="382">
        <v>69</v>
      </c>
      <c r="AC192" s="382">
        <v>34</v>
      </c>
      <c r="AD192" s="386">
        <v>11689</v>
      </c>
      <c r="AE192" s="386">
        <v>52</v>
      </c>
      <c r="AF192" s="386">
        <v>22</v>
      </c>
      <c r="AG192" s="386">
        <v>74</v>
      </c>
    </row>
    <row r="193" spans="1:33" x14ac:dyDescent="0.25">
      <c r="A193" s="381" t="s">
        <v>444</v>
      </c>
      <c r="B193" s="387" t="s">
        <v>445</v>
      </c>
      <c r="C193" s="383">
        <v>7086</v>
      </c>
      <c r="D193" s="383">
        <v>81</v>
      </c>
      <c r="E193" s="383">
        <v>325</v>
      </c>
      <c r="F193" s="383">
        <v>1690</v>
      </c>
      <c r="G193" s="383">
        <v>397</v>
      </c>
      <c r="H193" s="383">
        <v>9579</v>
      </c>
      <c r="I193" s="382">
        <v>9182</v>
      </c>
      <c r="J193" s="382">
        <v>7</v>
      </c>
      <c r="K193" s="384">
        <v>97.46</v>
      </c>
      <c r="L193" s="384">
        <v>97.53</v>
      </c>
      <c r="M193" s="384">
        <v>4.82</v>
      </c>
      <c r="N193" s="384">
        <v>99.76</v>
      </c>
      <c r="O193" s="385">
        <v>6277</v>
      </c>
      <c r="P193" s="382">
        <v>92.4</v>
      </c>
      <c r="Q193" s="382">
        <v>87.56</v>
      </c>
      <c r="R193" s="382">
        <v>26.69</v>
      </c>
      <c r="S193" s="382">
        <v>118.73</v>
      </c>
      <c r="T193" s="382">
        <v>1891</v>
      </c>
      <c r="U193" s="382">
        <v>127.03</v>
      </c>
      <c r="V193" s="382">
        <v>721</v>
      </c>
      <c r="W193" s="382">
        <v>161.21</v>
      </c>
      <c r="X193" s="382">
        <v>38</v>
      </c>
      <c r="Y193" s="382">
        <v>0</v>
      </c>
      <c r="Z193" s="382">
        <v>29</v>
      </c>
      <c r="AA193" s="382">
        <v>20</v>
      </c>
      <c r="AB193" s="382">
        <v>14</v>
      </c>
      <c r="AC193" s="382">
        <v>12</v>
      </c>
      <c r="AD193" s="386">
        <v>6987</v>
      </c>
      <c r="AE193" s="386">
        <v>18</v>
      </c>
      <c r="AF193" s="386">
        <v>20</v>
      </c>
      <c r="AG193" s="386">
        <v>38</v>
      </c>
    </row>
    <row r="194" spans="1:33" x14ac:dyDescent="0.25">
      <c r="A194" s="381" t="s">
        <v>446</v>
      </c>
      <c r="B194" s="387" t="s">
        <v>447</v>
      </c>
      <c r="C194" s="383">
        <v>3754</v>
      </c>
      <c r="D194" s="383">
        <v>60</v>
      </c>
      <c r="E194" s="383">
        <v>528</v>
      </c>
      <c r="F194" s="383">
        <v>1322</v>
      </c>
      <c r="G194" s="383">
        <v>314</v>
      </c>
      <c r="H194" s="383">
        <v>5978</v>
      </c>
      <c r="I194" s="382">
        <v>5664</v>
      </c>
      <c r="J194" s="382">
        <v>1</v>
      </c>
      <c r="K194" s="384">
        <v>83.65</v>
      </c>
      <c r="L194" s="384">
        <v>82.65</v>
      </c>
      <c r="M194" s="384">
        <v>7.26</v>
      </c>
      <c r="N194" s="384">
        <v>89.27</v>
      </c>
      <c r="O194" s="385">
        <v>3251</v>
      </c>
      <c r="P194" s="382">
        <v>86.77</v>
      </c>
      <c r="Q194" s="382">
        <v>77.91</v>
      </c>
      <c r="R194" s="382">
        <v>40.36</v>
      </c>
      <c r="S194" s="382">
        <v>126.67</v>
      </c>
      <c r="T194" s="382">
        <v>1657</v>
      </c>
      <c r="U194" s="382">
        <v>98.98</v>
      </c>
      <c r="V194" s="382">
        <v>407</v>
      </c>
      <c r="W194" s="382">
        <v>152.16</v>
      </c>
      <c r="X194" s="382">
        <v>52</v>
      </c>
      <c r="Y194" s="382">
        <v>8</v>
      </c>
      <c r="Z194" s="382">
        <v>4</v>
      </c>
      <c r="AA194" s="382">
        <v>2</v>
      </c>
      <c r="AB194" s="382">
        <v>2</v>
      </c>
      <c r="AC194" s="382">
        <v>3</v>
      </c>
      <c r="AD194" s="386">
        <v>3595</v>
      </c>
      <c r="AE194" s="386">
        <v>31</v>
      </c>
      <c r="AF194" s="386">
        <v>18</v>
      </c>
      <c r="AG194" s="386">
        <v>49</v>
      </c>
    </row>
    <row r="195" spans="1:33" x14ac:dyDescent="0.25">
      <c r="A195" s="381" t="s">
        <v>448</v>
      </c>
      <c r="B195" s="387" t="s">
        <v>449</v>
      </c>
      <c r="C195" s="383">
        <v>1026</v>
      </c>
      <c r="D195" s="383">
        <v>2</v>
      </c>
      <c r="E195" s="383">
        <v>12</v>
      </c>
      <c r="F195" s="383">
        <v>54</v>
      </c>
      <c r="G195" s="383">
        <v>171</v>
      </c>
      <c r="H195" s="383">
        <v>1265</v>
      </c>
      <c r="I195" s="382">
        <v>1094</v>
      </c>
      <c r="J195" s="382">
        <v>0</v>
      </c>
      <c r="K195" s="384">
        <v>99.92</v>
      </c>
      <c r="L195" s="384">
        <v>99.46</v>
      </c>
      <c r="M195" s="384">
        <v>4.42</v>
      </c>
      <c r="N195" s="384">
        <v>102.41</v>
      </c>
      <c r="O195" s="385">
        <v>894</v>
      </c>
      <c r="P195" s="382">
        <v>91.04</v>
      </c>
      <c r="Q195" s="382">
        <v>89.29</v>
      </c>
      <c r="R195" s="382">
        <v>31.76</v>
      </c>
      <c r="S195" s="382">
        <v>115.92</v>
      </c>
      <c r="T195" s="382">
        <v>60</v>
      </c>
      <c r="U195" s="382">
        <v>110.27</v>
      </c>
      <c r="V195" s="382">
        <v>130</v>
      </c>
      <c r="W195" s="382">
        <v>0</v>
      </c>
      <c r="X195" s="382">
        <v>0</v>
      </c>
      <c r="Y195" s="382">
        <v>0</v>
      </c>
      <c r="Z195" s="382">
        <v>0</v>
      </c>
      <c r="AA195" s="382">
        <v>0</v>
      </c>
      <c r="AB195" s="382">
        <v>8</v>
      </c>
      <c r="AC195" s="382">
        <v>1</v>
      </c>
      <c r="AD195" s="386">
        <v>1026</v>
      </c>
      <c r="AE195" s="386">
        <v>2</v>
      </c>
      <c r="AF195" s="386">
        <v>2</v>
      </c>
      <c r="AG195" s="386">
        <v>4</v>
      </c>
    </row>
    <row r="196" spans="1:33" x14ac:dyDescent="0.25">
      <c r="A196" s="381" t="s">
        <v>450</v>
      </c>
      <c r="B196" s="387" t="s">
        <v>451</v>
      </c>
      <c r="C196" s="383">
        <v>1603</v>
      </c>
      <c r="D196" s="383">
        <v>0</v>
      </c>
      <c r="E196" s="383">
        <v>49</v>
      </c>
      <c r="F196" s="383">
        <v>203</v>
      </c>
      <c r="G196" s="383">
        <v>353</v>
      </c>
      <c r="H196" s="383">
        <v>2208</v>
      </c>
      <c r="I196" s="382">
        <v>1855</v>
      </c>
      <c r="J196" s="382">
        <v>0</v>
      </c>
      <c r="K196" s="384">
        <v>89.02</v>
      </c>
      <c r="L196" s="384">
        <v>89.88</v>
      </c>
      <c r="M196" s="384">
        <v>5.4</v>
      </c>
      <c r="N196" s="384">
        <v>93.21</v>
      </c>
      <c r="O196" s="385">
        <v>1384</v>
      </c>
      <c r="P196" s="382">
        <v>87.77</v>
      </c>
      <c r="Q196" s="382">
        <v>88.61</v>
      </c>
      <c r="R196" s="382">
        <v>35.880000000000003</v>
      </c>
      <c r="S196" s="382">
        <v>121.36</v>
      </c>
      <c r="T196" s="382">
        <v>250</v>
      </c>
      <c r="U196" s="382">
        <v>97.26</v>
      </c>
      <c r="V196" s="382">
        <v>190</v>
      </c>
      <c r="W196" s="382">
        <v>0</v>
      </c>
      <c r="X196" s="382">
        <v>0</v>
      </c>
      <c r="Y196" s="382">
        <v>0</v>
      </c>
      <c r="Z196" s="382">
        <v>0</v>
      </c>
      <c r="AA196" s="382">
        <v>0</v>
      </c>
      <c r="AB196" s="382">
        <v>35</v>
      </c>
      <c r="AC196" s="382">
        <v>4</v>
      </c>
      <c r="AD196" s="386">
        <v>1593</v>
      </c>
      <c r="AE196" s="386">
        <v>32</v>
      </c>
      <c r="AF196" s="386">
        <v>7</v>
      </c>
      <c r="AG196" s="386">
        <v>39</v>
      </c>
    </row>
    <row r="197" spans="1:33" x14ac:dyDescent="0.25">
      <c r="A197" s="381" t="s">
        <v>452</v>
      </c>
      <c r="B197" s="387" t="s">
        <v>453</v>
      </c>
      <c r="C197" s="383">
        <v>13957</v>
      </c>
      <c r="D197" s="383">
        <v>37</v>
      </c>
      <c r="E197" s="383">
        <v>360</v>
      </c>
      <c r="F197" s="383">
        <v>3231</v>
      </c>
      <c r="G197" s="383">
        <v>625</v>
      </c>
      <c r="H197" s="383">
        <v>18210</v>
      </c>
      <c r="I197" s="382">
        <v>17585</v>
      </c>
      <c r="J197" s="382">
        <v>23</v>
      </c>
      <c r="K197" s="384">
        <v>77.540000000000006</v>
      </c>
      <c r="L197" s="384">
        <v>76.75</v>
      </c>
      <c r="M197" s="384">
        <v>4.6399999999999997</v>
      </c>
      <c r="N197" s="384">
        <v>79.959999999999994</v>
      </c>
      <c r="O197" s="385">
        <v>12961</v>
      </c>
      <c r="P197" s="382">
        <v>71.13</v>
      </c>
      <c r="Q197" s="382">
        <v>65.97</v>
      </c>
      <c r="R197" s="382">
        <v>19.22</v>
      </c>
      <c r="S197" s="382">
        <v>89.48</v>
      </c>
      <c r="T197" s="382">
        <v>3485</v>
      </c>
      <c r="U197" s="382">
        <v>98.87</v>
      </c>
      <c r="V197" s="382">
        <v>816</v>
      </c>
      <c r="W197" s="382">
        <v>112.28</v>
      </c>
      <c r="X197" s="382">
        <v>40</v>
      </c>
      <c r="Y197" s="382">
        <v>0</v>
      </c>
      <c r="Z197" s="382">
        <v>50</v>
      </c>
      <c r="AA197" s="382">
        <v>11</v>
      </c>
      <c r="AB197" s="382">
        <v>13</v>
      </c>
      <c r="AC197" s="382">
        <v>4</v>
      </c>
      <c r="AD197" s="386">
        <v>13723</v>
      </c>
      <c r="AE197" s="386">
        <v>103</v>
      </c>
      <c r="AF197" s="386">
        <v>56</v>
      </c>
      <c r="AG197" s="386">
        <v>159</v>
      </c>
    </row>
    <row r="198" spans="1:33" x14ac:dyDescent="0.25">
      <c r="A198" s="381" t="s">
        <v>454</v>
      </c>
      <c r="B198" s="387" t="s">
        <v>455</v>
      </c>
      <c r="C198" s="383">
        <v>3830</v>
      </c>
      <c r="D198" s="383">
        <v>0</v>
      </c>
      <c r="E198" s="383">
        <v>529</v>
      </c>
      <c r="F198" s="383">
        <v>1127</v>
      </c>
      <c r="G198" s="383">
        <v>326</v>
      </c>
      <c r="H198" s="383">
        <v>5812</v>
      </c>
      <c r="I198" s="382">
        <v>5486</v>
      </c>
      <c r="J198" s="382">
        <v>23</v>
      </c>
      <c r="K198" s="384">
        <v>90.57</v>
      </c>
      <c r="L198" s="384">
        <v>90.22</v>
      </c>
      <c r="M198" s="384">
        <v>6.08</v>
      </c>
      <c r="N198" s="384">
        <v>95.32</v>
      </c>
      <c r="O198" s="385">
        <v>3502</v>
      </c>
      <c r="P198" s="382">
        <v>84.27</v>
      </c>
      <c r="Q198" s="382">
        <v>82.6</v>
      </c>
      <c r="R198" s="382">
        <v>37.64</v>
      </c>
      <c r="S198" s="382">
        <v>121.71</v>
      </c>
      <c r="T198" s="382">
        <v>958</v>
      </c>
      <c r="U198" s="382">
        <v>107.55</v>
      </c>
      <c r="V198" s="382">
        <v>238</v>
      </c>
      <c r="W198" s="382">
        <v>0</v>
      </c>
      <c r="X198" s="382">
        <v>0</v>
      </c>
      <c r="Y198" s="382">
        <v>0</v>
      </c>
      <c r="Z198" s="382">
        <v>0</v>
      </c>
      <c r="AA198" s="382">
        <v>3</v>
      </c>
      <c r="AB198" s="382">
        <v>5</v>
      </c>
      <c r="AC198" s="382">
        <v>11</v>
      </c>
      <c r="AD198" s="386">
        <v>3808</v>
      </c>
      <c r="AE198" s="386">
        <v>17</v>
      </c>
      <c r="AF198" s="386">
        <v>4</v>
      </c>
      <c r="AG198" s="386">
        <v>21</v>
      </c>
    </row>
    <row r="199" spans="1:33" x14ac:dyDescent="0.25">
      <c r="A199" s="381" t="s">
        <v>456</v>
      </c>
      <c r="B199" s="387" t="s">
        <v>457</v>
      </c>
      <c r="C199" s="383">
        <v>6449</v>
      </c>
      <c r="D199" s="383">
        <v>0</v>
      </c>
      <c r="E199" s="383">
        <v>1070</v>
      </c>
      <c r="F199" s="383">
        <v>2493</v>
      </c>
      <c r="G199" s="383">
        <v>389</v>
      </c>
      <c r="H199" s="383">
        <v>10401</v>
      </c>
      <c r="I199" s="382">
        <v>10012</v>
      </c>
      <c r="J199" s="382">
        <v>41</v>
      </c>
      <c r="K199" s="384">
        <v>86.17</v>
      </c>
      <c r="L199" s="384">
        <v>85.21</v>
      </c>
      <c r="M199" s="384">
        <v>5.58</v>
      </c>
      <c r="N199" s="384">
        <v>89.61</v>
      </c>
      <c r="O199" s="385">
        <v>5702</v>
      </c>
      <c r="P199" s="382">
        <v>83.35</v>
      </c>
      <c r="Q199" s="382">
        <v>78.5</v>
      </c>
      <c r="R199" s="382">
        <v>39.89</v>
      </c>
      <c r="S199" s="382">
        <v>121.48</v>
      </c>
      <c r="T199" s="382">
        <v>2657</v>
      </c>
      <c r="U199" s="382">
        <v>101.26</v>
      </c>
      <c r="V199" s="382">
        <v>299</v>
      </c>
      <c r="W199" s="382">
        <v>146.12</v>
      </c>
      <c r="X199" s="382">
        <v>148</v>
      </c>
      <c r="Y199" s="382">
        <v>27</v>
      </c>
      <c r="Z199" s="382">
        <v>3</v>
      </c>
      <c r="AA199" s="382">
        <v>126</v>
      </c>
      <c r="AB199" s="382">
        <v>22</v>
      </c>
      <c r="AC199" s="382">
        <v>29</v>
      </c>
      <c r="AD199" s="386">
        <v>6427</v>
      </c>
      <c r="AE199" s="386">
        <v>34</v>
      </c>
      <c r="AF199" s="386">
        <v>21</v>
      </c>
      <c r="AG199" s="386">
        <v>55</v>
      </c>
    </row>
    <row r="200" spans="1:33" x14ac:dyDescent="0.25">
      <c r="A200" s="381" t="s">
        <v>458</v>
      </c>
      <c r="B200" s="387" t="s">
        <v>459</v>
      </c>
      <c r="C200" s="383">
        <v>2001</v>
      </c>
      <c r="D200" s="383">
        <v>5</v>
      </c>
      <c r="E200" s="383">
        <v>173</v>
      </c>
      <c r="F200" s="383">
        <v>365</v>
      </c>
      <c r="G200" s="383">
        <v>298</v>
      </c>
      <c r="H200" s="383">
        <v>2842</v>
      </c>
      <c r="I200" s="382">
        <v>2544</v>
      </c>
      <c r="J200" s="382">
        <v>9</v>
      </c>
      <c r="K200" s="384">
        <v>98.05</v>
      </c>
      <c r="L200" s="384">
        <v>95.31</v>
      </c>
      <c r="M200" s="384">
        <v>5.96</v>
      </c>
      <c r="N200" s="384">
        <v>102.93</v>
      </c>
      <c r="O200" s="385">
        <v>1716</v>
      </c>
      <c r="P200" s="382">
        <v>90.61</v>
      </c>
      <c r="Q200" s="382">
        <v>84.08</v>
      </c>
      <c r="R200" s="382">
        <v>37.14</v>
      </c>
      <c r="S200" s="382">
        <v>124.43</v>
      </c>
      <c r="T200" s="382">
        <v>324</v>
      </c>
      <c r="U200" s="382">
        <v>115.3</v>
      </c>
      <c r="V200" s="382">
        <v>237</v>
      </c>
      <c r="W200" s="382">
        <v>185.86</v>
      </c>
      <c r="X200" s="382">
        <v>60</v>
      </c>
      <c r="Y200" s="382">
        <v>0</v>
      </c>
      <c r="Z200" s="382">
        <v>1</v>
      </c>
      <c r="AA200" s="382">
        <v>3</v>
      </c>
      <c r="AB200" s="382">
        <v>40</v>
      </c>
      <c r="AC200" s="382">
        <v>25</v>
      </c>
      <c r="AD200" s="386">
        <v>1988</v>
      </c>
      <c r="AE200" s="386">
        <v>10</v>
      </c>
      <c r="AF200" s="386">
        <v>9</v>
      </c>
      <c r="AG200" s="386">
        <v>19</v>
      </c>
    </row>
    <row r="201" spans="1:33" x14ac:dyDescent="0.25">
      <c r="A201" s="381" t="s">
        <v>460</v>
      </c>
      <c r="B201" s="387" t="s">
        <v>461</v>
      </c>
      <c r="C201" s="383">
        <v>426</v>
      </c>
      <c r="D201" s="383">
        <v>0</v>
      </c>
      <c r="E201" s="383">
        <v>43</v>
      </c>
      <c r="F201" s="383">
        <v>94</v>
      </c>
      <c r="G201" s="383">
        <v>101</v>
      </c>
      <c r="H201" s="383">
        <v>664</v>
      </c>
      <c r="I201" s="382">
        <v>563</v>
      </c>
      <c r="J201" s="382">
        <v>4</v>
      </c>
      <c r="K201" s="384">
        <v>93.91</v>
      </c>
      <c r="L201" s="384">
        <v>91.67</v>
      </c>
      <c r="M201" s="384">
        <v>4.84</v>
      </c>
      <c r="N201" s="384">
        <v>96.61</v>
      </c>
      <c r="O201" s="385">
        <v>307</v>
      </c>
      <c r="P201" s="382">
        <v>103.23</v>
      </c>
      <c r="Q201" s="382">
        <v>74.63</v>
      </c>
      <c r="R201" s="382">
        <v>33.909999999999997</v>
      </c>
      <c r="S201" s="382">
        <v>137.15</v>
      </c>
      <c r="T201" s="382">
        <v>132</v>
      </c>
      <c r="U201" s="382">
        <v>98.04</v>
      </c>
      <c r="V201" s="382">
        <v>39</v>
      </c>
      <c r="W201" s="382">
        <v>0</v>
      </c>
      <c r="X201" s="382">
        <v>0</v>
      </c>
      <c r="Y201" s="382">
        <v>0</v>
      </c>
      <c r="Z201" s="382">
        <v>0</v>
      </c>
      <c r="AA201" s="382">
        <v>0</v>
      </c>
      <c r="AB201" s="382">
        <v>0</v>
      </c>
      <c r="AC201" s="382">
        <v>4</v>
      </c>
      <c r="AD201" s="386">
        <v>391</v>
      </c>
      <c r="AE201" s="386">
        <v>2</v>
      </c>
      <c r="AF201" s="386">
        <v>0</v>
      </c>
      <c r="AG201" s="386">
        <v>2</v>
      </c>
    </row>
    <row r="202" spans="1:33" x14ac:dyDescent="0.25">
      <c r="A202" s="381" t="s">
        <v>462</v>
      </c>
      <c r="B202" s="387" t="s">
        <v>463</v>
      </c>
      <c r="C202" s="383">
        <v>17295</v>
      </c>
      <c r="D202" s="383">
        <v>0</v>
      </c>
      <c r="E202" s="383">
        <v>415</v>
      </c>
      <c r="F202" s="383">
        <v>1131</v>
      </c>
      <c r="G202" s="383">
        <v>210</v>
      </c>
      <c r="H202" s="383">
        <v>19051</v>
      </c>
      <c r="I202" s="382">
        <v>18841</v>
      </c>
      <c r="J202" s="382">
        <v>1</v>
      </c>
      <c r="K202" s="384">
        <v>79.22</v>
      </c>
      <c r="L202" s="384">
        <v>79.64</v>
      </c>
      <c r="M202" s="384">
        <v>2.17</v>
      </c>
      <c r="N202" s="384">
        <v>80.2</v>
      </c>
      <c r="O202" s="385">
        <v>15591</v>
      </c>
      <c r="P202" s="382">
        <v>77.91</v>
      </c>
      <c r="Q202" s="382">
        <v>74.95</v>
      </c>
      <c r="R202" s="382">
        <v>26.53</v>
      </c>
      <c r="S202" s="382">
        <v>102</v>
      </c>
      <c r="T202" s="382">
        <v>1503</v>
      </c>
      <c r="U202" s="382">
        <v>99.1</v>
      </c>
      <c r="V202" s="382">
        <v>1258</v>
      </c>
      <c r="W202" s="382">
        <v>81.900000000000006</v>
      </c>
      <c r="X202" s="382">
        <v>16</v>
      </c>
      <c r="Y202" s="382">
        <v>0</v>
      </c>
      <c r="Z202" s="382">
        <v>65</v>
      </c>
      <c r="AA202" s="382">
        <v>35</v>
      </c>
      <c r="AB202" s="382">
        <v>1</v>
      </c>
      <c r="AC202" s="382">
        <v>8</v>
      </c>
      <c r="AD202" s="386">
        <v>16699</v>
      </c>
      <c r="AE202" s="386">
        <v>39</v>
      </c>
      <c r="AF202" s="386">
        <v>101</v>
      </c>
      <c r="AG202" s="386">
        <v>140</v>
      </c>
    </row>
    <row r="203" spans="1:33" x14ac:dyDescent="0.25">
      <c r="A203" s="381" t="s">
        <v>464</v>
      </c>
      <c r="B203" s="387" t="s">
        <v>465</v>
      </c>
      <c r="C203" s="383">
        <v>2968</v>
      </c>
      <c r="D203" s="383">
        <v>49</v>
      </c>
      <c r="E203" s="383">
        <v>511</v>
      </c>
      <c r="F203" s="383">
        <v>861</v>
      </c>
      <c r="G203" s="383">
        <v>661</v>
      </c>
      <c r="H203" s="383">
        <v>5050</v>
      </c>
      <c r="I203" s="382">
        <v>4389</v>
      </c>
      <c r="J203" s="382">
        <v>10</v>
      </c>
      <c r="K203" s="384">
        <v>114.54</v>
      </c>
      <c r="L203" s="384">
        <v>111.31</v>
      </c>
      <c r="M203" s="384">
        <v>8.26</v>
      </c>
      <c r="N203" s="384">
        <v>120.76</v>
      </c>
      <c r="O203" s="385">
        <v>2933</v>
      </c>
      <c r="P203" s="382">
        <v>105.06</v>
      </c>
      <c r="Q203" s="382">
        <v>93.53</v>
      </c>
      <c r="R203" s="382">
        <v>43.14</v>
      </c>
      <c r="S203" s="382">
        <v>145.51</v>
      </c>
      <c r="T203" s="382">
        <v>1302</v>
      </c>
      <c r="U203" s="382">
        <v>167.19</v>
      </c>
      <c r="V203" s="382">
        <v>53</v>
      </c>
      <c r="W203" s="382">
        <v>0</v>
      </c>
      <c r="X203" s="382">
        <v>0</v>
      </c>
      <c r="Y203" s="382">
        <v>0</v>
      </c>
      <c r="Z203" s="382">
        <v>3</v>
      </c>
      <c r="AA203" s="382">
        <v>4</v>
      </c>
      <c r="AB203" s="382">
        <v>4</v>
      </c>
      <c r="AC203" s="382">
        <v>34</v>
      </c>
      <c r="AD203" s="386">
        <v>2967</v>
      </c>
      <c r="AE203" s="386">
        <v>9</v>
      </c>
      <c r="AF203" s="386">
        <v>10</v>
      </c>
      <c r="AG203" s="386">
        <v>19</v>
      </c>
    </row>
    <row r="204" spans="1:33" x14ac:dyDescent="0.25">
      <c r="A204" s="381" t="s">
        <v>466</v>
      </c>
      <c r="B204" s="387" t="s">
        <v>467</v>
      </c>
      <c r="C204" s="383">
        <v>4105</v>
      </c>
      <c r="D204" s="383">
        <v>0</v>
      </c>
      <c r="E204" s="383">
        <v>162</v>
      </c>
      <c r="F204" s="383">
        <v>336</v>
      </c>
      <c r="G204" s="383">
        <v>1</v>
      </c>
      <c r="H204" s="383">
        <v>4604</v>
      </c>
      <c r="I204" s="382">
        <v>4603</v>
      </c>
      <c r="J204" s="382">
        <v>4</v>
      </c>
      <c r="K204" s="384">
        <v>75.81</v>
      </c>
      <c r="L204" s="384">
        <v>75.64</v>
      </c>
      <c r="M204" s="384">
        <v>2.38</v>
      </c>
      <c r="N204" s="384">
        <v>77.930000000000007</v>
      </c>
      <c r="O204" s="385">
        <v>3833</v>
      </c>
      <c r="P204" s="382">
        <v>84.05</v>
      </c>
      <c r="Q204" s="382">
        <v>69.05</v>
      </c>
      <c r="R204" s="382">
        <v>24.42</v>
      </c>
      <c r="S204" s="382">
        <v>108.17</v>
      </c>
      <c r="T204" s="382">
        <v>410</v>
      </c>
      <c r="U204" s="382">
        <v>94.51</v>
      </c>
      <c r="V204" s="382">
        <v>270</v>
      </c>
      <c r="W204" s="382">
        <v>0</v>
      </c>
      <c r="X204" s="382">
        <v>0</v>
      </c>
      <c r="Y204" s="382">
        <v>0</v>
      </c>
      <c r="Z204" s="382">
        <v>21</v>
      </c>
      <c r="AA204" s="382">
        <v>6</v>
      </c>
      <c r="AB204" s="382">
        <v>0</v>
      </c>
      <c r="AC204" s="382">
        <v>0</v>
      </c>
      <c r="AD204" s="386">
        <v>4104</v>
      </c>
      <c r="AE204" s="386">
        <v>19</v>
      </c>
      <c r="AF204" s="386">
        <v>6</v>
      </c>
      <c r="AG204" s="386">
        <v>25</v>
      </c>
    </row>
    <row r="205" spans="1:33" x14ac:dyDescent="0.25">
      <c r="A205" s="381" t="s">
        <v>468</v>
      </c>
      <c r="B205" s="387" t="s">
        <v>469</v>
      </c>
      <c r="C205" s="383">
        <v>12842</v>
      </c>
      <c r="D205" s="383">
        <v>40</v>
      </c>
      <c r="E205" s="383">
        <v>767</v>
      </c>
      <c r="F205" s="383">
        <v>2088</v>
      </c>
      <c r="G205" s="383">
        <v>873</v>
      </c>
      <c r="H205" s="383">
        <v>16610</v>
      </c>
      <c r="I205" s="382">
        <v>15737</v>
      </c>
      <c r="J205" s="382">
        <v>26</v>
      </c>
      <c r="K205" s="384">
        <v>88.28</v>
      </c>
      <c r="L205" s="384">
        <v>88.58</v>
      </c>
      <c r="M205" s="384">
        <v>6.03</v>
      </c>
      <c r="N205" s="384">
        <v>91.21</v>
      </c>
      <c r="O205" s="385">
        <v>11275</v>
      </c>
      <c r="P205" s="382">
        <v>86.82</v>
      </c>
      <c r="Q205" s="382">
        <v>87.58</v>
      </c>
      <c r="R205" s="382">
        <v>34.479999999999997</v>
      </c>
      <c r="S205" s="382">
        <v>119.51</v>
      </c>
      <c r="T205" s="382">
        <v>2592</v>
      </c>
      <c r="U205" s="382">
        <v>105.29</v>
      </c>
      <c r="V205" s="382">
        <v>1279</v>
      </c>
      <c r="W205" s="382">
        <v>192.14</v>
      </c>
      <c r="X205" s="382">
        <v>100</v>
      </c>
      <c r="Y205" s="382">
        <v>20</v>
      </c>
      <c r="Z205" s="382">
        <v>49</v>
      </c>
      <c r="AA205" s="382">
        <v>8</v>
      </c>
      <c r="AB205" s="382">
        <v>105</v>
      </c>
      <c r="AC205" s="382">
        <v>21</v>
      </c>
      <c r="AD205" s="386">
        <v>12842</v>
      </c>
      <c r="AE205" s="386">
        <v>64</v>
      </c>
      <c r="AF205" s="386">
        <v>53</v>
      </c>
      <c r="AG205" s="386">
        <v>117</v>
      </c>
    </row>
    <row r="206" spans="1:33" x14ac:dyDescent="0.25">
      <c r="A206" s="381" t="s">
        <v>470</v>
      </c>
      <c r="B206" s="387" t="s">
        <v>471</v>
      </c>
      <c r="C206" s="383">
        <v>19035</v>
      </c>
      <c r="D206" s="383">
        <v>0</v>
      </c>
      <c r="E206" s="383">
        <v>2256</v>
      </c>
      <c r="F206" s="383">
        <v>1223</v>
      </c>
      <c r="G206" s="383">
        <v>996</v>
      </c>
      <c r="H206" s="383">
        <v>23510</v>
      </c>
      <c r="I206" s="382">
        <v>22514</v>
      </c>
      <c r="J206" s="382">
        <v>19</v>
      </c>
      <c r="K206" s="384">
        <v>76.62</v>
      </c>
      <c r="L206" s="384">
        <v>79.709999999999994</v>
      </c>
      <c r="M206" s="384">
        <v>7</v>
      </c>
      <c r="N206" s="384">
        <v>80.849999999999994</v>
      </c>
      <c r="O206" s="385">
        <v>16665</v>
      </c>
      <c r="P206" s="382">
        <v>71.58</v>
      </c>
      <c r="Q206" s="382">
        <v>72.88</v>
      </c>
      <c r="R206" s="382">
        <v>26.87</v>
      </c>
      <c r="S206" s="382">
        <v>96.98</v>
      </c>
      <c r="T206" s="382">
        <v>3281</v>
      </c>
      <c r="U206" s="382">
        <v>106.61</v>
      </c>
      <c r="V206" s="382">
        <v>1940</v>
      </c>
      <c r="W206" s="382">
        <v>96.52</v>
      </c>
      <c r="X206" s="382">
        <v>100</v>
      </c>
      <c r="Y206" s="382">
        <v>44</v>
      </c>
      <c r="Z206" s="382">
        <v>80</v>
      </c>
      <c r="AA206" s="382">
        <v>27</v>
      </c>
      <c r="AB206" s="382">
        <v>92</v>
      </c>
      <c r="AC206" s="382">
        <v>29</v>
      </c>
      <c r="AD206" s="386">
        <v>18618</v>
      </c>
      <c r="AE206" s="386">
        <v>69</v>
      </c>
      <c r="AF206" s="386">
        <v>280</v>
      </c>
      <c r="AG206" s="386">
        <v>349</v>
      </c>
    </row>
    <row r="207" spans="1:33" x14ac:dyDescent="0.25">
      <c r="A207" s="381" t="s">
        <v>472</v>
      </c>
      <c r="B207" s="387" t="s">
        <v>473</v>
      </c>
      <c r="C207" s="383">
        <v>4779</v>
      </c>
      <c r="D207" s="383">
        <v>15</v>
      </c>
      <c r="E207" s="383">
        <v>505</v>
      </c>
      <c r="F207" s="383">
        <v>957</v>
      </c>
      <c r="G207" s="383">
        <v>748</v>
      </c>
      <c r="H207" s="383">
        <v>7004</v>
      </c>
      <c r="I207" s="382">
        <v>6256</v>
      </c>
      <c r="J207" s="382">
        <v>80</v>
      </c>
      <c r="K207" s="384">
        <v>101.53</v>
      </c>
      <c r="L207" s="384">
        <v>101.86</v>
      </c>
      <c r="M207" s="384">
        <v>8.4</v>
      </c>
      <c r="N207" s="384">
        <v>108.34</v>
      </c>
      <c r="O207" s="385">
        <v>3666</v>
      </c>
      <c r="P207" s="382">
        <v>84.82</v>
      </c>
      <c r="Q207" s="382">
        <v>83.18</v>
      </c>
      <c r="R207" s="382">
        <v>26.55</v>
      </c>
      <c r="S207" s="382">
        <v>109.26</v>
      </c>
      <c r="T207" s="382">
        <v>638</v>
      </c>
      <c r="U207" s="382">
        <v>129.30000000000001</v>
      </c>
      <c r="V207" s="382">
        <v>696</v>
      </c>
      <c r="W207" s="382">
        <v>168.67</v>
      </c>
      <c r="X207" s="382">
        <v>267</v>
      </c>
      <c r="Y207" s="382">
        <v>1</v>
      </c>
      <c r="Z207" s="382">
        <v>31</v>
      </c>
      <c r="AA207" s="382">
        <v>14</v>
      </c>
      <c r="AB207" s="382">
        <v>48</v>
      </c>
      <c r="AC207" s="382">
        <v>19</v>
      </c>
      <c r="AD207" s="386">
        <v>4594</v>
      </c>
      <c r="AE207" s="386">
        <v>25</v>
      </c>
      <c r="AF207" s="386">
        <v>29</v>
      </c>
      <c r="AG207" s="386">
        <v>54</v>
      </c>
    </row>
    <row r="208" spans="1:33" x14ac:dyDescent="0.25">
      <c r="A208" s="381" t="s">
        <v>474</v>
      </c>
      <c r="B208" s="387" t="s">
        <v>475</v>
      </c>
      <c r="C208" s="383">
        <v>9824</v>
      </c>
      <c r="D208" s="383">
        <v>3</v>
      </c>
      <c r="E208" s="383">
        <v>365</v>
      </c>
      <c r="F208" s="383">
        <v>1180</v>
      </c>
      <c r="G208" s="383">
        <v>365</v>
      </c>
      <c r="H208" s="383">
        <v>11737</v>
      </c>
      <c r="I208" s="382">
        <v>11372</v>
      </c>
      <c r="J208" s="382">
        <v>7</v>
      </c>
      <c r="K208" s="384">
        <v>80.58</v>
      </c>
      <c r="L208" s="384">
        <v>78.400000000000006</v>
      </c>
      <c r="M208" s="384">
        <v>5.55</v>
      </c>
      <c r="N208" s="384">
        <v>83</v>
      </c>
      <c r="O208" s="385">
        <v>9193</v>
      </c>
      <c r="P208" s="382">
        <v>78.06</v>
      </c>
      <c r="Q208" s="382">
        <v>70.14</v>
      </c>
      <c r="R208" s="382">
        <v>36.880000000000003</v>
      </c>
      <c r="S208" s="382">
        <v>114.62</v>
      </c>
      <c r="T208" s="382">
        <v>1510</v>
      </c>
      <c r="U208" s="382">
        <v>101.63</v>
      </c>
      <c r="V208" s="382">
        <v>610</v>
      </c>
      <c r="W208" s="382">
        <v>0</v>
      </c>
      <c r="X208" s="382">
        <v>0</v>
      </c>
      <c r="Y208" s="382">
        <v>0</v>
      </c>
      <c r="Z208" s="382">
        <v>29</v>
      </c>
      <c r="AA208" s="382">
        <v>7</v>
      </c>
      <c r="AB208" s="382">
        <v>7</v>
      </c>
      <c r="AC208" s="382">
        <v>7</v>
      </c>
      <c r="AD208" s="386">
        <v>9804</v>
      </c>
      <c r="AE208" s="386">
        <v>89</v>
      </c>
      <c r="AF208" s="386">
        <v>18</v>
      </c>
      <c r="AG208" s="386">
        <v>107</v>
      </c>
    </row>
    <row r="209" spans="1:33" x14ac:dyDescent="0.25">
      <c r="A209" s="381" t="s">
        <v>476</v>
      </c>
      <c r="B209" s="387" t="s">
        <v>477</v>
      </c>
      <c r="C209" s="383">
        <v>3472</v>
      </c>
      <c r="D209" s="383">
        <v>48</v>
      </c>
      <c r="E209" s="383">
        <v>317</v>
      </c>
      <c r="F209" s="383">
        <v>509</v>
      </c>
      <c r="G209" s="383">
        <v>915</v>
      </c>
      <c r="H209" s="383">
        <v>5261</v>
      </c>
      <c r="I209" s="382">
        <v>4346</v>
      </c>
      <c r="J209" s="382">
        <v>8</v>
      </c>
      <c r="K209" s="384">
        <v>121.11</v>
      </c>
      <c r="L209" s="384">
        <v>120.19</v>
      </c>
      <c r="M209" s="384">
        <v>8.49</v>
      </c>
      <c r="N209" s="384">
        <v>129.03</v>
      </c>
      <c r="O209" s="385">
        <v>2856</v>
      </c>
      <c r="P209" s="382">
        <v>109.83</v>
      </c>
      <c r="Q209" s="382">
        <v>101.68</v>
      </c>
      <c r="R209" s="382">
        <v>61.15</v>
      </c>
      <c r="S209" s="382">
        <v>169.28</v>
      </c>
      <c r="T209" s="382">
        <v>683</v>
      </c>
      <c r="U209" s="382">
        <v>155.93</v>
      </c>
      <c r="V209" s="382">
        <v>255</v>
      </c>
      <c r="W209" s="382">
        <v>151.16999999999999</v>
      </c>
      <c r="X209" s="382">
        <v>42</v>
      </c>
      <c r="Y209" s="382">
        <v>0</v>
      </c>
      <c r="Z209" s="382">
        <v>2</v>
      </c>
      <c r="AA209" s="382">
        <v>2</v>
      </c>
      <c r="AB209" s="382">
        <v>32</v>
      </c>
      <c r="AC209" s="382">
        <v>76</v>
      </c>
      <c r="AD209" s="386">
        <v>3350</v>
      </c>
      <c r="AE209" s="386">
        <v>12</v>
      </c>
      <c r="AF209" s="386">
        <v>4</v>
      </c>
      <c r="AG209" s="386">
        <v>16</v>
      </c>
    </row>
    <row r="210" spans="1:33" x14ac:dyDescent="0.25">
      <c r="A210" s="381" t="s">
        <v>478</v>
      </c>
      <c r="B210" s="387" t="s">
        <v>479</v>
      </c>
      <c r="C210" s="383">
        <v>3435</v>
      </c>
      <c r="D210" s="383">
        <v>0</v>
      </c>
      <c r="E210" s="383">
        <v>407</v>
      </c>
      <c r="F210" s="383">
        <v>1098</v>
      </c>
      <c r="G210" s="383">
        <v>588</v>
      </c>
      <c r="H210" s="383">
        <v>5528</v>
      </c>
      <c r="I210" s="382">
        <v>4940</v>
      </c>
      <c r="J210" s="382">
        <v>12</v>
      </c>
      <c r="K210" s="384">
        <v>132.16</v>
      </c>
      <c r="L210" s="384">
        <v>126.79</v>
      </c>
      <c r="M210" s="384">
        <v>10.45</v>
      </c>
      <c r="N210" s="384">
        <v>137.87</v>
      </c>
      <c r="O210" s="385">
        <v>3016</v>
      </c>
      <c r="P210" s="382">
        <v>104.01</v>
      </c>
      <c r="Q210" s="382">
        <v>100.68</v>
      </c>
      <c r="R210" s="382">
        <v>40.47</v>
      </c>
      <c r="S210" s="382">
        <v>143.68</v>
      </c>
      <c r="T210" s="382">
        <v>1321</v>
      </c>
      <c r="U210" s="382">
        <v>159.5</v>
      </c>
      <c r="V210" s="382">
        <v>135</v>
      </c>
      <c r="W210" s="382">
        <v>134.87</v>
      </c>
      <c r="X210" s="382">
        <v>53</v>
      </c>
      <c r="Y210" s="382">
        <v>0</v>
      </c>
      <c r="Z210" s="382">
        <v>3</v>
      </c>
      <c r="AA210" s="382">
        <v>3</v>
      </c>
      <c r="AB210" s="382">
        <v>23</v>
      </c>
      <c r="AC210" s="382">
        <v>26</v>
      </c>
      <c r="AD210" s="386">
        <v>3313</v>
      </c>
      <c r="AE210" s="386">
        <v>9</v>
      </c>
      <c r="AF210" s="386">
        <v>49</v>
      </c>
      <c r="AG210" s="386">
        <v>58</v>
      </c>
    </row>
    <row r="211" spans="1:33" x14ac:dyDescent="0.25">
      <c r="A211" s="381" t="s">
        <v>480</v>
      </c>
      <c r="B211" s="387" t="s">
        <v>481</v>
      </c>
      <c r="C211" s="383">
        <v>11365</v>
      </c>
      <c r="D211" s="383">
        <v>0</v>
      </c>
      <c r="E211" s="383">
        <v>197</v>
      </c>
      <c r="F211" s="383">
        <v>533</v>
      </c>
      <c r="G211" s="383">
        <v>247</v>
      </c>
      <c r="H211" s="383">
        <v>12342</v>
      </c>
      <c r="I211" s="382">
        <v>12095</v>
      </c>
      <c r="J211" s="382">
        <v>20</v>
      </c>
      <c r="K211" s="384">
        <v>89.2</v>
      </c>
      <c r="L211" s="384">
        <v>89.66</v>
      </c>
      <c r="M211" s="384">
        <v>6.12</v>
      </c>
      <c r="N211" s="384">
        <v>92.26</v>
      </c>
      <c r="O211" s="385">
        <v>11010</v>
      </c>
      <c r="P211" s="382">
        <v>83.99</v>
      </c>
      <c r="Q211" s="382">
        <v>78.819999999999993</v>
      </c>
      <c r="R211" s="382">
        <v>41.07</v>
      </c>
      <c r="S211" s="382">
        <v>124.69</v>
      </c>
      <c r="T211" s="382">
        <v>674</v>
      </c>
      <c r="U211" s="382">
        <v>108.95</v>
      </c>
      <c r="V211" s="382">
        <v>207</v>
      </c>
      <c r="W211" s="382">
        <v>0</v>
      </c>
      <c r="X211" s="382">
        <v>0</v>
      </c>
      <c r="Y211" s="382">
        <v>0</v>
      </c>
      <c r="Z211" s="382">
        <v>32</v>
      </c>
      <c r="AA211" s="382">
        <v>17</v>
      </c>
      <c r="AB211" s="382">
        <v>32</v>
      </c>
      <c r="AC211" s="382">
        <v>8</v>
      </c>
      <c r="AD211" s="386">
        <v>11365</v>
      </c>
      <c r="AE211" s="386">
        <v>74</v>
      </c>
      <c r="AF211" s="386">
        <v>133</v>
      </c>
      <c r="AG211" s="386">
        <v>207</v>
      </c>
    </row>
    <row r="212" spans="1:33" x14ac:dyDescent="0.25">
      <c r="A212" s="381" t="s">
        <v>482</v>
      </c>
      <c r="B212" s="387" t="s">
        <v>483</v>
      </c>
      <c r="C212" s="383">
        <v>1669</v>
      </c>
      <c r="D212" s="383">
        <v>0</v>
      </c>
      <c r="E212" s="383">
        <v>192</v>
      </c>
      <c r="F212" s="383">
        <v>179</v>
      </c>
      <c r="G212" s="383">
        <v>145</v>
      </c>
      <c r="H212" s="383">
        <v>2185</v>
      </c>
      <c r="I212" s="382">
        <v>2040</v>
      </c>
      <c r="J212" s="382">
        <v>0</v>
      </c>
      <c r="K212" s="384">
        <v>89.22</v>
      </c>
      <c r="L212" s="384">
        <v>87.97</v>
      </c>
      <c r="M212" s="384">
        <v>4.18</v>
      </c>
      <c r="N212" s="384">
        <v>92.72</v>
      </c>
      <c r="O212" s="385">
        <v>1111</v>
      </c>
      <c r="P212" s="382">
        <v>97.89</v>
      </c>
      <c r="Q212" s="382">
        <v>94.77</v>
      </c>
      <c r="R212" s="382">
        <v>46.39</v>
      </c>
      <c r="S212" s="382">
        <v>137.6</v>
      </c>
      <c r="T212" s="382">
        <v>243</v>
      </c>
      <c r="U212" s="382">
        <v>110.32</v>
      </c>
      <c r="V212" s="382">
        <v>164</v>
      </c>
      <c r="W212" s="382">
        <v>186.88</v>
      </c>
      <c r="X212" s="382">
        <v>43</v>
      </c>
      <c r="Y212" s="382">
        <v>0</v>
      </c>
      <c r="Z212" s="382">
        <v>1</v>
      </c>
      <c r="AA212" s="382">
        <v>5</v>
      </c>
      <c r="AB212" s="382">
        <v>5</v>
      </c>
      <c r="AC212" s="382">
        <v>6</v>
      </c>
      <c r="AD212" s="386">
        <v>1344</v>
      </c>
      <c r="AE212" s="386">
        <v>8</v>
      </c>
      <c r="AF212" s="386">
        <v>2</v>
      </c>
      <c r="AG212" s="386">
        <v>10</v>
      </c>
    </row>
    <row r="213" spans="1:33" x14ac:dyDescent="0.25">
      <c r="A213" s="381" t="s">
        <v>484</v>
      </c>
      <c r="B213" s="387" t="s">
        <v>485</v>
      </c>
      <c r="C213" s="383">
        <v>6040</v>
      </c>
      <c r="D213" s="383">
        <v>0</v>
      </c>
      <c r="E213" s="383">
        <v>464</v>
      </c>
      <c r="F213" s="383">
        <v>665</v>
      </c>
      <c r="G213" s="383">
        <v>765</v>
      </c>
      <c r="H213" s="383">
        <v>7934</v>
      </c>
      <c r="I213" s="382">
        <v>7169</v>
      </c>
      <c r="J213" s="382">
        <v>13</v>
      </c>
      <c r="K213" s="384">
        <v>121.02</v>
      </c>
      <c r="L213" s="384">
        <v>122.13</v>
      </c>
      <c r="M213" s="384">
        <v>3.84</v>
      </c>
      <c r="N213" s="384">
        <v>124.68</v>
      </c>
      <c r="O213" s="385">
        <v>5143</v>
      </c>
      <c r="P213" s="382">
        <v>102.13</v>
      </c>
      <c r="Q213" s="382">
        <v>101.28</v>
      </c>
      <c r="R213" s="382">
        <v>22.22</v>
      </c>
      <c r="S213" s="382">
        <v>123.21</v>
      </c>
      <c r="T213" s="382">
        <v>736</v>
      </c>
      <c r="U213" s="382">
        <v>142.13</v>
      </c>
      <c r="V213" s="382">
        <v>770</v>
      </c>
      <c r="W213" s="382">
        <v>197.82</v>
      </c>
      <c r="X213" s="382">
        <v>106</v>
      </c>
      <c r="Y213" s="382">
        <v>0</v>
      </c>
      <c r="Z213" s="382">
        <v>54</v>
      </c>
      <c r="AA213" s="382">
        <v>22</v>
      </c>
      <c r="AB213" s="382">
        <v>109</v>
      </c>
      <c r="AC213" s="382">
        <v>22</v>
      </c>
      <c r="AD213" s="386">
        <v>6040</v>
      </c>
      <c r="AE213" s="386">
        <v>47</v>
      </c>
      <c r="AF213" s="386">
        <v>30</v>
      </c>
      <c r="AG213" s="386">
        <v>77</v>
      </c>
    </row>
    <row r="214" spans="1:33" x14ac:dyDescent="0.25">
      <c r="A214" s="381" t="s">
        <v>486</v>
      </c>
      <c r="B214" s="387" t="s">
        <v>487</v>
      </c>
      <c r="C214" s="383">
        <v>1198</v>
      </c>
      <c r="D214" s="383">
        <v>0</v>
      </c>
      <c r="E214" s="383">
        <v>87</v>
      </c>
      <c r="F214" s="383">
        <v>719</v>
      </c>
      <c r="G214" s="383">
        <v>226</v>
      </c>
      <c r="H214" s="383">
        <v>2230</v>
      </c>
      <c r="I214" s="382">
        <v>2004</v>
      </c>
      <c r="J214" s="382">
        <v>1</v>
      </c>
      <c r="K214" s="384">
        <v>87.11</v>
      </c>
      <c r="L214" s="384">
        <v>86.58</v>
      </c>
      <c r="M214" s="384">
        <v>2.96</v>
      </c>
      <c r="N214" s="384">
        <v>89.19</v>
      </c>
      <c r="O214" s="385">
        <v>981</v>
      </c>
      <c r="P214" s="382">
        <v>74.650000000000006</v>
      </c>
      <c r="Q214" s="382">
        <v>71.77</v>
      </c>
      <c r="R214" s="382">
        <v>15.42</v>
      </c>
      <c r="S214" s="382">
        <v>89.76</v>
      </c>
      <c r="T214" s="382">
        <v>781</v>
      </c>
      <c r="U214" s="382">
        <v>108.83</v>
      </c>
      <c r="V214" s="382">
        <v>205</v>
      </c>
      <c r="W214" s="382">
        <v>97.94</v>
      </c>
      <c r="X214" s="382">
        <v>8</v>
      </c>
      <c r="Y214" s="382">
        <v>0</v>
      </c>
      <c r="Z214" s="382">
        <v>8</v>
      </c>
      <c r="AA214" s="382">
        <v>2</v>
      </c>
      <c r="AB214" s="382">
        <v>32</v>
      </c>
      <c r="AC214" s="382">
        <v>1</v>
      </c>
      <c r="AD214" s="386">
        <v>1198</v>
      </c>
      <c r="AE214" s="386">
        <v>2</v>
      </c>
      <c r="AF214" s="386">
        <v>10</v>
      </c>
      <c r="AG214" s="386">
        <v>12</v>
      </c>
    </row>
    <row r="215" spans="1:33" x14ac:dyDescent="0.25">
      <c r="A215" s="381" t="s">
        <v>488</v>
      </c>
      <c r="B215" s="387" t="s">
        <v>489</v>
      </c>
      <c r="C215" s="383">
        <v>8759</v>
      </c>
      <c r="D215" s="383">
        <v>12</v>
      </c>
      <c r="E215" s="383">
        <v>318</v>
      </c>
      <c r="F215" s="383">
        <v>835</v>
      </c>
      <c r="G215" s="383">
        <v>469</v>
      </c>
      <c r="H215" s="383">
        <v>10393</v>
      </c>
      <c r="I215" s="382">
        <v>9924</v>
      </c>
      <c r="J215" s="382">
        <v>1</v>
      </c>
      <c r="K215" s="384">
        <v>123.25</v>
      </c>
      <c r="L215" s="384">
        <v>135.63999999999999</v>
      </c>
      <c r="M215" s="384">
        <v>9.3699999999999992</v>
      </c>
      <c r="N215" s="384">
        <v>129.78</v>
      </c>
      <c r="O215" s="385">
        <v>8001</v>
      </c>
      <c r="P215" s="382">
        <v>117.1</v>
      </c>
      <c r="Q215" s="382">
        <v>118.29</v>
      </c>
      <c r="R215" s="382">
        <v>32.340000000000003</v>
      </c>
      <c r="S215" s="382">
        <v>147.11000000000001</v>
      </c>
      <c r="T215" s="382">
        <v>1088</v>
      </c>
      <c r="U215" s="382">
        <v>195.29</v>
      </c>
      <c r="V215" s="382">
        <v>552</v>
      </c>
      <c r="W215" s="382">
        <v>205.84</v>
      </c>
      <c r="X215" s="382">
        <v>11</v>
      </c>
      <c r="Y215" s="382">
        <v>6</v>
      </c>
      <c r="Z215" s="382">
        <v>12</v>
      </c>
      <c r="AA215" s="382">
        <v>42</v>
      </c>
      <c r="AB215" s="382">
        <v>4</v>
      </c>
      <c r="AC215" s="382">
        <v>13</v>
      </c>
      <c r="AD215" s="386">
        <v>8670</v>
      </c>
      <c r="AE215" s="386">
        <v>21</v>
      </c>
      <c r="AF215" s="386">
        <v>34</v>
      </c>
      <c r="AG215" s="386">
        <v>55</v>
      </c>
    </row>
    <row r="216" spans="1:33" x14ac:dyDescent="0.25">
      <c r="A216" s="381" t="s">
        <v>490</v>
      </c>
      <c r="B216" s="387" t="s">
        <v>491</v>
      </c>
      <c r="C216" s="383">
        <v>606</v>
      </c>
      <c r="D216" s="383">
        <v>4</v>
      </c>
      <c r="E216" s="383">
        <v>92</v>
      </c>
      <c r="F216" s="383">
        <v>97</v>
      </c>
      <c r="G216" s="383">
        <v>51</v>
      </c>
      <c r="H216" s="383">
        <v>850</v>
      </c>
      <c r="I216" s="382">
        <v>799</v>
      </c>
      <c r="J216" s="382">
        <v>0</v>
      </c>
      <c r="K216" s="384">
        <v>93.74</v>
      </c>
      <c r="L216" s="384">
        <v>93</v>
      </c>
      <c r="M216" s="384">
        <v>3.44</v>
      </c>
      <c r="N216" s="384">
        <v>96.17</v>
      </c>
      <c r="O216" s="385">
        <v>483</v>
      </c>
      <c r="P216" s="382">
        <v>97.33</v>
      </c>
      <c r="Q216" s="382">
        <v>102.75</v>
      </c>
      <c r="R216" s="382">
        <v>64.39</v>
      </c>
      <c r="S216" s="382">
        <v>153.97</v>
      </c>
      <c r="T216" s="382">
        <v>133</v>
      </c>
      <c r="U216" s="382">
        <v>106.3</v>
      </c>
      <c r="V216" s="382">
        <v>96</v>
      </c>
      <c r="W216" s="382">
        <v>157.94</v>
      </c>
      <c r="X216" s="382">
        <v>46</v>
      </c>
      <c r="Y216" s="382">
        <v>0</v>
      </c>
      <c r="Z216" s="382">
        <v>0</v>
      </c>
      <c r="AA216" s="382">
        <v>0</v>
      </c>
      <c r="AB216" s="382">
        <v>0</v>
      </c>
      <c r="AC216" s="382">
        <v>0</v>
      </c>
      <c r="AD216" s="386">
        <v>606</v>
      </c>
      <c r="AE216" s="386">
        <v>2</v>
      </c>
      <c r="AF216" s="386">
        <v>5</v>
      </c>
      <c r="AG216" s="386">
        <v>7</v>
      </c>
    </row>
    <row r="217" spans="1:33" x14ac:dyDescent="0.25">
      <c r="A217" s="381" t="s">
        <v>492</v>
      </c>
      <c r="B217" s="387" t="s">
        <v>493</v>
      </c>
      <c r="C217" s="383">
        <v>18763</v>
      </c>
      <c r="D217" s="383">
        <v>0</v>
      </c>
      <c r="E217" s="383">
        <v>553</v>
      </c>
      <c r="F217" s="383">
        <v>2032</v>
      </c>
      <c r="G217" s="383">
        <v>221</v>
      </c>
      <c r="H217" s="383">
        <v>21569</v>
      </c>
      <c r="I217" s="382">
        <v>21348</v>
      </c>
      <c r="J217" s="382">
        <v>60</v>
      </c>
      <c r="K217" s="384">
        <v>77.27</v>
      </c>
      <c r="L217" s="384">
        <v>78.930000000000007</v>
      </c>
      <c r="M217" s="384">
        <v>4.5999999999999996</v>
      </c>
      <c r="N217" s="384">
        <v>81.28</v>
      </c>
      <c r="O217" s="385">
        <v>17634</v>
      </c>
      <c r="P217" s="382">
        <v>76.290000000000006</v>
      </c>
      <c r="Q217" s="382">
        <v>73.13</v>
      </c>
      <c r="R217" s="382">
        <v>26.23</v>
      </c>
      <c r="S217" s="382">
        <v>101.06</v>
      </c>
      <c r="T217" s="382">
        <v>2488</v>
      </c>
      <c r="U217" s="382">
        <v>97.05</v>
      </c>
      <c r="V217" s="382">
        <v>1022</v>
      </c>
      <c r="W217" s="382">
        <v>0</v>
      </c>
      <c r="X217" s="382">
        <v>0</v>
      </c>
      <c r="Y217" s="382">
        <v>2</v>
      </c>
      <c r="Z217" s="382">
        <v>124</v>
      </c>
      <c r="AA217" s="382">
        <v>7</v>
      </c>
      <c r="AB217" s="382">
        <v>1</v>
      </c>
      <c r="AC217" s="382">
        <v>6</v>
      </c>
      <c r="AD217" s="386">
        <v>18682</v>
      </c>
      <c r="AE217" s="386">
        <v>272</v>
      </c>
      <c r="AF217" s="386">
        <v>206</v>
      </c>
      <c r="AG217" s="386">
        <v>478</v>
      </c>
    </row>
    <row r="218" spans="1:33" x14ac:dyDescent="0.25">
      <c r="A218" s="381" t="s">
        <v>494</v>
      </c>
      <c r="B218" s="387" t="s">
        <v>495</v>
      </c>
      <c r="C218" s="383">
        <v>2070</v>
      </c>
      <c r="D218" s="383">
        <v>0</v>
      </c>
      <c r="E218" s="383">
        <v>48</v>
      </c>
      <c r="F218" s="383">
        <v>715</v>
      </c>
      <c r="G218" s="383">
        <v>217</v>
      </c>
      <c r="H218" s="383">
        <v>3050</v>
      </c>
      <c r="I218" s="382">
        <v>2833</v>
      </c>
      <c r="J218" s="382">
        <v>4</v>
      </c>
      <c r="K218" s="384">
        <v>102.1</v>
      </c>
      <c r="L218" s="384">
        <v>103.47</v>
      </c>
      <c r="M218" s="384">
        <v>5.78</v>
      </c>
      <c r="N218" s="384">
        <v>104.09</v>
      </c>
      <c r="O218" s="385">
        <v>1772</v>
      </c>
      <c r="P218" s="382">
        <v>87.55</v>
      </c>
      <c r="Q218" s="382">
        <v>87.82</v>
      </c>
      <c r="R218" s="382">
        <v>34.76</v>
      </c>
      <c r="S218" s="382">
        <v>122.27</v>
      </c>
      <c r="T218" s="382">
        <v>763</v>
      </c>
      <c r="U218" s="382">
        <v>140.82</v>
      </c>
      <c r="V218" s="382">
        <v>297</v>
      </c>
      <c r="W218" s="382">
        <v>0</v>
      </c>
      <c r="X218" s="382">
        <v>0</v>
      </c>
      <c r="Y218" s="382">
        <v>1</v>
      </c>
      <c r="Z218" s="382">
        <v>3</v>
      </c>
      <c r="AA218" s="382">
        <v>0</v>
      </c>
      <c r="AB218" s="382">
        <v>8</v>
      </c>
      <c r="AC218" s="382">
        <v>0</v>
      </c>
      <c r="AD218" s="386">
        <v>2070</v>
      </c>
      <c r="AE218" s="386">
        <v>4</v>
      </c>
      <c r="AF218" s="386">
        <v>4</v>
      </c>
      <c r="AG218" s="386">
        <v>8</v>
      </c>
    </row>
    <row r="219" spans="1:33" x14ac:dyDescent="0.25">
      <c r="A219" s="381" t="s">
        <v>496</v>
      </c>
      <c r="B219" s="387" t="s">
        <v>497</v>
      </c>
      <c r="C219" s="383">
        <v>4218</v>
      </c>
      <c r="D219" s="383">
        <v>0</v>
      </c>
      <c r="E219" s="383">
        <v>64</v>
      </c>
      <c r="F219" s="383">
        <v>401</v>
      </c>
      <c r="G219" s="383">
        <v>39</v>
      </c>
      <c r="H219" s="383">
        <v>4722</v>
      </c>
      <c r="I219" s="382">
        <v>4683</v>
      </c>
      <c r="J219" s="382">
        <v>1</v>
      </c>
      <c r="K219" s="384">
        <v>75.88</v>
      </c>
      <c r="L219" s="384">
        <v>76.83</v>
      </c>
      <c r="M219" s="384">
        <v>3.58</v>
      </c>
      <c r="N219" s="384">
        <v>76.61</v>
      </c>
      <c r="O219" s="385">
        <v>3858</v>
      </c>
      <c r="P219" s="382">
        <v>82.69</v>
      </c>
      <c r="Q219" s="382">
        <v>80.81</v>
      </c>
      <c r="R219" s="382">
        <v>27.79</v>
      </c>
      <c r="S219" s="382">
        <v>109.44</v>
      </c>
      <c r="T219" s="382">
        <v>432</v>
      </c>
      <c r="U219" s="382">
        <v>94.16</v>
      </c>
      <c r="V219" s="382">
        <v>358</v>
      </c>
      <c r="W219" s="382">
        <v>0</v>
      </c>
      <c r="X219" s="382">
        <v>0</v>
      </c>
      <c r="Y219" s="382">
        <v>0</v>
      </c>
      <c r="Z219" s="382">
        <v>16</v>
      </c>
      <c r="AA219" s="382">
        <v>4</v>
      </c>
      <c r="AB219" s="382">
        <v>5</v>
      </c>
      <c r="AC219" s="382">
        <v>0</v>
      </c>
      <c r="AD219" s="386">
        <v>4218</v>
      </c>
      <c r="AE219" s="386">
        <v>15</v>
      </c>
      <c r="AF219" s="386">
        <v>12</v>
      </c>
      <c r="AG219" s="386">
        <v>27</v>
      </c>
    </row>
    <row r="220" spans="1:33" x14ac:dyDescent="0.25">
      <c r="A220" s="381" t="s">
        <v>498</v>
      </c>
      <c r="B220" s="387" t="s">
        <v>499</v>
      </c>
      <c r="C220" s="383">
        <v>3561</v>
      </c>
      <c r="D220" s="383">
        <v>0</v>
      </c>
      <c r="E220" s="383">
        <v>135</v>
      </c>
      <c r="F220" s="383">
        <v>700</v>
      </c>
      <c r="G220" s="383">
        <v>178</v>
      </c>
      <c r="H220" s="383">
        <v>4574</v>
      </c>
      <c r="I220" s="382">
        <v>4396</v>
      </c>
      <c r="J220" s="382">
        <v>20</v>
      </c>
      <c r="K220" s="384">
        <v>99.02</v>
      </c>
      <c r="L220" s="384">
        <v>97.51</v>
      </c>
      <c r="M220" s="384">
        <v>2.83</v>
      </c>
      <c r="N220" s="384">
        <v>101.35</v>
      </c>
      <c r="O220" s="385">
        <v>3178</v>
      </c>
      <c r="P220" s="382">
        <v>85.3</v>
      </c>
      <c r="Q220" s="382">
        <v>84.03</v>
      </c>
      <c r="R220" s="382">
        <v>31.69</v>
      </c>
      <c r="S220" s="382">
        <v>116.24</v>
      </c>
      <c r="T220" s="382">
        <v>675</v>
      </c>
      <c r="U220" s="382">
        <v>120.05</v>
      </c>
      <c r="V220" s="382">
        <v>368</v>
      </c>
      <c r="W220" s="382">
        <v>125.69</v>
      </c>
      <c r="X220" s="382">
        <v>24</v>
      </c>
      <c r="Y220" s="382">
        <v>0</v>
      </c>
      <c r="Z220" s="382">
        <v>5</v>
      </c>
      <c r="AA220" s="382">
        <v>0</v>
      </c>
      <c r="AB220" s="382">
        <v>30</v>
      </c>
      <c r="AC220" s="382">
        <v>7</v>
      </c>
      <c r="AD220" s="386">
        <v>3544</v>
      </c>
      <c r="AE220" s="386">
        <v>11</v>
      </c>
      <c r="AF220" s="386">
        <v>19</v>
      </c>
      <c r="AG220" s="386">
        <v>30</v>
      </c>
    </row>
    <row r="221" spans="1:33" x14ac:dyDescent="0.25">
      <c r="A221" s="381" t="s">
        <v>500</v>
      </c>
      <c r="B221" s="387" t="s">
        <v>501</v>
      </c>
      <c r="C221" s="383">
        <v>3320</v>
      </c>
      <c r="D221" s="383">
        <v>0</v>
      </c>
      <c r="E221" s="383">
        <v>370</v>
      </c>
      <c r="F221" s="383">
        <v>895</v>
      </c>
      <c r="G221" s="383">
        <v>303</v>
      </c>
      <c r="H221" s="383">
        <v>4888</v>
      </c>
      <c r="I221" s="382">
        <v>4585</v>
      </c>
      <c r="J221" s="382">
        <v>0</v>
      </c>
      <c r="K221" s="384">
        <v>83.38</v>
      </c>
      <c r="L221" s="384">
        <v>81.459999999999994</v>
      </c>
      <c r="M221" s="384">
        <v>7.69</v>
      </c>
      <c r="N221" s="384">
        <v>87.27</v>
      </c>
      <c r="O221" s="385">
        <v>2901</v>
      </c>
      <c r="P221" s="382">
        <v>83.89</v>
      </c>
      <c r="Q221" s="382">
        <v>74.94</v>
      </c>
      <c r="R221" s="382">
        <v>32.67</v>
      </c>
      <c r="S221" s="382">
        <v>112.89</v>
      </c>
      <c r="T221" s="382">
        <v>1221</v>
      </c>
      <c r="U221" s="382">
        <v>102.31</v>
      </c>
      <c r="V221" s="382">
        <v>309</v>
      </c>
      <c r="W221" s="382">
        <v>133.24</v>
      </c>
      <c r="X221" s="382">
        <v>31</v>
      </c>
      <c r="Y221" s="382">
        <v>0</v>
      </c>
      <c r="Z221" s="382">
        <v>1</v>
      </c>
      <c r="AA221" s="382">
        <v>20</v>
      </c>
      <c r="AB221" s="382">
        <v>17</v>
      </c>
      <c r="AC221" s="382">
        <v>2</v>
      </c>
      <c r="AD221" s="386">
        <v>3285</v>
      </c>
      <c r="AE221" s="386">
        <v>44</v>
      </c>
      <c r="AF221" s="386">
        <v>10</v>
      </c>
      <c r="AG221" s="386">
        <v>54</v>
      </c>
    </row>
    <row r="222" spans="1:33" x14ac:dyDescent="0.25">
      <c r="A222" s="381" t="s">
        <v>502</v>
      </c>
      <c r="B222" s="387" t="s">
        <v>503</v>
      </c>
      <c r="C222" s="383">
        <v>2230</v>
      </c>
      <c r="D222" s="383">
        <v>4</v>
      </c>
      <c r="E222" s="383">
        <v>49</v>
      </c>
      <c r="F222" s="383">
        <v>236</v>
      </c>
      <c r="G222" s="383">
        <v>490</v>
      </c>
      <c r="H222" s="383">
        <v>3009</v>
      </c>
      <c r="I222" s="382">
        <v>2519</v>
      </c>
      <c r="J222" s="382">
        <v>19</v>
      </c>
      <c r="K222" s="384">
        <v>99.97</v>
      </c>
      <c r="L222" s="384">
        <v>101.51</v>
      </c>
      <c r="M222" s="384">
        <v>4.42</v>
      </c>
      <c r="N222" s="384">
        <v>103.17</v>
      </c>
      <c r="O222" s="385">
        <v>2036</v>
      </c>
      <c r="P222" s="382">
        <v>84.15</v>
      </c>
      <c r="Q222" s="382">
        <v>87.19</v>
      </c>
      <c r="R222" s="382">
        <v>33.43</v>
      </c>
      <c r="S222" s="382">
        <v>115.52</v>
      </c>
      <c r="T222" s="382">
        <v>195</v>
      </c>
      <c r="U222" s="382">
        <v>114.7</v>
      </c>
      <c r="V222" s="382">
        <v>151</v>
      </c>
      <c r="W222" s="382">
        <v>190.17</v>
      </c>
      <c r="X222" s="382">
        <v>65</v>
      </c>
      <c r="Y222" s="382">
        <v>0</v>
      </c>
      <c r="Z222" s="382">
        <v>3</v>
      </c>
      <c r="AA222" s="382">
        <v>13</v>
      </c>
      <c r="AB222" s="382">
        <v>40</v>
      </c>
      <c r="AC222" s="382">
        <v>26</v>
      </c>
      <c r="AD222" s="386">
        <v>2193</v>
      </c>
      <c r="AE222" s="386">
        <v>10</v>
      </c>
      <c r="AF222" s="386">
        <v>12</v>
      </c>
      <c r="AG222" s="386">
        <v>22</v>
      </c>
    </row>
    <row r="223" spans="1:33" x14ac:dyDescent="0.25">
      <c r="A223" s="381" t="s">
        <v>504</v>
      </c>
      <c r="B223" s="387" t="s">
        <v>505</v>
      </c>
      <c r="C223" s="383">
        <v>1175</v>
      </c>
      <c r="D223" s="383">
        <v>23</v>
      </c>
      <c r="E223" s="383">
        <v>65</v>
      </c>
      <c r="F223" s="383">
        <v>285</v>
      </c>
      <c r="G223" s="383">
        <v>291</v>
      </c>
      <c r="H223" s="383">
        <v>1839</v>
      </c>
      <c r="I223" s="382">
        <v>1548</v>
      </c>
      <c r="J223" s="382">
        <v>11</v>
      </c>
      <c r="K223" s="384">
        <v>126.82</v>
      </c>
      <c r="L223" s="384">
        <v>120.77</v>
      </c>
      <c r="M223" s="384">
        <v>8.07</v>
      </c>
      <c r="N223" s="384">
        <v>133.05000000000001</v>
      </c>
      <c r="O223" s="385">
        <v>906</v>
      </c>
      <c r="P223" s="382">
        <v>115.39</v>
      </c>
      <c r="Q223" s="382">
        <v>107.72</v>
      </c>
      <c r="R223" s="382">
        <v>24.9</v>
      </c>
      <c r="S223" s="382">
        <v>139.11000000000001</v>
      </c>
      <c r="T223" s="382">
        <v>315</v>
      </c>
      <c r="U223" s="382">
        <v>193.08</v>
      </c>
      <c r="V223" s="382">
        <v>132</v>
      </c>
      <c r="W223" s="382">
        <v>142.35</v>
      </c>
      <c r="X223" s="382">
        <v>31</v>
      </c>
      <c r="Y223" s="382">
        <v>79</v>
      </c>
      <c r="Z223" s="382">
        <v>0</v>
      </c>
      <c r="AA223" s="382">
        <v>0</v>
      </c>
      <c r="AB223" s="382">
        <v>67</v>
      </c>
      <c r="AC223" s="382">
        <v>7</v>
      </c>
      <c r="AD223" s="386">
        <v>1126</v>
      </c>
      <c r="AE223" s="386">
        <v>5</v>
      </c>
      <c r="AF223" s="386">
        <v>1</v>
      </c>
      <c r="AG223" s="386">
        <v>6</v>
      </c>
    </row>
    <row r="224" spans="1:33" x14ac:dyDescent="0.25">
      <c r="A224" s="381" t="s">
        <v>506</v>
      </c>
      <c r="B224" s="387" t="s">
        <v>507</v>
      </c>
      <c r="C224" s="383">
        <v>2691</v>
      </c>
      <c r="D224" s="383">
        <v>0</v>
      </c>
      <c r="E224" s="383">
        <v>76</v>
      </c>
      <c r="F224" s="383">
        <v>1379</v>
      </c>
      <c r="G224" s="383">
        <v>261</v>
      </c>
      <c r="H224" s="383">
        <v>4407</v>
      </c>
      <c r="I224" s="382">
        <v>4146</v>
      </c>
      <c r="J224" s="382">
        <v>1</v>
      </c>
      <c r="K224" s="384">
        <v>97.93</v>
      </c>
      <c r="L224" s="384">
        <v>103.46</v>
      </c>
      <c r="M224" s="384">
        <v>4.24</v>
      </c>
      <c r="N224" s="384">
        <v>99.38</v>
      </c>
      <c r="O224" s="385">
        <v>2531</v>
      </c>
      <c r="P224" s="382">
        <v>92.83</v>
      </c>
      <c r="Q224" s="382">
        <v>92.73</v>
      </c>
      <c r="R224" s="382">
        <v>13.96</v>
      </c>
      <c r="S224" s="382">
        <v>104.54</v>
      </c>
      <c r="T224" s="382">
        <v>1422</v>
      </c>
      <c r="U224" s="382">
        <v>108.49</v>
      </c>
      <c r="V224" s="382">
        <v>114</v>
      </c>
      <c r="W224" s="382">
        <v>181.38</v>
      </c>
      <c r="X224" s="382">
        <v>3</v>
      </c>
      <c r="Y224" s="382">
        <v>0</v>
      </c>
      <c r="Z224" s="382">
        <v>2</v>
      </c>
      <c r="AA224" s="382">
        <v>1</v>
      </c>
      <c r="AB224" s="382">
        <v>9</v>
      </c>
      <c r="AC224" s="382">
        <v>18</v>
      </c>
      <c r="AD224" s="386">
        <v>2679</v>
      </c>
      <c r="AE224" s="386">
        <v>8</v>
      </c>
      <c r="AF224" s="386">
        <v>11</v>
      </c>
      <c r="AG224" s="386">
        <v>19</v>
      </c>
    </row>
    <row r="225" spans="1:33" x14ac:dyDescent="0.25">
      <c r="A225" s="381" t="s">
        <v>508</v>
      </c>
      <c r="B225" s="387" t="s">
        <v>509</v>
      </c>
      <c r="C225" s="383">
        <v>5193</v>
      </c>
      <c r="D225" s="383">
        <v>0</v>
      </c>
      <c r="E225" s="383">
        <v>181</v>
      </c>
      <c r="F225" s="383">
        <v>720</v>
      </c>
      <c r="G225" s="383">
        <v>573</v>
      </c>
      <c r="H225" s="383">
        <v>6667</v>
      </c>
      <c r="I225" s="382">
        <v>6094</v>
      </c>
      <c r="J225" s="382">
        <v>7</v>
      </c>
      <c r="K225" s="384">
        <v>113.86</v>
      </c>
      <c r="L225" s="384">
        <v>113.64</v>
      </c>
      <c r="M225" s="384">
        <v>7.93</v>
      </c>
      <c r="N225" s="384">
        <v>118.49</v>
      </c>
      <c r="O225" s="385">
        <v>4449</v>
      </c>
      <c r="P225" s="382">
        <v>92.95</v>
      </c>
      <c r="Q225" s="382">
        <v>94.37</v>
      </c>
      <c r="R225" s="382">
        <v>33.5</v>
      </c>
      <c r="S225" s="382">
        <v>125.13</v>
      </c>
      <c r="T225" s="382">
        <v>885</v>
      </c>
      <c r="U225" s="382">
        <v>145.93</v>
      </c>
      <c r="V225" s="382">
        <v>626</v>
      </c>
      <c r="W225" s="382">
        <v>123.59</v>
      </c>
      <c r="X225" s="382">
        <v>16</v>
      </c>
      <c r="Y225" s="382">
        <v>0</v>
      </c>
      <c r="Z225" s="382">
        <v>40</v>
      </c>
      <c r="AA225" s="382">
        <v>1</v>
      </c>
      <c r="AB225" s="382">
        <v>17</v>
      </c>
      <c r="AC225" s="382">
        <v>27</v>
      </c>
      <c r="AD225" s="386">
        <v>5172</v>
      </c>
      <c r="AE225" s="386">
        <v>4</v>
      </c>
      <c r="AF225" s="386">
        <v>52</v>
      </c>
      <c r="AG225" s="386">
        <v>56</v>
      </c>
    </row>
    <row r="226" spans="1:33" x14ac:dyDescent="0.25">
      <c r="A226" s="381" t="s">
        <v>510</v>
      </c>
      <c r="B226" s="387" t="s">
        <v>511</v>
      </c>
      <c r="C226" s="383">
        <v>1236</v>
      </c>
      <c r="D226" s="383">
        <v>0</v>
      </c>
      <c r="E226" s="383">
        <v>34</v>
      </c>
      <c r="F226" s="383">
        <v>563</v>
      </c>
      <c r="G226" s="383">
        <v>165</v>
      </c>
      <c r="H226" s="383">
        <v>1998</v>
      </c>
      <c r="I226" s="382">
        <v>1833</v>
      </c>
      <c r="J226" s="382">
        <v>5</v>
      </c>
      <c r="K226" s="384">
        <v>93.54</v>
      </c>
      <c r="L226" s="384">
        <v>101.92</v>
      </c>
      <c r="M226" s="384">
        <v>5.77</v>
      </c>
      <c r="N226" s="384">
        <v>95.59</v>
      </c>
      <c r="O226" s="385">
        <v>1105</v>
      </c>
      <c r="P226" s="382">
        <v>83</v>
      </c>
      <c r="Q226" s="382">
        <v>90.36</v>
      </c>
      <c r="R226" s="382">
        <v>22.3</v>
      </c>
      <c r="S226" s="382">
        <v>92.46</v>
      </c>
      <c r="T226" s="382">
        <v>495</v>
      </c>
      <c r="U226" s="382">
        <v>109.01</v>
      </c>
      <c r="V226" s="382">
        <v>96</v>
      </c>
      <c r="W226" s="382">
        <v>0</v>
      </c>
      <c r="X226" s="382">
        <v>0</v>
      </c>
      <c r="Y226" s="382">
        <v>0</v>
      </c>
      <c r="Z226" s="382">
        <v>4</v>
      </c>
      <c r="AA226" s="382">
        <v>0</v>
      </c>
      <c r="AB226" s="382">
        <v>31</v>
      </c>
      <c r="AC226" s="382">
        <v>4</v>
      </c>
      <c r="AD226" s="386">
        <v>1222</v>
      </c>
      <c r="AE226" s="386">
        <v>7</v>
      </c>
      <c r="AF226" s="386">
        <v>8</v>
      </c>
      <c r="AG226" s="386">
        <v>15</v>
      </c>
    </row>
    <row r="227" spans="1:33" x14ac:dyDescent="0.25">
      <c r="A227" s="381" t="s">
        <v>512</v>
      </c>
      <c r="B227" s="387" t="s">
        <v>513</v>
      </c>
      <c r="C227" s="383">
        <v>2052</v>
      </c>
      <c r="D227" s="383">
        <v>6</v>
      </c>
      <c r="E227" s="383">
        <v>39</v>
      </c>
      <c r="F227" s="383">
        <v>1058</v>
      </c>
      <c r="G227" s="383">
        <v>47</v>
      </c>
      <c r="H227" s="383">
        <v>3202</v>
      </c>
      <c r="I227" s="382">
        <v>3155</v>
      </c>
      <c r="J227" s="382">
        <v>11</v>
      </c>
      <c r="K227" s="384">
        <v>94.63</v>
      </c>
      <c r="L227" s="384">
        <v>90.79</v>
      </c>
      <c r="M227" s="384">
        <v>5.37</v>
      </c>
      <c r="N227" s="384">
        <v>96.11</v>
      </c>
      <c r="O227" s="385">
        <v>1540</v>
      </c>
      <c r="P227" s="382">
        <v>84.85</v>
      </c>
      <c r="Q227" s="382">
        <v>80.31</v>
      </c>
      <c r="R227" s="382">
        <v>15.02</v>
      </c>
      <c r="S227" s="382">
        <v>96.1</v>
      </c>
      <c r="T227" s="382">
        <v>773</v>
      </c>
      <c r="U227" s="382">
        <v>102.87</v>
      </c>
      <c r="V227" s="382">
        <v>453</v>
      </c>
      <c r="W227" s="382">
        <v>94.57</v>
      </c>
      <c r="X227" s="382">
        <v>308</v>
      </c>
      <c r="Y227" s="382">
        <v>0</v>
      </c>
      <c r="Z227" s="382">
        <v>5</v>
      </c>
      <c r="AA227" s="382">
        <v>8</v>
      </c>
      <c r="AB227" s="382">
        <v>0</v>
      </c>
      <c r="AC227" s="382">
        <v>0</v>
      </c>
      <c r="AD227" s="386">
        <v>2034</v>
      </c>
      <c r="AE227" s="386">
        <v>9</v>
      </c>
      <c r="AF227" s="386">
        <v>6</v>
      </c>
      <c r="AG227" s="386">
        <v>15</v>
      </c>
    </row>
    <row r="228" spans="1:33" x14ac:dyDescent="0.25">
      <c r="A228" s="381" t="s">
        <v>514</v>
      </c>
      <c r="B228" s="387" t="s">
        <v>515</v>
      </c>
      <c r="C228" s="383">
        <v>27247</v>
      </c>
      <c r="D228" s="383">
        <v>0</v>
      </c>
      <c r="E228" s="383">
        <v>1485</v>
      </c>
      <c r="F228" s="383">
        <v>1368</v>
      </c>
      <c r="G228" s="383">
        <v>245</v>
      </c>
      <c r="H228" s="383">
        <v>30345</v>
      </c>
      <c r="I228" s="382">
        <v>30100</v>
      </c>
      <c r="J228" s="382">
        <v>1493</v>
      </c>
      <c r="K228" s="384">
        <v>79.69</v>
      </c>
      <c r="L228" s="384">
        <v>80.27</v>
      </c>
      <c r="M228" s="384">
        <v>7.81</v>
      </c>
      <c r="N228" s="384">
        <v>83.2</v>
      </c>
      <c r="O228" s="385">
        <v>25759</v>
      </c>
      <c r="P228" s="382">
        <v>79.41</v>
      </c>
      <c r="Q228" s="382">
        <v>73.36</v>
      </c>
      <c r="R228" s="382">
        <v>33.5</v>
      </c>
      <c r="S228" s="382">
        <v>111.48</v>
      </c>
      <c r="T228" s="382">
        <v>2570</v>
      </c>
      <c r="U228" s="382">
        <v>106.62</v>
      </c>
      <c r="V228" s="382">
        <v>1301</v>
      </c>
      <c r="W228" s="382">
        <v>180.07</v>
      </c>
      <c r="X228" s="382">
        <v>66</v>
      </c>
      <c r="Y228" s="382">
        <v>37</v>
      </c>
      <c r="Z228" s="382">
        <v>149</v>
      </c>
      <c r="AA228" s="382">
        <v>20</v>
      </c>
      <c r="AB228" s="382">
        <v>23</v>
      </c>
      <c r="AC228" s="382">
        <v>11</v>
      </c>
      <c r="AD228" s="386">
        <v>27140</v>
      </c>
      <c r="AE228" s="386">
        <v>134</v>
      </c>
      <c r="AF228" s="386">
        <v>268</v>
      </c>
      <c r="AG228" s="386">
        <v>402</v>
      </c>
    </row>
    <row r="229" spans="1:33" x14ac:dyDescent="0.25">
      <c r="A229" s="381" t="s">
        <v>516</v>
      </c>
      <c r="B229" s="387" t="s">
        <v>517</v>
      </c>
      <c r="C229" s="383">
        <v>5537</v>
      </c>
      <c r="D229" s="383">
        <v>2</v>
      </c>
      <c r="E229" s="383">
        <v>458</v>
      </c>
      <c r="F229" s="383">
        <v>1081</v>
      </c>
      <c r="G229" s="383">
        <v>598</v>
      </c>
      <c r="H229" s="383">
        <v>7676</v>
      </c>
      <c r="I229" s="382">
        <v>7078</v>
      </c>
      <c r="J229" s="382">
        <v>22</v>
      </c>
      <c r="K229" s="384">
        <v>91.29</v>
      </c>
      <c r="L229" s="384">
        <v>90.94</v>
      </c>
      <c r="M229" s="384">
        <v>6.73</v>
      </c>
      <c r="N229" s="384">
        <v>96.48</v>
      </c>
      <c r="O229" s="385">
        <v>4496</v>
      </c>
      <c r="P229" s="382">
        <v>85.96</v>
      </c>
      <c r="Q229" s="382">
        <v>85.07</v>
      </c>
      <c r="R229" s="382">
        <v>41.95</v>
      </c>
      <c r="S229" s="382">
        <v>126.72</v>
      </c>
      <c r="T229" s="382">
        <v>1169</v>
      </c>
      <c r="U229" s="382">
        <v>130.16999999999999</v>
      </c>
      <c r="V229" s="382">
        <v>695</v>
      </c>
      <c r="W229" s="382">
        <v>159.4</v>
      </c>
      <c r="X229" s="382">
        <v>180</v>
      </c>
      <c r="Y229" s="382">
        <v>0</v>
      </c>
      <c r="Z229" s="382">
        <v>2</v>
      </c>
      <c r="AA229" s="382">
        <v>1</v>
      </c>
      <c r="AB229" s="382">
        <v>17</v>
      </c>
      <c r="AC229" s="382">
        <v>20</v>
      </c>
      <c r="AD229" s="386">
        <v>5342</v>
      </c>
      <c r="AE229" s="386">
        <v>25</v>
      </c>
      <c r="AF229" s="386">
        <v>19</v>
      </c>
      <c r="AG229" s="386">
        <v>44</v>
      </c>
    </row>
    <row r="230" spans="1:33" x14ac:dyDescent="0.25">
      <c r="A230" s="381" t="s">
        <v>518</v>
      </c>
      <c r="B230" s="387" t="s">
        <v>519</v>
      </c>
      <c r="C230" s="383">
        <v>5884</v>
      </c>
      <c r="D230" s="383">
        <v>21</v>
      </c>
      <c r="E230" s="383">
        <v>136</v>
      </c>
      <c r="F230" s="383">
        <v>600</v>
      </c>
      <c r="G230" s="383">
        <v>271</v>
      </c>
      <c r="H230" s="383">
        <v>6912</v>
      </c>
      <c r="I230" s="382">
        <v>6641</v>
      </c>
      <c r="J230" s="382">
        <v>39</v>
      </c>
      <c r="K230" s="384">
        <v>86.24</v>
      </c>
      <c r="L230" s="384">
        <v>86.19</v>
      </c>
      <c r="M230" s="384">
        <v>2.96</v>
      </c>
      <c r="N230" s="384">
        <v>87.39</v>
      </c>
      <c r="O230" s="385">
        <v>5607</v>
      </c>
      <c r="P230" s="382">
        <v>86.21</v>
      </c>
      <c r="Q230" s="382">
        <v>84</v>
      </c>
      <c r="R230" s="382">
        <v>28.03</v>
      </c>
      <c r="S230" s="382">
        <v>113.65</v>
      </c>
      <c r="T230" s="382">
        <v>610</v>
      </c>
      <c r="U230" s="382">
        <v>106.79</v>
      </c>
      <c r="V230" s="382">
        <v>289</v>
      </c>
      <c r="W230" s="382">
        <v>159.58000000000001</v>
      </c>
      <c r="X230" s="382">
        <v>64</v>
      </c>
      <c r="Y230" s="382">
        <v>0</v>
      </c>
      <c r="Z230" s="382">
        <v>14</v>
      </c>
      <c r="AA230" s="382">
        <v>1</v>
      </c>
      <c r="AB230" s="382">
        <v>17</v>
      </c>
      <c r="AC230" s="382">
        <v>3</v>
      </c>
      <c r="AD230" s="386">
        <v>5866</v>
      </c>
      <c r="AE230" s="386">
        <v>37</v>
      </c>
      <c r="AF230" s="386">
        <v>40</v>
      </c>
      <c r="AG230" s="386">
        <v>77</v>
      </c>
    </row>
    <row r="231" spans="1:33" x14ac:dyDescent="0.25">
      <c r="A231" s="381" t="s">
        <v>520</v>
      </c>
      <c r="B231" s="387" t="s">
        <v>521</v>
      </c>
      <c r="C231" s="383">
        <v>2720</v>
      </c>
      <c r="D231" s="383">
        <v>28</v>
      </c>
      <c r="E231" s="383">
        <v>245</v>
      </c>
      <c r="F231" s="383">
        <v>102</v>
      </c>
      <c r="G231" s="383">
        <v>213</v>
      </c>
      <c r="H231" s="383">
        <v>3308</v>
      </c>
      <c r="I231" s="382">
        <v>3095</v>
      </c>
      <c r="J231" s="382">
        <v>0</v>
      </c>
      <c r="K231" s="384">
        <v>94.5</v>
      </c>
      <c r="L231" s="384">
        <v>92.06</v>
      </c>
      <c r="M231" s="384">
        <v>4.13</v>
      </c>
      <c r="N231" s="384">
        <v>97.92</v>
      </c>
      <c r="O231" s="385">
        <v>1595</v>
      </c>
      <c r="P231" s="382">
        <v>74.81</v>
      </c>
      <c r="Q231" s="382">
        <v>71.459999999999994</v>
      </c>
      <c r="R231" s="382">
        <v>40.85</v>
      </c>
      <c r="S231" s="382">
        <v>113.84</v>
      </c>
      <c r="T231" s="382">
        <v>202</v>
      </c>
      <c r="U231" s="382">
        <v>113.01</v>
      </c>
      <c r="V231" s="382">
        <v>387</v>
      </c>
      <c r="W231" s="382">
        <v>0</v>
      </c>
      <c r="X231" s="382">
        <v>0</v>
      </c>
      <c r="Y231" s="382">
        <v>0</v>
      </c>
      <c r="Z231" s="382">
        <v>0</v>
      </c>
      <c r="AA231" s="382">
        <v>1</v>
      </c>
      <c r="AB231" s="382">
        <v>4</v>
      </c>
      <c r="AC231" s="382">
        <v>3</v>
      </c>
      <c r="AD231" s="386">
        <v>1910</v>
      </c>
      <c r="AE231" s="386">
        <v>26</v>
      </c>
      <c r="AF231" s="386">
        <v>1</v>
      </c>
      <c r="AG231" s="386">
        <v>27</v>
      </c>
    </row>
    <row r="232" spans="1:33" x14ac:dyDescent="0.25">
      <c r="A232" s="381" t="s">
        <v>522</v>
      </c>
      <c r="B232" s="387" t="s">
        <v>523</v>
      </c>
      <c r="C232" s="383">
        <v>15543</v>
      </c>
      <c r="D232" s="383">
        <v>0</v>
      </c>
      <c r="E232" s="383">
        <v>1531</v>
      </c>
      <c r="F232" s="383">
        <v>1589</v>
      </c>
      <c r="G232" s="383">
        <v>578</v>
      </c>
      <c r="H232" s="383">
        <v>19241</v>
      </c>
      <c r="I232" s="382">
        <v>18663</v>
      </c>
      <c r="J232" s="382">
        <v>71</v>
      </c>
      <c r="K232" s="384">
        <v>88.95</v>
      </c>
      <c r="L232" s="384">
        <v>89.02</v>
      </c>
      <c r="M232" s="384">
        <v>8.83</v>
      </c>
      <c r="N232" s="384">
        <v>92.16</v>
      </c>
      <c r="O232" s="385">
        <v>14504</v>
      </c>
      <c r="P232" s="382">
        <v>80.84</v>
      </c>
      <c r="Q232" s="382">
        <v>79.23</v>
      </c>
      <c r="R232" s="382">
        <v>31.58</v>
      </c>
      <c r="S232" s="382">
        <v>112.01</v>
      </c>
      <c r="T232" s="382">
        <v>2896</v>
      </c>
      <c r="U232" s="382">
        <v>100.43</v>
      </c>
      <c r="V232" s="382">
        <v>604</v>
      </c>
      <c r="W232" s="382">
        <v>0</v>
      </c>
      <c r="X232" s="382">
        <v>0</v>
      </c>
      <c r="Y232" s="382">
        <v>0</v>
      </c>
      <c r="Z232" s="382">
        <v>47</v>
      </c>
      <c r="AA232" s="382">
        <v>65</v>
      </c>
      <c r="AB232" s="382">
        <v>4</v>
      </c>
      <c r="AC232" s="382">
        <v>5</v>
      </c>
      <c r="AD232" s="386">
        <v>15181</v>
      </c>
      <c r="AE232" s="386">
        <v>117</v>
      </c>
      <c r="AF232" s="386">
        <v>144</v>
      </c>
      <c r="AG232" s="386">
        <v>261</v>
      </c>
    </row>
    <row r="233" spans="1:33" x14ac:dyDescent="0.25">
      <c r="A233" s="381" t="s">
        <v>524</v>
      </c>
      <c r="B233" s="387" t="s">
        <v>525</v>
      </c>
      <c r="C233" s="383">
        <v>1355</v>
      </c>
      <c r="D233" s="383">
        <v>0</v>
      </c>
      <c r="E233" s="383">
        <v>46</v>
      </c>
      <c r="F233" s="383">
        <v>193</v>
      </c>
      <c r="G233" s="383">
        <v>219</v>
      </c>
      <c r="H233" s="383">
        <v>1813</v>
      </c>
      <c r="I233" s="382">
        <v>1594</v>
      </c>
      <c r="J233" s="382">
        <v>5</v>
      </c>
      <c r="K233" s="384">
        <v>91.93</v>
      </c>
      <c r="L233" s="384">
        <v>90.33</v>
      </c>
      <c r="M233" s="384">
        <v>5.76</v>
      </c>
      <c r="N233" s="384">
        <v>95.8</v>
      </c>
      <c r="O233" s="385">
        <v>1144</v>
      </c>
      <c r="P233" s="382">
        <v>105.14</v>
      </c>
      <c r="Q233" s="382">
        <v>92.75</v>
      </c>
      <c r="R233" s="382">
        <v>49.51</v>
      </c>
      <c r="S233" s="382">
        <v>154.22</v>
      </c>
      <c r="T233" s="382">
        <v>234</v>
      </c>
      <c r="U233" s="382">
        <v>98.74</v>
      </c>
      <c r="V233" s="382">
        <v>97</v>
      </c>
      <c r="W233" s="382">
        <v>0</v>
      </c>
      <c r="X233" s="382">
        <v>0</v>
      </c>
      <c r="Y233" s="382">
        <v>0</v>
      </c>
      <c r="Z233" s="382">
        <v>1</v>
      </c>
      <c r="AA233" s="382">
        <v>2</v>
      </c>
      <c r="AB233" s="382">
        <v>15</v>
      </c>
      <c r="AC233" s="382">
        <v>2</v>
      </c>
      <c r="AD233" s="386">
        <v>1335</v>
      </c>
      <c r="AE233" s="386">
        <v>6</v>
      </c>
      <c r="AF233" s="386">
        <v>6</v>
      </c>
      <c r="AG233" s="386">
        <v>12</v>
      </c>
    </row>
    <row r="234" spans="1:33" x14ac:dyDescent="0.25">
      <c r="A234" s="381" t="s">
        <v>526</v>
      </c>
      <c r="B234" s="387" t="s">
        <v>527</v>
      </c>
      <c r="C234" s="383">
        <v>5303</v>
      </c>
      <c r="D234" s="383">
        <v>8</v>
      </c>
      <c r="E234" s="383">
        <v>89</v>
      </c>
      <c r="F234" s="383">
        <v>1125</v>
      </c>
      <c r="G234" s="383">
        <v>710</v>
      </c>
      <c r="H234" s="383">
        <v>7235</v>
      </c>
      <c r="I234" s="382">
        <v>6525</v>
      </c>
      <c r="J234" s="382">
        <v>142</v>
      </c>
      <c r="K234" s="384">
        <v>108.96</v>
      </c>
      <c r="L234" s="384">
        <v>106.8</v>
      </c>
      <c r="M234" s="384">
        <v>3.69</v>
      </c>
      <c r="N234" s="384">
        <v>111.31</v>
      </c>
      <c r="O234" s="385">
        <v>5098</v>
      </c>
      <c r="P234" s="382">
        <v>92.14</v>
      </c>
      <c r="Q234" s="382">
        <v>88.04</v>
      </c>
      <c r="R234" s="382">
        <v>21.64</v>
      </c>
      <c r="S234" s="382">
        <v>113.2</v>
      </c>
      <c r="T234" s="382">
        <v>1016</v>
      </c>
      <c r="U234" s="382">
        <v>148.52000000000001</v>
      </c>
      <c r="V234" s="382">
        <v>173</v>
      </c>
      <c r="W234" s="382">
        <v>123.97</v>
      </c>
      <c r="X234" s="382">
        <v>41</v>
      </c>
      <c r="Y234" s="382">
        <v>0</v>
      </c>
      <c r="Z234" s="382">
        <v>8</v>
      </c>
      <c r="AA234" s="382">
        <v>1</v>
      </c>
      <c r="AB234" s="382">
        <v>34</v>
      </c>
      <c r="AC234" s="382">
        <v>21</v>
      </c>
      <c r="AD234" s="386">
        <v>5288</v>
      </c>
      <c r="AE234" s="386">
        <v>6</v>
      </c>
      <c r="AF234" s="386">
        <v>6</v>
      </c>
      <c r="AG234" s="386">
        <v>12</v>
      </c>
    </row>
    <row r="235" spans="1:33" x14ac:dyDescent="0.25">
      <c r="A235" s="381" t="s">
        <v>528</v>
      </c>
      <c r="B235" s="387" t="s">
        <v>529</v>
      </c>
      <c r="C235" s="383">
        <v>15199</v>
      </c>
      <c r="D235" s="383">
        <v>57</v>
      </c>
      <c r="E235" s="383">
        <v>1131</v>
      </c>
      <c r="F235" s="383">
        <v>1250</v>
      </c>
      <c r="G235" s="383">
        <v>420</v>
      </c>
      <c r="H235" s="383">
        <v>18057</v>
      </c>
      <c r="I235" s="382">
        <v>17637</v>
      </c>
      <c r="J235" s="382">
        <v>3</v>
      </c>
      <c r="K235" s="384">
        <v>81.44</v>
      </c>
      <c r="L235" s="384">
        <v>80.84</v>
      </c>
      <c r="M235" s="384">
        <v>8.19</v>
      </c>
      <c r="N235" s="384">
        <v>84.04</v>
      </c>
      <c r="O235" s="385">
        <v>13589</v>
      </c>
      <c r="P235" s="382">
        <v>85.03</v>
      </c>
      <c r="Q235" s="382">
        <v>79.2</v>
      </c>
      <c r="R235" s="382">
        <v>47.1</v>
      </c>
      <c r="S235" s="382">
        <v>127.34</v>
      </c>
      <c r="T235" s="382">
        <v>2163</v>
      </c>
      <c r="U235" s="382">
        <v>96.83</v>
      </c>
      <c r="V235" s="382">
        <v>1381</v>
      </c>
      <c r="W235" s="382">
        <v>0</v>
      </c>
      <c r="X235" s="382">
        <v>0</v>
      </c>
      <c r="Y235" s="382">
        <v>5</v>
      </c>
      <c r="Z235" s="382">
        <v>71</v>
      </c>
      <c r="AA235" s="382">
        <v>53</v>
      </c>
      <c r="AB235" s="382">
        <v>23</v>
      </c>
      <c r="AC235" s="382">
        <v>6</v>
      </c>
      <c r="AD235" s="386">
        <v>15085</v>
      </c>
      <c r="AE235" s="386">
        <v>76</v>
      </c>
      <c r="AF235" s="386">
        <v>50</v>
      </c>
      <c r="AG235" s="386">
        <v>126</v>
      </c>
    </row>
    <row r="236" spans="1:33" x14ac:dyDescent="0.25">
      <c r="A236" s="381" t="s">
        <v>530</v>
      </c>
      <c r="B236" s="387" t="s">
        <v>531</v>
      </c>
      <c r="C236" s="383">
        <v>11463</v>
      </c>
      <c r="D236" s="383">
        <v>24</v>
      </c>
      <c r="E236" s="383">
        <v>216</v>
      </c>
      <c r="F236" s="383">
        <v>2138</v>
      </c>
      <c r="G236" s="383">
        <v>590</v>
      </c>
      <c r="H236" s="383">
        <v>14431</v>
      </c>
      <c r="I236" s="382">
        <v>13841</v>
      </c>
      <c r="J236" s="382">
        <v>9</v>
      </c>
      <c r="K236" s="384">
        <v>90.55</v>
      </c>
      <c r="L236" s="384">
        <v>90.2</v>
      </c>
      <c r="M236" s="384">
        <v>3.19</v>
      </c>
      <c r="N236" s="384">
        <v>92.24</v>
      </c>
      <c r="O236" s="385">
        <v>9951</v>
      </c>
      <c r="P236" s="382">
        <v>84.86</v>
      </c>
      <c r="Q236" s="382">
        <v>82.15</v>
      </c>
      <c r="R236" s="382">
        <v>17.23</v>
      </c>
      <c r="S236" s="382">
        <v>97.75</v>
      </c>
      <c r="T236" s="382">
        <v>2247</v>
      </c>
      <c r="U236" s="382">
        <v>108.11</v>
      </c>
      <c r="V236" s="382">
        <v>946</v>
      </c>
      <c r="W236" s="382">
        <v>111.15</v>
      </c>
      <c r="X236" s="382">
        <v>11</v>
      </c>
      <c r="Y236" s="382">
        <v>0</v>
      </c>
      <c r="Z236" s="382">
        <v>29</v>
      </c>
      <c r="AA236" s="382">
        <v>13</v>
      </c>
      <c r="AB236" s="382">
        <v>19</v>
      </c>
      <c r="AC236" s="382">
        <v>16</v>
      </c>
      <c r="AD236" s="386">
        <v>11016</v>
      </c>
      <c r="AE236" s="386">
        <v>46</v>
      </c>
      <c r="AF236" s="386">
        <v>99</v>
      </c>
      <c r="AG236" s="386">
        <v>145</v>
      </c>
    </row>
    <row r="237" spans="1:33" x14ac:dyDescent="0.25">
      <c r="A237" s="381" t="s">
        <v>532</v>
      </c>
      <c r="B237" s="387" t="s">
        <v>533</v>
      </c>
      <c r="C237" s="383">
        <v>3509</v>
      </c>
      <c r="D237" s="383">
        <v>30</v>
      </c>
      <c r="E237" s="383">
        <v>370</v>
      </c>
      <c r="F237" s="383">
        <v>228</v>
      </c>
      <c r="G237" s="383">
        <v>525</v>
      </c>
      <c r="H237" s="383">
        <v>4662</v>
      </c>
      <c r="I237" s="382">
        <v>4137</v>
      </c>
      <c r="J237" s="382">
        <v>12</v>
      </c>
      <c r="K237" s="384">
        <v>123.44</v>
      </c>
      <c r="L237" s="384">
        <v>121.98</v>
      </c>
      <c r="M237" s="384">
        <v>7.47</v>
      </c>
      <c r="N237" s="384">
        <v>129.96</v>
      </c>
      <c r="O237" s="385">
        <v>3131</v>
      </c>
      <c r="P237" s="382">
        <v>102.36</v>
      </c>
      <c r="Q237" s="382">
        <v>97.81</v>
      </c>
      <c r="R237" s="382">
        <v>38.83</v>
      </c>
      <c r="S237" s="382">
        <v>139.52000000000001</v>
      </c>
      <c r="T237" s="382">
        <v>511</v>
      </c>
      <c r="U237" s="382">
        <v>146.21</v>
      </c>
      <c r="V237" s="382">
        <v>142</v>
      </c>
      <c r="W237" s="382">
        <v>0</v>
      </c>
      <c r="X237" s="382">
        <v>0</v>
      </c>
      <c r="Y237" s="382">
        <v>11</v>
      </c>
      <c r="Z237" s="382">
        <v>9</v>
      </c>
      <c r="AA237" s="382">
        <v>0</v>
      </c>
      <c r="AB237" s="382">
        <v>55</v>
      </c>
      <c r="AC237" s="382">
        <v>16</v>
      </c>
      <c r="AD237" s="386">
        <v>3334</v>
      </c>
      <c r="AE237" s="386">
        <v>9</v>
      </c>
      <c r="AF237" s="386">
        <v>5</v>
      </c>
      <c r="AG237" s="386">
        <v>14</v>
      </c>
    </row>
    <row r="238" spans="1:33" x14ac:dyDescent="0.25">
      <c r="A238" s="381" t="s">
        <v>534</v>
      </c>
      <c r="B238" s="387" t="s">
        <v>535</v>
      </c>
      <c r="C238" s="383">
        <v>2158</v>
      </c>
      <c r="D238" s="383">
        <v>0</v>
      </c>
      <c r="E238" s="383">
        <v>228</v>
      </c>
      <c r="F238" s="383">
        <v>510</v>
      </c>
      <c r="G238" s="383">
        <v>510</v>
      </c>
      <c r="H238" s="383">
        <v>3406</v>
      </c>
      <c r="I238" s="382">
        <v>2896</v>
      </c>
      <c r="J238" s="382">
        <v>2</v>
      </c>
      <c r="K238" s="384">
        <v>102.87</v>
      </c>
      <c r="L238" s="384">
        <v>101.94</v>
      </c>
      <c r="M238" s="384">
        <v>4.9800000000000004</v>
      </c>
      <c r="N238" s="384">
        <v>106.62</v>
      </c>
      <c r="O238" s="385">
        <v>1738</v>
      </c>
      <c r="P238" s="382">
        <v>90.32</v>
      </c>
      <c r="Q238" s="382">
        <v>87.84</v>
      </c>
      <c r="R238" s="382">
        <v>53.2</v>
      </c>
      <c r="S238" s="382">
        <v>132.55000000000001</v>
      </c>
      <c r="T238" s="382">
        <v>514</v>
      </c>
      <c r="U238" s="382">
        <v>111.19</v>
      </c>
      <c r="V238" s="382">
        <v>384</v>
      </c>
      <c r="W238" s="382">
        <v>189.5</v>
      </c>
      <c r="X238" s="382">
        <v>33</v>
      </c>
      <c r="Y238" s="382">
        <v>0</v>
      </c>
      <c r="Z238" s="382">
        <v>2</v>
      </c>
      <c r="AA238" s="382">
        <v>0</v>
      </c>
      <c r="AB238" s="382">
        <v>48</v>
      </c>
      <c r="AC238" s="382">
        <v>18</v>
      </c>
      <c r="AD238" s="386">
        <v>2140</v>
      </c>
      <c r="AE238" s="386">
        <v>9</v>
      </c>
      <c r="AF238" s="386">
        <v>4</v>
      </c>
      <c r="AG238" s="386">
        <v>13</v>
      </c>
    </row>
    <row r="239" spans="1:33" x14ac:dyDescent="0.25">
      <c r="A239" s="381" t="s">
        <v>536</v>
      </c>
      <c r="B239" s="387" t="s">
        <v>537</v>
      </c>
      <c r="C239" s="383">
        <v>3891</v>
      </c>
      <c r="D239" s="383">
        <v>8</v>
      </c>
      <c r="E239" s="383">
        <v>389</v>
      </c>
      <c r="F239" s="383">
        <v>810</v>
      </c>
      <c r="G239" s="383">
        <v>386</v>
      </c>
      <c r="H239" s="383">
        <v>5484</v>
      </c>
      <c r="I239" s="382">
        <v>5098</v>
      </c>
      <c r="J239" s="382">
        <v>0</v>
      </c>
      <c r="K239" s="384">
        <v>98.53</v>
      </c>
      <c r="L239" s="384">
        <v>97.15</v>
      </c>
      <c r="M239" s="384">
        <v>3.99</v>
      </c>
      <c r="N239" s="384">
        <v>101.66</v>
      </c>
      <c r="O239" s="385">
        <v>3241</v>
      </c>
      <c r="P239" s="382">
        <v>88.82</v>
      </c>
      <c r="Q239" s="382">
        <v>87.66</v>
      </c>
      <c r="R239" s="382">
        <v>30.8</v>
      </c>
      <c r="S239" s="382">
        <v>118.82</v>
      </c>
      <c r="T239" s="382">
        <v>1036</v>
      </c>
      <c r="U239" s="382">
        <v>120.01</v>
      </c>
      <c r="V239" s="382">
        <v>266</v>
      </c>
      <c r="W239" s="382">
        <v>94.25</v>
      </c>
      <c r="X239" s="382">
        <v>1</v>
      </c>
      <c r="Y239" s="382">
        <v>0</v>
      </c>
      <c r="Z239" s="382">
        <v>4</v>
      </c>
      <c r="AA239" s="382">
        <v>6</v>
      </c>
      <c r="AB239" s="382">
        <v>46</v>
      </c>
      <c r="AC239" s="382">
        <v>3</v>
      </c>
      <c r="AD239" s="386">
        <v>3545</v>
      </c>
      <c r="AE239" s="386">
        <v>23</v>
      </c>
      <c r="AF239" s="386">
        <v>24</v>
      </c>
      <c r="AG239" s="386">
        <v>47</v>
      </c>
    </row>
    <row r="240" spans="1:33" x14ac:dyDescent="0.25">
      <c r="A240" s="381" t="s">
        <v>538</v>
      </c>
      <c r="B240" s="387" t="s">
        <v>539</v>
      </c>
      <c r="C240" s="383">
        <v>2990</v>
      </c>
      <c r="D240" s="383">
        <v>0</v>
      </c>
      <c r="E240" s="383">
        <v>291</v>
      </c>
      <c r="F240" s="383">
        <v>198</v>
      </c>
      <c r="G240" s="383">
        <v>1176</v>
      </c>
      <c r="H240" s="383">
        <v>4655</v>
      </c>
      <c r="I240" s="382">
        <v>3479</v>
      </c>
      <c r="J240" s="382">
        <v>7</v>
      </c>
      <c r="K240" s="384">
        <v>113.81</v>
      </c>
      <c r="L240" s="384">
        <v>114.75</v>
      </c>
      <c r="M240" s="384">
        <v>3.15</v>
      </c>
      <c r="N240" s="384">
        <v>116.21</v>
      </c>
      <c r="O240" s="385">
        <v>2192</v>
      </c>
      <c r="P240" s="382">
        <v>97.42</v>
      </c>
      <c r="Q240" s="382">
        <v>98.21</v>
      </c>
      <c r="R240" s="382">
        <v>58.51</v>
      </c>
      <c r="S240" s="382">
        <v>154.94</v>
      </c>
      <c r="T240" s="382">
        <v>238</v>
      </c>
      <c r="U240" s="382">
        <v>149.47999999999999</v>
      </c>
      <c r="V240" s="382">
        <v>365</v>
      </c>
      <c r="W240" s="382">
        <v>172.02</v>
      </c>
      <c r="X240" s="382">
        <v>30</v>
      </c>
      <c r="Y240" s="382">
        <v>0</v>
      </c>
      <c r="Z240" s="382">
        <v>1</v>
      </c>
      <c r="AA240" s="382">
        <v>1</v>
      </c>
      <c r="AB240" s="382">
        <v>47</v>
      </c>
      <c r="AC240" s="382">
        <v>34</v>
      </c>
      <c r="AD240" s="386">
        <v>2715</v>
      </c>
      <c r="AE240" s="386">
        <v>6</v>
      </c>
      <c r="AF240" s="386">
        <v>0</v>
      </c>
      <c r="AG240" s="386">
        <v>6</v>
      </c>
    </row>
    <row r="241" spans="1:33" x14ac:dyDescent="0.25">
      <c r="A241" s="381" t="s">
        <v>540</v>
      </c>
      <c r="B241" s="387" t="s">
        <v>541</v>
      </c>
      <c r="C241" s="383">
        <v>906</v>
      </c>
      <c r="D241" s="383">
        <v>0</v>
      </c>
      <c r="E241" s="383">
        <v>116</v>
      </c>
      <c r="F241" s="383">
        <v>37</v>
      </c>
      <c r="G241" s="383">
        <v>161</v>
      </c>
      <c r="H241" s="383">
        <v>1220</v>
      </c>
      <c r="I241" s="382">
        <v>1059</v>
      </c>
      <c r="J241" s="382">
        <v>0</v>
      </c>
      <c r="K241" s="384">
        <v>95.5</v>
      </c>
      <c r="L241" s="384">
        <v>94.9</v>
      </c>
      <c r="M241" s="384">
        <v>4.24</v>
      </c>
      <c r="N241" s="384">
        <v>98.42</v>
      </c>
      <c r="O241" s="385">
        <v>835</v>
      </c>
      <c r="P241" s="382">
        <v>100.31</v>
      </c>
      <c r="Q241" s="382">
        <v>85.06</v>
      </c>
      <c r="R241" s="382">
        <v>55.67</v>
      </c>
      <c r="S241" s="382">
        <v>152.58000000000001</v>
      </c>
      <c r="T241" s="382">
        <v>131</v>
      </c>
      <c r="U241" s="382">
        <v>100.73</v>
      </c>
      <c r="V241" s="382">
        <v>118</v>
      </c>
      <c r="W241" s="382">
        <v>192.26</v>
      </c>
      <c r="X241" s="382">
        <v>18</v>
      </c>
      <c r="Y241" s="382">
        <v>0</v>
      </c>
      <c r="Z241" s="382">
        <v>2</v>
      </c>
      <c r="AA241" s="382">
        <v>0</v>
      </c>
      <c r="AB241" s="382">
        <v>18</v>
      </c>
      <c r="AC241" s="382">
        <v>5</v>
      </c>
      <c r="AD241" s="386">
        <v>897</v>
      </c>
      <c r="AE241" s="386">
        <v>27</v>
      </c>
      <c r="AF241" s="386">
        <v>4</v>
      </c>
      <c r="AG241" s="386">
        <v>31</v>
      </c>
    </row>
    <row r="242" spans="1:33" x14ac:dyDescent="0.25">
      <c r="A242" s="381" t="s">
        <v>542</v>
      </c>
      <c r="B242" s="387" t="s">
        <v>543</v>
      </c>
      <c r="C242" s="383">
        <v>9897</v>
      </c>
      <c r="D242" s="383">
        <v>0</v>
      </c>
      <c r="E242" s="383">
        <v>283</v>
      </c>
      <c r="F242" s="383">
        <v>1840</v>
      </c>
      <c r="G242" s="383">
        <v>541</v>
      </c>
      <c r="H242" s="383">
        <v>12561</v>
      </c>
      <c r="I242" s="382">
        <v>12020</v>
      </c>
      <c r="J242" s="382">
        <v>2</v>
      </c>
      <c r="K242" s="384">
        <v>98.7</v>
      </c>
      <c r="L242" s="384">
        <v>100.43</v>
      </c>
      <c r="M242" s="384">
        <v>4.2</v>
      </c>
      <c r="N242" s="384">
        <v>100.92</v>
      </c>
      <c r="O242" s="385">
        <v>9166</v>
      </c>
      <c r="P242" s="382">
        <v>86.38</v>
      </c>
      <c r="Q242" s="382">
        <v>84.74</v>
      </c>
      <c r="R242" s="382">
        <v>19.21</v>
      </c>
      <c r="S242" s="382">
        <v>104.52</v>
      </c>
      <c r="T242" s="382">
        <v>1948</v>
      </c>
      <c r="U242" s="382">
        <v>127.46</v>
      </c>
      <c r="V242" s="382">
        <v>332</v>
      </c>
      <c r="W242" s="382">
        <v>187.97</v>
      </c>
      <c r="X242" s="382">
        <v>81</v>
      </c>
      <c r="Y242" s="382">
        <v>39</v>
      </c>
      <c r="Z242" s="382">
        <v>28</v>
      </c>
      <c r="AA242" s="382">
        <v>2</v>
      </c>
      <c r="AB242" s="382">
        <v>83</v>
      </c>
      <c r="AC242" s="382">
        <v>7</v>
      </c>
      <c r="AD242" s="386">
        <v>9564</v>
      </c>
      <c r="AE242" s="386">
        <v>74</v>
      </c>
      <c r="AF242" s="386">
        <v>58</v>
      </c>
      <c r="AG242" s="386">
        <v>132</v>
      </c>
    </row>
    <row r="243" spans="1:33" x14ac:dyDescent="0.25">
      <c r="A243" s="381" t="s">
        <v>544</v>
      </c>
      <c r="B243" s="387" t="s">
        <v>545</v>
      </c>
      <c r="C243" s="383">
        <v>3499</v>
      </c>
      <c r="D243" s="383">
        <v>0</v>
      </c>
      <c r="E243" s="383">
        <v>67</v>
      </c>
      <c r="F243" s="383">
        <v>826</v>
      </c>
      <c r="G243" s="383">
        <v>414</v>
      </c>
      <c r="H243" s="383">
        <v>4806</v>
      </c>
      <c r="I243" s="382">
        <v>4392</v>
      </c>
      <c r="J243" s="382">
        <v>3</v>
      </c>
      <c r="K243" s="384">
        <v>96.39</v>
      </c>
      <c r="L243" s="384">
        <v>93.42</v>
      </c>
      <c r="M243" s="384">
        <v>2.37</v>
      </c>
      <c r="N243" s="384">
        <v>98.66</v>
      </c>
      <c r="O243" s="385">
        <v>3119</v>
      </c>
      <c r="P243" s="382">
        <v>83.11</v>
      </c>
      <c r="Q243" s="382">
        <v>77.569999999999993</v>
      </c>
      <c r="R243" s="382">
        <v>23.83</v>
      </c>
      <c r="S243" s="382">
        <v>106.51</v>
      </c>
      <c r="T243" s="382">
        <v>779</v>
      </c>
      <c r="U243" s="382">
        <v>122.92</v>
      </c>
      <c r="V243" s="382">
        <v>179</v>
      </c>
      <c r="W243" s="382">
        <v>99.13</v>
      </c>
      <c r="X243" s="382">
        <v>4</v>
      </c>
      <c r="Y243" s="382">
        <v>6</v>
      </c>
      <c r="Z243" s="382">
        <v>6</v>
      </c>
      <c r="AA243" s="382">
        <v>4</v>
      </c>
      <c r="AB243" s="382">
        <v>22</v>
      </c>
      <c r="AC243" s="382">
        <v>11</v>
      </c>
      <c r="AD243" s="386">
        <v>3305</v>
      </c>
      <c r="AE243" s="386">
        <v>2</v>
      </c>
      <c r="AF243" s="386">
        <v>15</v>
      </c>
      <c r="AG243" s="386">
        <v>17</v>
      </c>
    </row>
    <row r="244" spans="1:33" x14ac:dyDescent="0.25">
      <c r="A244" s="381" t="s">
        <v>546</v>
      </c>
      <c r="B244" s="387" t="s">
        <v>547</v>
      </c>
      <c r="C244" s="383">
        <v>935</v>
      </c>
      <c r="D244" s="383">
        <v>0</v>
      </c>
      <c r="E244" s="383">
        <v>83</v>
      </c>
      <c r="F244" s="383">
        <v>0</v>
      </c>
      <c r="G244" s="383">
        <v>203</v>
      </c>
      <c r="H244" s="383">
        <v>1221</v>
      </c>
      <c r="I244" s="382">
        <v>1018</v>
      </c>
      <c r="J244" s="382">
        <v>0</v>
      </c>
      <c r="K244" s="384">
        <v>87.4</v>
      </c>
      <c r="L244" s="384">
        <v>88.67</v>
      </c>
      <c r="M244" s="384">
        <v>3.98</v>
      </c>
      <c r="N244" s="384">
        <v>90.58</v>
      </c>
      <c r="O244" s="385">
        <v>755</v>
      </c>
      <c r="P244" s="382">
        <v>110.97</v>
      </c>
      <c r="Q244" s="382">
        <v>60.76</v>
      </c>
      <c r="R244" s="382">
        <v>25.28</v>
      </c>
      <c r="S244" s="382">
        <v>136.25</v>
      </c>
      <c r="T244" s="382">
        <v>35</v>
      </c>
      <c r="U244" s="382">
        <v>108.66</v>
      </c>
      <c r="V244" s="382">
        <v>95</v>
      </c>
      <c r="W244" s="382">
        <v>0</v>
      </c>
      <c r="X244" s="382">
        <v>0</v>
      </c>
      <c r="Y244" s="382">
        <v>29</v>
      </c>
      <c r="Z244" s="382">
        <v>0</v>
      </c>
      <c r="AA244" s="382">
        <v>1</v>
      </c>
      <c r="AB244" s="382">
        <v>7</v>
      </c>
      <c r="AC244" s="382">
        <v>5</v>
      </c>
      <c r="AD244" s="386">
        <v>870</v>
      </c>
      <c r="AE244" s="386">
        <v>0</v>
      </c>
      <c r="AF244" s="386">
        <v>37</v>
      </c>
      <c r="AG244" s="386">
        <v>37</v>
      </c>
    </row>
    <row r="245" spans="1:33" x14ac:dyDescent="0.25">
      <c r="A245" s="381" t="s">
        <v>548</v>
      </c>
      <c r="B245" s="387" t="s">
        <v>549</v>
      </c>
      <c r="C245" s="383">
        <v>1557</v>
      </c>
      <c r="D245" s="383">
        <v>0</v>
      </c>
      <c r="E245" s="383">
        <v>186</v>
      </c>
      <c r="F245" s="383">
        <v>352</v>
      </c>
      <c r="G245" s="383">
        <v>440</v>
      </c>
      <c r="H245" s="383">
        <v>2535</v>
      </c>
      <c r="I245" s="382">
        <v>2095</v>
      </c>
      <c r="J245" s="382">
        <v>14</v>
      </c>
      <c r="K245" s="384">
        <v>90.16</v>
      </c>
      <c r="L245" s="384">
        <v>90.17</v>
      </c>
      <c r="M245" s="384">
        <v>5.2</v>
      </c>
      <c r="N245" s="384">
        <v>94.57</v>
      </c>
      <c r="O245" s="385">
        <v>1247</v>
      </c>
      <c r="P245" s="382">
        <v>95.32</v>
      </c>
      <c r="Q245" s="382">
        <v>74.05</v>
      </c>
      <c r="R245" s="382">
        <v>43.63</v>
      </c>
      <c r="S245" s="382">
        <v>133.63999999999999</v>
      </c>
      <c r="T245" s="382">
        <v>387</v>
      </c>
      <c r="U245" s="382">
        <v>103.62</v>
      </c>
      <c r="V245" s="382">
        <v>106</v>
      </c>
      <c r="W245" s="382">
        <v>113.13</v>
      </c>
      <c r="X245" s="382">
        <v>21</v>
      </c>
      <c r="Y245" s="382">
        <v>0</v>
      </c>
      <c r="Z245" s="382">
        <v>0</v>
      </c>
      <c r="AA245" s="382">
        <v>2</v>
      </c>
      <c r="AB245" s="382">
        <v>25</v>
      </c>
      <c r="AC245" s="382">
        <v>10</v>
      </c>
      <c r="AD245" s="386">
        <v>1502</v>
      </c>
      <c r="AE245" s="386">
        <v>3</v>
      </c>
      <c r="AF245" s="386">
        <v>1</v>
      </c>
      <c r="AG245" s="386">
        <v>4</v>
      </c>
    </row>
    <row r="246" spans="1:33" x14ac:dyDescent="0.25">
      <c r="A246" s="381" t="s">
        <v>550</v>
      </c>
      <c r="B246" s="387" t="s">
        <v>551</v>
      </c>
      <c r="C246" s="383">
        <v>3791</v>
      </c>
      <c r="D246" s="383">
        <v>66</v>
      </c>
      <c r="E246" s="383">
        <v>195</v>
      </c>
      <c r="F246" s="383">
        <v>613</v>
      </c>
      <c r="G246" s="383">
        <v>109</v>
      </c>
      <c r="H246" s="383">
        <v>4774</v>
      </c>
      <c r="I246" s="382">
        <v>4665</v>
      </c>
      <c r="J246" s="382">
        <v>124</v>
      </c>
      <c r="K246" s="384">
        <v>93.81</v>
      </c>
      <c r="L246" s="384">
        <v>94.86</v>
      </c>
      <c r="M246" s="384">
        <v>4.7699999999999996</v>
      </c>
      <c r="N246" s="384">
        <v>95</v>
      </c>
      <c r="O246" s="385">
        <v>3594</v>
      </c>
      <c r="P246" s="382">
        <v>79.92</v>
      </c>
      <c r="Q246" s="382">
        <v>83.35</v>
      </c>
      <c r="R246" s="382">
        <v>38.549999999999997</v>
      </c>
      <c r="S246" s="382">
        <v>116.59</v>
      </c>
      <c r="T246" s="382">
        <v>696</v>
      </c>
      <c r="U246" s="382">
        <v>115.77</v>
      </c>
      <c r="V246" s="382">
        <v>226</v>
      </c>
      <c r="W246" s="382">
        <v>204.66</v>
      </c>
      <c r="X246" s="382">
        <v>8</v>
      </c>
      <c r="Y246" s="382">
        <v>0</v>
      </c>
      <c r="Z246" s="382">
        <v>40</v>
      </c>
      <c r="AA246" s="382">
        <v>13</v>
      </c>
      <c r="AB246" s="382">
        <v>0</v>
      </c>
      <c r="AC246" s="382">
        <v>1</v>
      </c>
      <c r="AD246" s="386">
        <v>3756</v>
      </c>
      <c r="AE246" s="386">
        <v>21</v>
      </c>
      <c r="AF246" s="386">
        <v>6</v>
      </c>
      <c r="AG246" s="386">
        <v>27</v>
      </c>
    </row>
    <row r="247" spans="1:33" x14ac:dyDescent="0.25">
      <c r="A247" s="381" t="s">
        <v>552</v>
      </c>
      <c r="B247" s="387" t="s">
        <v>553</v>
      </c>
      <c r="C247" s="383">
        <v>5703</v>
      </c>
      <c r="D247" s="383">
        <v>0</v>
      </c>
      <c r="E247" s="383">
        <v>209</v>
      </c>
      <c r="F247" s="383">
        <v>926</v>
      </c>
      <c r="G247" s="383">
        <v>494</v>
      </c>
      <c r="H247" s="383">
        <v>7332</v>
      </c>
      <c r="I247" s="382">
        <v>6838</v>
      </c>
      <c r="J247" s="382">
        <v>9</v>
      </c>
      <c r="K247" s="384">
        <v>90.3</v>
      </c>
      <c r="L247" s="384">
        <v>92.13</v>
      </c>
      <c r="M247" s="384">
        <v>4.6399999999999997</v>
      </c>
      <c r="N247" s="384">
        <v>91.39</v>
      </c>
      <c r="O247" s="385">
        <v>4741</v>
      </c>
      <c r="P247" s="382">
        <v>87.46</v>
      </c>
      <c r="Q247" s="382">
        <v>82.38</v>
      </c>
      <c r="R247" s="382">
        <v>28.76</v>
      </c>
      <c r="S247" s="382">
        <v>116.22</v>
      </c>
      <c r="T247" s="382">
        <v>1104</v>
      </c>
      <c r="U247" s="382">
        <v>113.54</v>
      </c>
      <c r="V247" s="382">
        <v>873</v>
      </c>
      <c r="W247" s="382">
        <v>0</v>
      </c>
      <c r="X247" s="382">
        <v>0</v>
      </c>
      <c r="Y247" s="382">
        <v>0</v>
      </c>
      <c r="Z247" s="382">
        <v>10</v>
      </c>
      <c r="AA247" s="382">
        <v>5</v>
      </c>
      <c r="AB247" s="382">
        <v>2</v>
      </c>
      <c r="AC247" s="382">
        <v>16</v>
      </c>
      <c r="AD247" s="386">
        <v>5703</v>
      </c>
      <c r="AE247" s="386">
        <v>15</v>
      </c>
      <c r="AF247" s="386">
        <v>21</v>
      </c>
      <c r="AG247" s="386">
        <v>36</v>
      </c>
    </row>
    <row r="248" spans="1:33" x14ac:dyDescent="0.25">
      <c r="A248" s="381" t="s">
        <v>554</v>
      </c>
      <c r="B248" s="387" t="s">
        <v>555</v>
      </c>
      <c r="C248" s="383">
        <v>5615</v>
      </c>
      <c r="D248" s="383">
        <v>0</v>
      </c>
      <c r="E248" s="383">
        <v>183</v>
      </c>
      <c r="F248" s="383">
        <v>914</v>
      </c>
      <c r="G248" s="383">
        <v>565</v>
      </c>
      <c r="H248" s="383">
        <v>7277</v>
      </c>
      <c r="I248" s="382">
        <v>6712</v>
      </c>
      <c r="J248" s="382">
        <v>0</v>
      </c>
      <c r="K248" s="384">
        <v>113.36</v>
      </c>
      <c r="L248" s="384">
        <v>113.03</v>
      </c>
      <c r="M248" s="384">
        <v>4.26</v>
      </c>
      <c r="N248" s="384">
        <v>114.71</v>
      </c>
      <c r="O248" s="385">
        <v>5217</v>
      </c>
      <c r="P248" s="382">
        <v>94.11</v>
      </c>
      <c r="Q248" s="382">
        <v>90.8</v>
      </c>
      <c r="R248" s="382">
        <v>20.059999999999999</v>
      </c>
      <c r="S248" s="382">
        <v>111.67</v>
      </c>
      <c r="T248" s="382">
        <v>932</v>
      </c>
      <c r="U248" s="382">
        <v>159.19999999999999</v>
      </c>
      <c r="V248" s="382">
        <v>245</v>
      </c>
      <c r="W248" s="382">
        <v>165.4</v>
      </c>
      <c r="X248" s="382">
        <v>38</v>
      </c>
      <c r="Y248" s="382">
        <v>0</v>
      </c>
      <c r="Z248" s="382">
        <v>4</v>
      </c>
      <c r="AA248" s="382">
        <v>10</v>
      </c>
      <c r="AB248" s="382">
        <v>60</v>
      </c>
      <c r="AC248" s="382">
        <v>19</v>
      </c>
      <c r="AD248" s="386">
        <v>5500</v>
      </c>
      <c r="AE248" s="386">
        <v>26</v>
      </c>
      <c r="AF248" s="386">
        <v>17</v>
      </c>
      <c r="AG248" s="386">
        <v>43</v>
      </c>
    </row>
    <row r="249" spans="1:33" x14ac:dyDescent="0.25">
      <c r="A249" s="381" t="s">
        <v>556</v>
      </c>
      <c r="B249" s="387" t="s">
        <v>557</v>
      </c>
      <c r="C249" s="383">
        <v>3798</v>
      </c>
      <c r="D249" s="383">
        <v>6</v>
      </c>
      <c r="E249" s="383">
        <v>195</v>
      </c>
      <c r="F249" s="383">
        <v>1123</v>
      </c>
      <c r="G249" s="383">
        <v>256</v>
      </c>
      <c r="H249" s="383">
        <v>5378</v>
      </c>
      <c r="I249" s="382">
        <v>5122</v>
      </c>
      <c r="J249" s="382">
        <v>85</v>
      </c>
      <c r="K249" s="384">
        <v>89.5</v>
      </c>
      <c r="L249" s="384">
        <v>89.94</v>
      </c>
      <c r="M249" s="384">
        <v>2.72</v>
      </c>
      <c r="N249" s="384">
        <v>92.12</v>
      </c>
      <c r="O249" s="385">
        <v>3550</v>
      </c>
      <c r="P249" s="382">
        <v>87.74</v>
      </c>
      <c r="Q249" s="382">
        <v>81.31</v>
      </c>
      <c r="R249" s="382">
        <v>23.35</v>
      </c>
      <c r="S249" s="382">
        <v>111.03</v>
      </c>
      <c r="T249" s="382">
        <v>1291</v>
      </c>
      <c r="U249" s="382">
        <v>102.58</v>
      </c>
      <c r="V249" s="382">
        <v>243</v>
      </c>
      <c r="W249" s="382">
        <v>76</v>
      </c>
      <c r="X249" s="382">
        <v>1</v>
      </c>
      <c r="Y249" s="382">
        <v>0</v>
      </c>
      <c r="Z249" s="382">
        <v>4</v>
      </c>
      <c r="AA249" s="382">
        <v>1</v>
      </c>
      <c r="AB249" s="382">
        <v>11</v>
      </c>
      <c r="AC249" s="382">
        <v>4</v>
      </c>
      <c r="AD249" s="386">
        <v>3798</v>
      </c>
      <c r="AE249" s="386">
        <v>21</v>
      </c>
      <c r="AF249" s="386">
        <v>4</v>
      </c>
      <c r="AG249" s="386">
        <v>25</v>
      </c>
    </row>
    <row r="250" spans="1:33" x14ac:dyDescent="0.25">
      <c r="A250" s="381" t="s">
        <v>558</v>
      </c>
      <c r="B250" s="387" t="s">
        <v>559</v>
      </c>
      <c r="C250" s="383">
        <v>9029</v>
      </c>
      <c r="D250" s="383">
        <v>22</v>
      </c>
      <c r="E250" s="383">
        <v>331</v>
      </c>
      <c r="F250" s="383">
        <v>1702</v>
      </c>
      <c r="G250" s="383">
        <v>588</v>
      </c>
      <c r="H250" s="383">
        <v>11672</v>
      </c>
      <c r="I250" s="382">
        <v>11084</v>
      </c>
      <c r="J250" s="382">
        <v>1</v>
      </c>
      <c r="K250" s="384">
        <v>94.56</v>
      </c>
      <c r="L250" s="384">
        <v>90.6</v>
      </c>
      <c r="M250" s="384">
        <v>4.33</v>
      </c>
      <c r="N250" s="384">
        <v>95.86</v>
      </c>
      <c r="O250" s="385">
        <v>8300</v>
      </c>
      <c r="P250" s="382">
        <v>85.93</v>
      </c>
      <c r="Q250" s="382">
        <v>78.7</v>
      </c>
      <c r="R250" s="382">
        <v>28.36</v>
      </c>
      <c r="S250" s="382">
        <v>113.91</v>
      </c>
      <c r="T250" s="382">
        <v>2009</v>
      </c>
      <c r="U250" s="382">
        <v>114.13</v>
      </c>
      <c r="V250" s="382">
        <v>435</v>
      </c>
      <c r="W250" s="382">
        <v>111.03</v>
      </c>
      <c r="X250" s="382">
        <v>15</v>
      </c>
      <c r="Y250" s="382">
        <v>1</v>
      </c>
      <c r="Z250" s="382">
        <v>23</v>
      </c>
      <c r="AA250" s="382">
        <v>25</v>
      </c>
      <c r="AB250" s="382">
        <v>27</v>
      </c>
      <c r="AC250" s="382">
        <v>12</v>
      </c>
      <c r="AD250" s="386">
        <v>8930</v>
      </c>
      <c r="AE250" s="386">
        <v>40</v>
      </c>
      <c r="AF250" s="386">
        <v>33</v>
      </c>
      <c r="AG250" s="386">
        <v>73</v>
      </c>
    </row>
    <row r="251" spans="1:33" x14ac:dyDescent="0.25">
      <c r="A251" s="381" t="s">
        <v>560</v>
      </c>
      <c r="B251" s="387" t="s">
        <v>561</v>
      </c>
      <c r="C251" s="383">
        <v>4354</v>
      </c>
      <c r="D251" s="383">
        <v>0</v>
      </c>
      <c r="E251" s="383">
        <v>798</v>
      </c>
      <c r="F251" s="383">
        <v>1373</v>
      </c>
      <c r="G251" s="383">
        <v>209</v>
      </c>
      <c r="H251" s="383">
        <v>6734</v>
      </c>
      <c r="I251" s="382">
        <v>6525</v>
      </c>
      <c r="J251" s="382">
        <v>4</v>
      </c>
      <c r="K251" s="384">
        <v>90.74</v>
      </c>
      <c r="L251" s="384">
        <v>89.95</v>
      </c>
      <c r="M251" s="384">
        <v>2.5099999999999998</v>
      </c>
      <c r="N251" s="384">
        <v>91.57</v>
      </c>
      <c r="O251" s="385">
        <v>4292</v>
      </c>
      <c r="P251" s="382">
        <v>85.86</v>
      </c>
      <c r="Q251" s="382">
        <v>85.44</v>
      </c>
      <c r="R251" s="382">
        <v>22.44</v>
      </c>
      <c r="S251" s="382">
        <v>94.76</v>
      </c>
      <c r="T251" s="382">
        <v>2055</v>
      </c>
      <c r="U251" s="382">
        <v>108.21</v>
      </c>
      <c r="V251" s="382">
        <v>47</v>
      </c>
      <c r="W251" s="382">
        <v>152.59</v>
      </c>
      <c r="X251" s="382">
        <v>108</v>
      </c>
      <c r="Y251" s="382">
        <v>0</v>
      </c>
      <c r="Z251" s="382">
        <v>24</v>
      </c>
      <c r="AA251" s="382">
        <v>4</v>
      </c>
      <c r="AB251" s="382">
        <v>12</v>
      </c>
      <c r="AC251" s="382">
        <v>0</v>
      </c>
      <c r="AD251" s="386">
        <v>4354</v>
      </c>
      <c r="AE251" s="386">
        <v>16</v>
      </c>
      <c r="AF251" s="386">
        <v>6</v>
      </c>
      <c r="AG251" s="386">
        <v>22</v>
      </c>
    </row>
    <row r="252" spans="1:33" x14ac:dyDescent="0.25">
      <c r="A252" s="381" t="s">
        <v>562</v>
      </c>
      <c r="B252" s="387" t="s">
        <v>563</v>
      </c>
      <c r="C252" s="383">
        <v>3617</v>
      </c>
      <c r="D252" s="383">
        <v>6</v>
      </c>
      <c r="E252" s="383">
        <v>378</v>
      </c>
      <c r="F252" s="383">
        <v>754</v>
      </c>
      <c r="G252" s="383">
        <v>238</v>
      </c>
      <c r="H252" s="383">
        <v>4993</v>
      </c>
      <c r="I252" s="382">
        <v>4755</v>
      </c>
      <c r="J252" s="382">
        <v>79</v>
      </c>
      <c r="K252" s="384">
        <v>81.53</v>
      </c>
      <c r="L252" s="384">
        <v>82.9</v>
      </c>
      <c r="M252" s="384">
        <v>3.62</v>
      </c>
      <c r="N252" s="384">
        <v>83.99</v>
      </c>
      <c r="O252" s="385">
        <v>3179</v>
      </c>
      <c r="P252" s="382">
        <v>83.23</v>
      </c>
      <c r="Q252" s="382">
        <v>77.09</v>
      </c>
      <c r="R252" s="382">
        <v>45.34</v>
      </c>
      <c r="S252" s="382">
        <v>127.45</v>
      </c>
      <c r="T252" s="382">
        <v>973</v>
      </c>
      <c r="U252" s="382">
        <v>96.91</v>
      </c>
      <c r="V252" s="382">
        <v>352</v>
      </c>
      <c r="W252" s="382">
        <v>107.9</v>
      </c>
      <c r="X252" s="382">
        <v>84</v>
      </c>
      <c r="Y252" s="382">
        <v>0</v>
      </c>
      <c r="Z252" s="382">
        <v>3</v>
      </c>
      <c r="AA252" s="382">
        <v>5</v>
      </c>
      <c r="AB252" s="382">
        <v>0</v>
      </c>
      <c r="AC252" s="382">
        <v>3</v>
      </c>
      <c r="AD252" s="386">
        <v>3513</v>
      </c>
      <c r="AE252" s="386">
        <v>58</v>
      </c>
      <c r="AF252" s="386">
        <v>20</v>
      </c>
      <c r="AG252" s="386">
        <v>78</v>
      </c>
    </row>
    <row r="253" spans="1:33" x14ac:dyDescent="0.25">
      <c r="A253" s="381" t="s">
        <v>564</v>
      </c>
      <c r="B253" s="387" t="s">
        <v>565</v>
      </c>
      <c r="C253" s="383">
        <v>5653</v>
      </c>
      <c r="D253" s="383">
        <v>31</v>
      </c>
      <c r="E253" s="383">
        <v>942</v>
      </c>
      <c r="F253" s="383">
        <v>1022</v>
      </c>
      <c r="G253" s="383">
        <v>970</v>
      </c>
      <c r="H253" s="383">
        <v>8618</v>
      </c>
      <c r="I253" s="382">
        <v>7648</v>
      </c>
      <c r="J253" s="382">
        <v>3</v>
      </c>
      <c r="K253" s="384">
        <v>108.04</v>
      </c>
      <c r="L253" s="384">
        <v>107.5</v>
      </c>
      <c r="M253" s="384">
        <v>6.34</v>
      </c>
      <c r="N253" s="384">
        <v>113.72</v>
      </c>
      <c r="O253" s="385">
        <v>4534</v>
      </c>
      <c r="P253" s="382">
        <v>93.19</v>
      </c>
      <c r="Q253" s="382">
        <v>89.24</v>
      </c>
      <c r="R253" s="382">
        <v>35.31</v>
      </c>
      <c r="S253" s="382">
        <v>126.3</v>
      </c>
      <c r="T253" s="382">
        <v>1729</v>
      </c>
      <c r="U253" s="382">
        <v>143.22</v>
      </c>
      <c r="V253" s="382">
        <v>668</v>
      </c>
      <c r="W253" s="382">
        <v>0</v>
      </c>
      <c r="X253" s="382">
        <v>0</v>
      </c>
      <c r="Y253" s="382">
        <v>92</v>
      </c>
      <c r="Z253" s="382">
        <v>62</v>
      </c>
      <c r="AA253" s="382">
        <v>45</v>
      </c>
      <c r="AB253" s="382">
        <v>63</v>
      </c>
      <c r="AC253" s="382">
        <v>54</v>
      </c>
      <c r="AD253" s="386">
        <v>5534</v>
      </c>
      <c r="AE253" s="386">
        <v>43</v>
      </c>
      <c r="AF253" s="386">
        <v>37</v>
      </c>
      <c r="AG253" s="386">
        <v>80</v>
      </c>
    </row>
    <row r="254" spans="1:33" x14ac:dyDescent="0.25">
      <c r="A254" s="381" t="s">
        <v>566</v>
      </c>
      <c r="B254" s="387" t="s">
        <v>567</v>
      </c>
      <c r="C254" s="383">
        <v>2699</v>
      </c>
      <c r="D254" s="383">
        <v>0</v>
      </c>
      <c r="E254" s="383">
        <v>408</v>
      </c>
      <c r="F254" s="383">
        <v>325</v>
      </c>
      <c r="G254" s="383">
        <v>268</v>
      </c>
      <c r="H254" s="383">
        <v>3700</v>
      </c>
      <c r="I254" s="382">
        <v>3432</v>
      </c>
      <c r="J254" s="382">
        <v>2</v>
      </c>
      <c r="K254" s="384">
        <v>99.6</v>
      </c>
      <c r="L254" s="384">
        <v>97.98</v>
      </c>
      <c r="M254" s="384">
        <v>11.04</v>
      </c>
      <c r="N254" s="384">
        <v>108.55</v>
      </c>
      <c r="O254" s="385">
        <v>2471</v>
      </c>
      <c r="P254" s="382">
        <v>90.56</v>
      </c>
      <c r="Q254" s="382">
        <v>88.69</v>
      </c>
      <c r="R254" s="382">
        <v>55.68</v>
      </c>
      <c r="S254" s="382">
        <v>144.68</v>
      </c>
      <c r="T254" s="382">
        <v>502</v>
      </c>
      <c r="U254" s="382">
        <v>153.13999999999999</v>
      </c>
      <c r="V254" s="382">
        <v>212</v>
      </c>
      <c r="W254" s="382">
        <v>0</v>
      </c>
      <c r="X254" s="382">
        <v>0</v>
      </c>
      <c r="Y254" s="382">
        <v>11</v>
      </c>
      <c r="Z254" s="382">
        <v>1</v>
      </c>
      <c r="AA254" s="382">
        <v>17</v>
      </c>
      <c r="AB254" s="382">
        <v>2</v>
      </c>
      <c r="AC254" s="382">
        <v>9</v>
      </c>
      <c r="AD254" s="386">
        <v>2699</v>
      </c>
      <c r="AE254" s="386">
        <v>14</v>
      </c>
      <c r="AF254" s="386">
        <v>3</v>
      </c>
      <c r="AG254" s="386">
        <v>17</v>
      </c>
    </row>
    <row r="255" spans="1:33" x14ac:dyDescent="0.25">
      <c r="A255" s="381" t="s">
        <v>568</v>
      </c>
      <c r="B255" s="387" t="s">
        <v>569</v>
      </c>
      <c r="C255" s="383">
        <v>14447</v>
      </c>
      <c r="D255" s="383">
        <v>106</v>
      </c>
      <c r="E255" s="383">
        <v>1606</v>
      </c>
      <c r="F255" s="383">
        <v>597</v>
      </c>
      <c r="G255" s="383">
        <v>2556</v>
      </c>
      <c r="H255" s="383">
        <v>19312</v>
      </c>
      <c r="I255" s="382">
        <v>16756</v>
      </c>
      <c r="J255" s="382">
        <v>30</v>
      </c>
      <c r="K255" s="384">
        <v>123.58</v>
      </c>
      <c r="L255" s="384">
        <v>127.69</v>
      </c>
      <c r="M255" s="384">
        <v>10.93</v>
      </c>
      <c r="N255" s="384">
        <v>132.07</v>
      </c>
      <c r="O255" s="385">
        <v>11849</v>
      </c>
      <c r="P255" s="382">
        <v>106.38</v>
      </c>
      <c r="Q255" s="382">
        <v>105.72</v>
      </c>
      <c r="R255" s="382">
        <v>49.83</v>
      </c>
      <c r="S255" s="382">
        <v>151.93</v>
      </c>
      <c r="T255" s="382">
        <v>2024</v>
      </c>
      <c r="U255" s="382">
        <v>205.19</v>
      </c>
      <c r="V255" s="382">
        <v>790</v>
      </c>
      <c r="W255" s="382">
        <v>203.1</v>
      </c>
      <c r="X255" s="382">
        <v>22</v>
      </c>
      <c r="Y255" s="382">
        <v>5</v>
      </c>
      <c r="Z255" s="382">
        <v>26</v>
      </c>
      <c r="AA255" s="382">
        <v>19</v>
      </c>
      <c r="AB255" s="382">
        <v>291</v>
      </c>
      <c r="AC255" s="382">
        <v>93</v>
      </c>
      <c r="AD255" s="386">
        <v>13576</v>
      </c>
      <c r="AE255" s="386">
        <v>75</v>
      </c>
      <c r="AF255" s="386">
        <v>56</v>
      </c>
      <c r="AG255" s="386">
        <v>131</v>
      </c>
    </row>
    <row r="256" spans="1:33" x14ac:dyDescent="0.25">
      <c r="A256" s="381" t="s">
        <v>570</v>
      </c>
      <c r="B256" s="387" t="s">
        <v>571</v>
      </c>
      <c r="C256" s="382">
        <v>4908</v>
      </c>
      <c r="D256" s="382">
        <v>0</v>
      </c>
      <c r="E256" s="382">
        <v>115</v>
      </c>
      <c r="F256" s="382">
        <v>313</v>
      </c>
      <c r="G256" s="382">
        <v>428</v>
      </c>
      <c r="H256" s="382">
        <v>5764</v>
      </c>
      <c r="I256" s="382">
        <v>5336</v>
      </c>
      <c r="J256" s="382">
        <v>25</v>
      </c>
      <c r="K256" s="382">
        <v>119.25</v>
      </c>
      <c r="L256" s="384">
        <v>114.59</v>
      </c>
      <c r="M256" s="384">
        <v>5.45</v>
      </c>
      <c r="N256" s="384">
        <v>123.84</v>
      </c>
      <c r="O256" s="385">
        <v>4820</v>
      </c>
      <c r="P256" s="382">
        <v>109.39</v>
      </c>
      <c r="Q256" s="382">
        <v>103.64</v>
      </c>
      <c r="R256" s="382">
        <v>70</v>
      </c>
      <c r="S256" s="382">
        <v>176.44</v>
      </c>
      <c r="T256" s="382">
        <v>357</v>
      </c>
      <c r="U256" s="382">
        <v>218.62</v>
      </c>
      <c r="V256" s="382">
        <v>77</v>
      </c>
      <c r="W256" s="382">
        <v>135.83000000000001</v>
      </c>
      <c r="X256" s="382">
        <v>6</v>
      </c>
      <c r="Y256" s="382">
        <v>1</v>
      </c>
      <c r="Z256" s="382">
        <v>2</v>
      </c>
      <c r="AA256" s="382">
        <v>0</v>
      </c>
      <c r="AB256" s="382">
        <v>52</v>
      </c>
      <c r="AC256" s="382">
        <v>18</v>
      </c>
      <c r="AD256" s="382">
        <v>4899</v>
      </c>
      <c r="AE256" s="382">
        <v>7</v>
      </c>
      <c r="AF256" s="382">
        <v>19</v>
      </c>
      <c r="AG256" s="382">
        <v>26</v>
      </c>
    </row>
    <row r="257" spans="1:33" x14ac:dyDescent="0.25">
      <c r="A257" s="381" t="s">
        <v>572</v>
      </c>
      <c r="B257" s="387" t="s">
        <v>573</v>
      </c>
      <c r="C257" s="382">
        <v>1944</v>
      </c>
      <c r="D257" s="382">
        <v>8</v>
      </c>
      <c r="E257" s="382">
        <v>228</v>
      </c>
      <c r="F257" s="382">
        <v>192</v>
      </c>
      <c r="G257" s="382">
        <v>200</v>
      </c>
      <c r="H257" s="382">
        <v>2572</v>
      </c>
      <c r="I257" s="382">
        <v>2372</v>
      </c>
      <c r="J257" s="382">
        <v>3</v>
      </c>
      <c r="K257" s="382">
        <v>123.85</v>
      </c>
      <c r="L257" s="384">
        <v>119.7</v>
      </c>
      <c r="M257" s="384">
        <v>6.62</v>
      </c>
      <c r="N257" s="384">
        <v>129.69</v>
      </c>
      <c r="O257" s="385">
        <v>1593</v>
      </c>
      <c r="P257" s="382">
        <v>103.64</v>
      </c>
      <c r="Q257" s="382">
        <v>100.46</v>
      </c>
      <c r="R257" s="382">
        <v>34.799999999999997</v>
      </c>
      <c r="S257" s="382">
        <v>136.01</v>
      </c>
      <c r="T257" s="382">
        <v>344</v>
      </c>
      <c r="U257" s="382">
        <v>187.8</v>
      </c>
      <c r="V257" s="382">
        <v>141</v>
      </c>
      <c r="W257" s="382">
        <v>192.71</v>
      </c>
      <c r="X257" s="382">
        <v>39</v>
      </c>
      <c r="Y257" s="382">
        <v>0</v>
      </c>
      <c r="Z257" s="382">
        <v>0</v>
      </c>
      <c r="AA257" s="382">
        <v>6</v>
      </c>
      <c r="AB257" s="382">
        <v>4</v>
      </c>
      <c r="AC257" s="382">
        <v>23</v>
      </c>
      <c r="AD257" s="382">
        <v>1939</v>
      </c>
      <c r="AE257" s="382">
        <v>29</v>
      </c>
      <c r="AF257" s="382">
        <v>5</v>
      </c>
      <c r="AG257" s="382">
        <v>34</v>
      </c>
    </row>
    <row r="258" spans="1:33" x14ac:dyDescent="0.25">
      <c r="A258" s="381" t="s">
        <v>574</v>
      </c>
      <c r="B258" s="387" t="s">
        <v>575</v>
      </c>
      <c r="C258" s="382">
        <v>14683</v>
      </c>
      <c r="D258" s="382">
        <v>2</v>
      </c>
      <c r="E258" s="382">
        <v>643</v>
      </c>
      <c r="F258" s="382">
        <v>2074</v>
      </c>
      <c r="G258" s="382">
        <v>483</v>
      </c>
      <c r="H258" s="382">
        <v>17885</v>
      </c>
      <c r="I258" s="382">
        <v>17402</v>
      </c>
      <c r="J258" s="382">
        <v>3</v>
      </c>
      <c r="K258" s="382">
        <v>90.88</v>
      </c>
      <c r="L258" s="384">
        <v>88.06</v>
      </c>
      <c r="M258" s="384">
        <v>1.76</v>
      </c>
      <c r="N258" s="384">
        <v>92.46</v>
      </c>
      <c r="O258" s="385">
        <v>13799</v>
      </c>
      <c r="P258" s="382">
        <v>87.93</v>
      </c>
      <c r="Q258" s="382">
        <v>83.05</v>
      </c>
      <c r="R258" s="382">
        <v>28.38</v>
      </c>
      <c r="S258" s="382">
        <v>115.41</v>
      </c>
      <c r="T258" s="382">
        <v>2447</v>
      </c>
      <c r="U258" s="382">
        <v>102.86</v>
      </c>
      <c r="V258" s="382">
        <v>811</v>
      </c>
      <c r="W258" s="382">
        <v>106.14</v>
      </c>
      <c r="X258" s="382">
        <v>2</v>
      </c>
      <c r="Y258" s="382">
        <v>0</v>
      </c>
      <c r="Z258" s="382">
        <v>62</v>
      </c>
      <c r="AA258" s="382">
        <v>38</v>
      </c>
      <c r="AB258" s="382">
        <v>23</v>
      </c>
      <c r="AC258" s="382">
        <v>5</v>
      </c>
      <c r="AD258" s="382">
        <v>14638</v>
      </c>
      <c r="AE258" s="382">
        <v>157</v>
      </c>
      <c r="AF258" s="382">
        <v>117</v>
      </c>
      <c r="AG258" s="382">
        <v>274</v>
      </c>
    </row>
    <row r="259" spans="1:33" x14ac:dyDescent="0.25">
      <c r="A259" s="381" t="s">
        <v>576</v>
      </c>
      <c r="B259" s="387" t="s">
        <v>577</v>
      </c>
      <c r="C259" s="383">
        <v>5780</v>
      </c>
      <c r="D259" s="383">
        <v>0</v>
      </c>
      <c r="E259" s="383">
        <v>247</v>
      </c>
      <c r="F259" s="383">
        <v>1629</v>
      </c>
      <c r="G259" s="383">
        <v>253</v>
      </c>
      <c r="H259" s="383">
        <v>7909</v>
      </c>
      <c r="I259" s="382">
        <v>7656</v>
      </c>
      <c r="J259" s="382">
        <v>0</v>
      </c>
      <c r="K259" s="384">
        <v>84.77</v>
      </c>
      <c r="L259" s="384">
        <v>85.59</v>
      </c>
      <c r="M259" s="384">
        <v>3.81</v>
      </c>
      <c r="N259" s="384">
        <v>86.8</v>
      </c>
      <c r="O259" s="385">
        <v>5455</v>
      </c>
      <c r="P259" s="382">
        <v>75.72</v>
      </c>
      <c r="Q259" s="382">
        <v>76.14</v>
      </c>
      <c r="R259" s="382">
        <v>15.71</v>
      </c>
      <c r="S259" s="382">
        <v>90.3</v>
      </c>
      <c r="T259" s="382">
        <v>1705</v>
      </c>
      <c r="U259" s="382">
        <v>106.86</v>
      </c>
      <c r="V259" s="382">
        <v>318</v>
      </c>
      <c r="W259" s="382">
        <v>161.28</v>
      </c>
      <c r="X259" s="382">
        <v>126</v>
      </c>
      <c r="Y259" s="382">
        <v>67</v>
      </c>
      <c r="Z259" s="382">
        <v>6</v>
      </c>
      <c r="AA259" s="382">
        <v>3</v>
      </c>
      <c r="AB259" s="382">
        <v>29</v>
      </c>
      <c r="AC259" s="382">
        <v>9</v>
      </c>
      <c r="AD259" s="386">
        <v>5780</v>
      </c>
      <c r="AE259" s="386">
        <v>21</v>
      </c>
      <c r="AF259" s="386">
        <v>6</v>
      </c>
      <c r="AG259" s="386">
        <v>27</v>
      </c>
    </row>
    <row r="260" spans="1:33" x14ac:dyDescent="0.25">
      <c r="A260" s="381" t="s">
        <v>578</v>
      </c>
      <c r="B260" s="387" t="s">
        <v>579</v>
      </c>
      <c r="C260" s="383">
        <v>2589</v>
      </c>
      <c r="D260" s="383">
        <v>0</v>
      </c>
      <c r="E260" s="383">
        <v>123</v>
      </c>
      <c r="F260" s="383">
        <v>931</v>
      </c>
      <c r="G260" s="383">
        <v>69</v>
      </c>
      <c r="H260" s="383">
        <v>3712</v>
      </c>
      <c r="I260" s="382">
        <v>3643</v>
      </c>
      <c r="J260" s="382">
        <v>10</v>
      </c>
      <c r="K260" s="384">
        <v>88.05</v>
      </c>
      <c r="L260" s="384">
        <v>89.12</v>
      </c>
      <c r="M260" s="384">
        <v>5</v>
      </c>
      <c r="N260" s="384">
        <v>89.1</v>
      </c>
      <c r="O260" s="385">
        <v>2344</v>
      </c>
      <c r="P260" s="382">
        <v>82.9</v>
      </c>
      <c r="Q260" s="382">
        <v>83.28</v>
      </c>
      <c r="R260" s="382">
        <v>17.22</v>
      </c>
      <c r="S260" s="382">
        <v>99.56</v>
      </c>
      <c r="T260" s="382">
        <v>939</v>
      </c>
      <c r="U260" s="382">
        <v>96.36</v>
      </c>
      <c r="V260" s="382">
        <v>181</v>
      </c>
      <c r="W260" s="382">
        <v>137.30000000000001</v>
      </c>
      <c r="X260" s="382">
        <v>63</v>
      </c>
      <c r="Y260" s="382">
        <v>0</v>
      </c>
      <c r="Z260" s="382">
        <v>8</v>
      </c>
      <c r="AA260" s="382">
        <v>2</v>
      </c>
      <c r="AB260" s="382">
        <v>4</v>
      </c>
      <c r="AC260" s="382">
        <v>0</v>
      </c>
      <c r="AD260" s="386">
        <v>2430</v>
      </c>
      <c r="AE260" s="386">
        <v>22</v>
      </c>
      <c r="AF260" s="386">
        <v>6</v>
      </c>
      <c r="AG260" s="386">
        <v>28</v>
      </c>
    </row>
    <row r="261" spans="1:33" x14ac:dyDescent="0.25">
      <c r="A261" s="381" t="s">
        <v>580</v>
      </c>
      <c r="B261" s="387" t="s">
        <v>581</v>
      </c>
      <c r="C261" s="383">
        <v>1656</v>
      </c>
      <c r="D261" s="383">
        <v>0</v>
      </c>
      <c r="E261" s="383">
        <v>144</v>
      </c>
      <c r="F261" s="383">
        <v>311</v>
      </c>
      <c r="G261" s="383">
        <v>315</v>
      </c>
      <c r="H261" s="383">
        <v>2426</v>
      </c>
      <c r="I261" s="382">
        <v>2111</v>
      </c>
      <c r="J261" s="382">
        <v>11</v>
      </c>
      <c r="K261" s="384">
        <v>116.07</v>
      </c>
      <c r="L261" s="384">
        <v>117.46</v>
      </c>
      <c r="M261" s="384">
        <v>6.97</v>
      </c>
      <c r="N261" s="384">
        <v>122.09</v>
      </c>
      <c r="O261" s="385">
        <v>1397</v>
      </c>
      <c r="P261" s="382">
        <v>94.71</v>
      </c>
      <c r="Q261" s="382">
        <v>90.73</v>
      </c>
      <c r="R261" s="382">
        <v>33.29</v>
      </c>
      <c r="S261" s="382">
        <v>128</v>
      </c>
      <c r="T261" s="382">
        <v>384</v>
      </c>
      <c r="U261" s="382">
        <v>131.93</v>
      </c>
      <c r="V261" s="382">
        <v>108</v>
      </c>
      <c r="W261" s="382">
        <v>0</v>
      </c>
      <c r="X261" s="382">
        <v>0</v>
      </c>
      <c r="Y261" s="382">
        <v>0</v>
      </c>
      <c r="Z261" s="382">
        <v>0</v>
      </c>
      <c r="AA261" s="382">
        <v>0</v>
      </c>
      <c r="AB261" s="382">
        <v>8</v>
      </c>
      <c r="AC261" s="382">
        <v>10</v>
      </c>
      <c r="AD261" s="386">
        <v>1526</v>
      </c>
      <c r="AE261" s="386">
        <v>12</v>
      </c>
      <c r="AF261" s="386">
        <v>2</v>
      </c>
      <c r="AG261" s="386">
        <v>14</v>
      </c>
    </row>
    <row r="262" spans="1:33" x14ac:dyDescent="0.25">
      <c r="A262" s="381" t="s">
        <v>582</v>
      </c>
      <c r="B262" s="387" t="s">
        <v>583</v>
      </c>
      <c r="C262" s="383">
        <v>4281</v>
      </c>
      <c r="D262" s="383">
        <v>4</v>
      </c>
      <c r="E262" s="383">
        <v>421</v>
      </c>
      <c r="F262" s="383">
        <v>1450</v>
      </c>
      <c r="G262" s="383">
        <v>962</v>
      </c>
      <c r="H262" s="383">
        <v>7118</v>
      </c>
      <c r="I262" s="382">
        <v>6156</v>
      </c>
      <c r="J262" s="382">
        <v>5</v>
      </c>
      <c r="K262" s="384">
        <v>84.91</v>
      </c>
      <c r="L262" s="384">
        <v>85.53</v>
      </c>
      <c r="M262" s="384">
        <v>6.79</v>
      </c>
      <c r="N262" s="384">
        <v>88.64</v>
      </c>
      <c r="O262" s="385">
        <v>3664</v>
      </c>
      <c r="P262" s="382">
        <v>84.36</v>
      </c>
      <c r="Q262" s="382">
        <v>79.569999999999993</v>
      </c>
      <c r="R262" s="382">
        <v>26.23</v>
      </c>
      <c r="S262" s="382">
        <v>109.77</v>
      </c>
      <c r="T262" s="382">
        <v>1779</v>
      </c>
      <c r="U262" s="382">
        <v>111.33</v>
      </c>
      <c r="V262" s="382">
        <v>413</v>
      </c>
      <c r="W262" s="382">
        <v>145.82</v>
      </c>
      <c r="X262" s="382">
        <v>59</v>
      </c>
      <c r="Y262" s="382">
        <v>0</v>
      </c>
      <c r="Z262" s="382">
        <v>9</v>
      </c>
      <c r="AA262" s="382">
        <v>10</v>
      </c>
      <c r="AB262" s="382">
        <v>34</v>
      </c>
      <c r="AC262" s="382">
        <v>10</v>
      </c>
      <c r="AD262" s="386">
        <v>4016</v>
      </c>
      <c r="AE262" s="386">
        <v>27</v>
      </c>
      <c r="AF262" s="386">
        <v>8</v>
      </c>
      <c r="AG262" s="386">
        <v>35</v>
      </c>
    </row>
    <row r="263" spans="1:33" x14ac:dyDescent="0.25">
      <c r="A263" s="381" t="s">
        <v>584</v>
      </c>
      <c r="B263" s="387" t="s">
        <v>585</v>
      </c>
      <c r="C263" s="383">
        <v>12791</v>
      </c>
      <c r="D263" s="383">
        <v>4</v>
      </c>
      <c r="E263" s="383">
        <v>243</v>
      </c>
      <c r="F263" s="383">
        <v>839</v>
      </c>
      <c r="G263" s="383">
        <v>162</v>
      </c>
      <c r="H263" s="383">
        <v>14039</v>
      </c>
      <c r="I263" s="382">
        <v>13877</v>
      </c>
      <c r="J263" s="382">
        <v>18</v>
      </c>
      <c r="K263" s="384">
        <v>82.7</v>
      </c>
      <c r="L263" s="384">
        <v>88.65</v>
      </c>
      <c r="M263" s="384">
        <v>7.22</v>
      </c>
      <c r="N263" s="384">
        <v>84.69</v>
      </c>
      <c r="O263" s="385">
        <v>11320</v>
      </c>
      <c r="P263" s="382">
        <v>84.02</v>
      </c>
      <c r="Q263" s="382">
        <v>79.010000000000005</v>
      </c>
      <c r="R263" s="382">
        <v>39.33</v>
      </c>
      <c r="S263" s="382">
        <v>123.16</v>
      </c>
      <c r="T263" s="382">
        <v>1023</v>
      </c>
      <c r="U263" s="382">
        <v>98.23</v>
      </c>
      <c r="V263" s="382">
        <v>1413</v>
      </c>
      <c r="W263" s="382">
        <v>216.88</v>
      </c>
      <c r="X263" s="382">
        <v>32</v>
      </c>
      <c r="Y263" s="382">
        <v>0</v>
      </c>
      <c r="Z263" s="382">
        <v>45</v>
      </c>
      <c r="AA263" s="382">
        <v>2</v>
      </c>
      <c r="AB263" s="382">
        <v>15</v>
      </c>
      <c r="AC263" s="382">
        <v>1</v>
      </c>
      <c r="AD263" s="386">
        <v>12791</v>
      </c>
      <c r="AE263" s="386">
        <v>215</v>
      </c>
      <c r="AF263" s="386">
        <v>136</v>
      </c>
      <c r="AG263" s="386">
        <v>351</v>
      </c>
    </row>
    <row r="264" spans="1:33" x14ac:dyDescent="0.25">
      <c r="A264" s="381" t="s">
        <v>586</v>
      </c>
      <c r="B264" s="387" t="s">
        <v>587</v>
      </c>
      <c r="C264" s="383">
        <v>5936</v>
      </c>
      <c r="D264" s="383">
        <v>0</v>
      </c>
      <c r="E264" s="383">
        <v>720</v>
      </c>
      <c r="F264" s="383">
        <v>1094</v>
      </c>
      <c r="G264" s="383">
        <v>279</v>
      </c>
      <c r="H264" s="383">
        <v>8029</v>
      </c>
      <c r="I264" s="382">
        <v>7750</v>
      </c>
      <c r="J264" s="382">
        <v>16</v>
      </c>
      <c r="K264" s="384">
        <v>78.06</v>
      </c>
      <c r="L264" s="384">
        <v>78.75</v>
      </c>
      <c r="M264" s="384">
        <v>4.09</v>
      </c>
      <c r="N264" s="384">
        <v>80.77</v>
      </c>
      <c r="O264" s="385">
        <v>4991</v>
      </c>
      <c r="P264" s="382">
        <v>89.07</v>
      </c>
      <c r="Q264" s="382">
        <v>88.04</v>
      </c>
      <c r="R264" s="382">
        <v>51.76</v>
      </c>
      <c r="S264" s="382">
        <v>140.12</v>
      </c>
      <c r="T264" s="382">
        <v>1399</v>
      </c>
      <c r="U264" s="382">
        <v>94.06</v>
      </c>
      <c r="V264" s="382">
        <v>414</v>
      </c>
      <c r="W264" s="382">
        <v>168.46</v>
      </c>
      <c r="X264" s="382">
        <v>120</v>
      </c>
      <c r="Y264" s="382">
        <v>10</v>
      </c>
      <c r="Z264" s="382">
        <v>2</v>
      </c>
      <c r="AA264" s="382">
        <v>12</v>
      </c>
      <c r="AB264" s="382">
        <v>0</v>
      </c>
      <c r="AC264" s="382">
        <v>8</v>
      </c>
      <c r="AD264" s="386">
        <v>5382</v>
      </c>
      <c r="AE264" s="386">
        <v>51</v>
      </c>
      <c r="AF264" s="386">
        <v>11</v>
      </c>
      <c r="AG264" s="386">
        <v>62</v>
      </c>
    </row>
    <row r="265" spans="1:33" x14ac:dyDescent="0.25">
      <c r="A265" s="381" t="s">
        <v>588</v>
      </c>
      <c r="B265" s="387" t="s">
        <v>589</v>
      </c>
      <c r="C265" s="383">
        <v>6459</v>
      </c>
      <c r="D265" s="383">
        <v>2</v>
      </c>
      <c r="E265" s="383">
        <v>63</v>
      </c>
      <c r="F265" s="383">
        <v>660</v>
      </c>
      <c r="G265" s="383">
        <v>526</v>
      </c>
      <c r="H265" s="383">
        <v>7710</v>
      </c>
      <c r="I265" s="382">
        <v>7184</v>
      </c>
      <c r="J265" s="382">
        <v>7</v>
      </c>
      <c r="K265" s="384">
        <v>106.32</v>
      </c>
      <c r="L265" s="384">
        <v>103.22</v>
      </c>
      <c r="M265" s="384">
        <v>4.47</v>
      </c>
      <c r="N265" s="384">
        <v>107.72</v>
      </c>
      <c r="O265" s="385">
        <v>5908</v>
      </c>
      <c r="P265" s="382">
        <v>83.8</v>
      </c>
      <c r="Q265" s="382">
        <v>87.64</v>
      </c>
      <c r="R265" s="382">
        <v>30.44</v>
      </c>
      <c r="S265" s="382">
        <v>113.93</v>
      </c>
      <c r="T265" s="382">
        <v>675</v>
      </c>
      <c r="U265" s="382">
        <v>133.27000000000001</v>
      </c>
      <c r="V265" s="382">
        <v>205</v>
      </c>
      <c r="W265" s="382">
        <v>0</v>
      </c>
      <c r="X265" s="382">
        <v>0</v>
      </c>
      <c r="Y265" s="382">
        <v>0</v>
      </c>
      <c r="Z265" s="382">
        <v>9</v>
      </c>
      <c r="AA265" s="382">
        <v>23</v>
      </c>
      <c r="AB265" s="382">
        <v>50</v>
      </c>
      <c r="AC265" s="382">
        <v>8</v>
      </c>
      <c r="AD265" s="386">
        <v>6082</v>
      </c>
      <c r="AE265" s="386">
        <v>29</v>
      </c>
      <c r="AF265" s="386">
        <v>79</v>
      </c>
      <c r="AG265" s="386">
        <v>108</v>
      </c>
    </row>
    <row r="266" spans="1:33" x14ac:dyDescent="0.25">
      <c r="A266" s="381" t="s">
        <v>590</v>
      </c>
      <c r="B266" s="387" t="s">
        <v>591</v>
      </c>
      <c r="C266" s="383">
        <v>1301</v>
      </c>
      <c r="D266" s="383">
        <v>0</v>
      </c>
      <c r="E266" s="383">
        <v>123</v>
      </c>
      <c r="F266" s="383">
        <v>153</v>
      </c>
      <c r="G266" s="383">
        <v>308</v>
      </c>
      <c r="H266" s="383">
        <v>1885</v>
      </c>
      <c r="I266" s="382">
        <v>1577</v>
      </c>
      <c r="J266" s="382">
        <v>0</v>
      </c>
      <c r="K266" s="384">
        <v>101.07</v>
      </c>
      <c r="L266" s="384">
        <v>99.2</v>
      </c>
      <c r="M266" s="384">
        <v>4.63</v>
      </c>
      <c r="N266" s="384">
        <v>104.54</v>
      </c>
      <c r="O266" s="385">
        <v>1022</v>
      </c>
      <c r="P266" s="382">
        <v>87</v>
      </c>
      <c r="Q266" s="382">
        <v>80.87</v>
      </c>
      <c r="R266" s="382">
        <v>31.5</v>
      </c>
      <c r="S266" s="382">
        <v>112.53</v>
      </c>
      <c r="T266" s="382">
        <v>232</v>
      </c>
      <c r="U266" s="382">
        <v>121.79</v>
      </c>
      <c r="V266" s="382">
        <v>204</v>
      </c>
      <c r="W266" s="382">
        <v>0</v>
      </c>
      <c r="X266" s="382">
        <v>0</v>
      </c>
      <c r="Y266" s="382">
        <v>0</v>
      </c>
      <c r="Z266" s="382">
        <v>1</v>
      </c>
      <c r="AA266" s="382">
        <v>1</v>
      </c>
      <c r="AB266" s="382">
        <v>2</v>
      </c>
      <c r="AC266" s="382">
        <v>7</v>
      </c>
      <c r="AD266" s="386">
        <v>1235</v>
      </c>
      <c r="AE266" s="386">
        <v>9</v>
      </c>
      <c r="AF266" s="386">
        <v>2</v>
      </c>
      <c r="AG266" s="386">
        <v>11</v>
      </c>
    </row>
    <row r="267" spans="1:33" x14ac:dyDescent="0.25">
      <c r="A267" s="381" t="s">
        <v>592</v>
      </c>
      <c r="B267" s="387" t="s">
        <v>593</v>
      </c>
      <c r="C267" s="383">
        <v>31721</v>
      </c>
      <c r="D267" s="383">
        <v>38</v>
      </c>
      <c r="E267" s="383">
        <v>601</v>
      </c>
      <c r="F267" s="383">
        <v>1877</v>
      </c>
      <c r="G267" s="383">
        <v>346</v>
      </c>
      <c r="H267" s="383">
        <v>34583</v>
      </c>
      <c r="I267" s="382">
        <v>34237</v>
      </c>
      <c r="J267" s="382">
        <v>31</v>
      </c>
      <c r="K267" s="384">
        <v>81.13</v>
      </c>
      <c r="L267" s="384">
        <v>81.180000000000007</v>
      </c>
      <c r="M267" s="384">
        <v>5.89</v>
      </c>
      <c r="N267" s="384">
        <v>82.21</v>
      </c>
      <c r="O267" s="385">
        <v>30034</v>
      </c>
      <c r="P267" s="382">
        <v>78.36</v>
      </c>
      <c r="Q267" s="382">
        <v>74.63</v>
      </c>
      <c r="R267" s="382">
        <v>30.1</v>
      </c>
      <c r="S267" s="382">
        <v>107.17</v>
      </c>
      <c r="T267" s="382">
        <v>2034</v>
      </c>
      <c r="U267" s="382">
        <v>101.81</v>
      </c>
      <c r="V267" s="382">
        <v>1253</v>
      </c>
      <c r="W267" s="382">
        <v>159</v>
      </c>
      <c r="X267" s="382">
        <v>350</v>
      </c>
      <c r="Y267" s="382">
        <v>0</v>
      </c>
      <c r="Z267" s="382">
        <v>90</v>
      </c>
      <c r="AA267" s="382">
        <v>0</v>
      </c>
      <c r="AB267" s="382">
        <v>35</v>
      </c>
      <c r="AC267" s="382">
        <v>30</v>
      </c>
      <c r="AD267" s="386">
        <v>31279</v>
      </c>
      <c r="AE267" s="386">
        <v>332</v>
      </c>
      <c r="AF267" s="386">
        <v>104</v>
      </c>
      <c r="AG267" s="386">
        <v>436</v>
      </c>
    </row>
    <row r="268" spans="1:33" x14ac:dyDescent="0.25">
      <c r="A268" s="381" t="s">
        <v>594</v>
      </c>
      <c r="B268" s="387" t="s">
        <v>595</v>
      </c>
      <c r="C268" s="383">
        <v>2902</v>
      </c>
      <c r="D268" s="383">
        <v>0</v>
      </c>
      <c r="E268" s="383">
        <v>130</v>
      </c>
      <c r="F268" s="383">
        <v>321</v>
      </c>
      <c r="G268" s="383">
        <v>247</v>
      </c>
      <c r="H268" s="383">
        <v>3600</v>
      </c>
      <c r="I268" s="382">
        <v>3353</v>
      </c>
      <c r="J268" s="382">
        <v>176</v>
      </c>
      <c r="K268" s="384">
        <v>114.22</v>
      </c>
      <c r="L268" s="384">
        <v>116.37</v>
      </c>
      <c r="M268" s="384">
        <v>5.95</v>
      </c>
      <c r="N268" s="384">
        <v>116.46</v>
      </c>
      <c r="O268" s="385">
        <v>2887</v>
      </c>
      <c r="P268" s="382">
        <v>96.3</v>
      </c>
      <c r="Q268" s="382">
        <v>97.03</v>
      </c>
      <c r="R268" s="382">
        <v>21.58</v>
      </c>
      <c r="S268" s="382">
        <v>117.54</v>
      </c>
      <c r="T268" s="382">
        <v>383</v>
      </c>
      <c r="U268" s="382">
        <v>175.47</v>
      </c>
      <c r="V268" s="382">
        <v>2</v>
      </c>
      <c r="W268" s="382">
        <v>0</v>
      </c>
      <c r="X268" s="382">
        <v>0</v>
      </c>
      <c r="Y268" s="382">
        <v>14</v>
      </c>
      <c r="Z268" s="382">
        <v>2</v>
      </c>
      <c r="AA268" s="382">
        <v>2</v>
      </c>
      <c r="AB268" s="382">
        <v>0</v>
      </c>
      <c r="AC268" s="382">
        <v>12</v>
      </c>
      <c r="AD268" s="386">
        <v>2902</v>
      </c>
      <c r="AE268" s="386">
        <v>4</v>
      </c>
      <c r="AF268" s="386">
        <v>0</v>
      </c>
      <c r="AG268" s="386">
        <v>4</v>
      </c>
    </row>
    <row r="269" spans="1:33" x14ac:dyDescent="0.25">
      <c r="A269" s="381" t="s">
        <v>596</v>
      </c>
      <c r="B269" s="387" t="s">
        <v>597</v>
      </c>
      <c r="C269" s="383">
        <v>4589</v>
      </c>
      <c r="D269" s="383">
        <v>8</v>
      </c>
      <c r="E269" s="383">
        <v>327</v>
      </c>
      <c r="F269" s="383">
        <v>904</v>
      </c>
      <c r="G269" s="383">
        <v>594</v>
      </c>
      <c r="H269" s="383">
        <v>6422</v>
      </c>
      <c r="I269" s="382">
        <v>5828</v>
      </c>
      <c r="J269" s="382">
        <v>5</v>
      </c>
      <c r="K269" s="384">
        <v>119.89</v>
      </c>
      <c r="L269" s="384">
        <v>121.55</v>
      </c>
      <c r="M269" s="384">
        <v>7.48</v>
      </c>
      <c r="N269" s="384">
        <v>126.92</v>
      </c>
      <c r="O269" s="385">
        <v>4029</v>
      </c>
      <c r="P269" s="382">
        <v>110.13</v>
      </c>
      <c r="Q269" s="382">
        <v>104.03</v>
      </c>
      <c r="R269" s="382">
        <v>42.66</v>
      </c>
      <c r="S269" s="382">
        <v>150.71</v>
      </c>
      <c r="T269" s="382">
        <v>741</v>
      </c>
      <c r="U269" s="382">
        <v>177.21</v>
      </c>
      <c r="V269" s="382">
        <v>317</v>
      </c>
      <c r="W269" s="382">
        <v>218.87</v>
      </c>
      <c r="X269" s="382">
        <v>79</v>
      </c>
      <c r="Y269" s="382">
        <v>0</v>
      </c>
      <c r="Z269" s="382">
        <v>10</v>
      </c>
      <c r="AA269" s="382">
        <v>9</v>
      </c>
      <c r="AB269" s="382">
        <v>15</v>
      </c>
      <c r="AC269" s="382">
        <v>52</v>
      </c>
      <c r="AD269" s="386">
        <v>4397</v>
      </c>
      <c r="AE269" s="386">
        <v>19</v>
      </c>
      <c r="AF269" s="386">
        <v>12</v>
      </c>
      <c r="AG269" s="386">
        <v>31</v>
      </c>
    </row>
    <row r="270" spans="1:33" x14ac:dyDescent="0.25">
      <c r="A270" s="381" t="s">
        <v>598</v>
      </c>
      <c r="B270" s="387" t="s">
        <v>599</v>
      </c>
      <c r="C270" s="383">
        <v>7571</v>
      </c>
      <c r="D270" s="383">
        <v>0</v>
      </c>
      <c r="E270" s="383">
        <v>230</v>
      </c>
      <c r="F270" s="383">
        <v>439</v>
      </c>
      <c r="G270" s="383">
        <v>542</v>
      </c>
      <c r="H270" s="383">
        <v>8782</v>
      </c>
      <c r="I270" s="382">
        <v>8240</v>
      </c>
      <c r="J270" s="382">
        <v>0</v>
      </c>
      <c r="K270" s="384">
        <v>100.24</v>
      </c>
      <c r="L270" s="384">
        <v>100.04</v>
      </c>
      <c r="M270" s="384">
        <v>5.16</v>
      </c>
      <c r="N270" s="384">
        <v>102.6</v>
      </c>
      <c r="O270" s="385">
        <v>6627</v>
      </c>
      <c r="P270" s="382">
        <v>87.61</v>
      </c>
      <c r="Q270" s="382">
        <v>87.16</v>
      </c>
      <c r="R270" s="382">
        <v>43.99</v>
      </c>
      <c r="S270" s="382">
        <v>131.07</v>
      </c>
      <c r="T270" s="382">
        <v>584</v>
      </c>
      <c r="U270" s="382">
        <v>125.21</v>
      </c>
      <c r="V270" s="382">
        <v>828</v>
      </c>
      <c r="W270" s="382">
        <v>201.91</v>
      </c>
      <c r="X270" s="382">
        <v>1</v>
      </c>
      <c r="Y270" s="382">
        <v>23</v>
      </c>
      <c r="Z270" s="382">
        <v>9</v>
      </c>
      <c r="AA270" s="382">
        <v>8</v>
      </c>
      <c r="AB270" s="382">
        <v>34</v>
      </c>
      <c r="AC270" s="382">
        <v>21</v>
      </c>
      <c r="AD270" s="386">
        <v>7504</v>
      </c>
      <c r="AE270" s="386">
        <v>22</v>
      </c>
      <c r="AF270" s="386">
        <v>101</v>
      </c>
      <c r="AG270" s="386">
        <v>123</v>
      </c>
    </row>
    <row r="271" spans="1:33" x14ac:dyDescent="0.25">
      <c r="A271" s="381" t="s">
        <v>600</v>
      </c>
      <c r="B271" s="387" t="s">
        <v>601</v>
      </c>
      <c r="C271" s="383">
        <v>3418</v>
      </c>
      <c r="D271" s="383">
        <v>0</v>
      </c>
      <c r="E271" s="383">
        <v>530</v>
      </c>
      <c r="F271" s="383">
        <v>1037</v>
      </c>
      <c r="G271" s="383">
        <v>869</v>
      </c>
      <c r="H271" s="383">
        <v>5854</v>
      </c>
      <c r="I271" s="382">
        <v>4985</v>
      </c>
      <c r="J271" s="382">
        <v>1</v>
      </c>
      <c r="K271" s="384">
        <v>100.31</v>
      </c>
      <c r="L271" s="384">
        <v>98.95</v>
      </c>
      <c r="M271" s="384">
        <v>5.93</v>
      </c>
      <c r="N271" s="384">
        <v>104.58</v>
      </c>
      <c r="O271" s="385">
        <v>2890</v>
      </c>
      <c r="P271" s="382">
        <v>83.41</v>
      </c>
      <c r="Q271" s="382">
        <v>82.38</v>
      </c>
      <c r="R271" s="382">
        <v>39.71</v>
      </c>
      <c r="S271" s="382">
        <v>121.85</v>
      </c>
      <c r="T271" s="382">
        <v>1443</v>
      </c>
      <c r="U271" s="382">
        <v>125.21</v>
      </c>
      <c r="V271" s="382">
        <v>268</v>
      </c>
      <c r="W271" s="382">
        <v>172.97</v>
      </c>
      <c r="X271" s="382">
        <v>75</v>
      </c>
      <c r="Y271" s="382">
        <v>0</v>
      </c>
      <c r="Z271" s="382">
        <v>2</v>
      </c>
      <c r="AA271" s="382">
        <v>1</v>
      </c>
      <c r="AB271" s="382">
        <v>13</v>
      </c>
      <c r="AC271" s="382">
        <v>33</v>
      </c>
      <c r="AD271" s="386">
        <v>3286</v>
      </c>
      <c r="AE271" s="386">
        <v>10</v>
      </c>
      <c r="AF271" s="386">
        <v>3</v>
      </c>
      <c r="AG271" s="386">
        <v>13</v>
      </c>
    </row>
    <row r="272" spans="1:33" x14ac:dyDescent="0.25">
      <c r="A272" s="381" t="s">
        <v>602</v>
      </c>
      <c r="B272" s="387" t="s">
        <v>603</v>
      </c>
      <c r="C272" s="383">
        <v>19864</v>
      </c>
      <c r="D272" s="383">
        <v>0</v>
      </c>
      <c r="E272" s="383">
        <v>494</v>
      </c>
      <c r="F272" s="383">
        <v>1912</v>
      </c>
      <c r="G272" s="383">
        <v>179</v>
      </c>
      <c r="H272" s="383">
        <v>22449</v>
      </c>
      <c r="I272" s="382">
        <v>22270</v>
      </c>
      <c r="J272" s="382">
        <v>15</v>
      </c>
      <c r="K272" s="384">
        <v>84.5</v>
      </c>
      <c r="L272" s="384">
        <v>81.680000000000007</v>
      </c>
      <c r="M272" s="384">
        <v>3.52</v>
      </c>
      <c r="N272" s="384">
        <v>87.11</v>
      </c>
      <c r="O272" s="385">
        <v>17349</v>
      </c>
      <c r="P272" s="382">
        <v>81.67</v>
      </c>
      <c r="Q272" s="382">
        <v>74.75</v>
      </c>
      <c r="R272" s="382">
        <v>31.75</v>
      </c>
      <c r="S272" s="382">
        <v>108.74</v>
      </c>
      <c r="T272" s="382">
        <v>2294</v>
      </c>
      <c r="U272" s="382">
        <v>105.81</v>
      </c>
      <c r="V272" s="382">
        <v>1454</v>
      </c>
      <c r="W272" s="382">
        <v>0</v>
      </c>
      <c r="X272" s="382">
        <v>0</v>
      </c>
      <c r="Y272" s="382">
        <v>0</v>
      </c>
      <c r="Z272" s="382">
        <v>51</v>
      </c>
      <c r="AA272" s="382">
        <v>7</v>
      </c>
      <c r="AB272" s="382">
        <v>0</v>
      </c>
      <c r="AC272" s="382">
        <v>7</v>
      </c>
      <c r="AD272" s="386">
        <v>18841</v>
      </c>
      <c r="AE272" s="386">
        <v>47</v>
      </c>
      <c r="AF272" s="386">
        <v>105</v>
      </c>
      <c r="AG272" s="386">
        <v>152</v>
      </c>
    </row>
    <row r="273" spans="1:33" x14ac:dyDescent="0.25">
      <c r="A273" s="381" t="s">
        <v>604</v>
      </c>
      <c r="B273" s="387" t="s">
        <v>605</v>
      </c>
      <c r="C273" s="383">
        <v>1403</v>
      </c>
      <c r="D273" s="383">
        <v>0</v>
      </c>
      <c r="E273" s="383">
        <v>138</v>
      </c>
      <c r="F273" s="383">
        <v>109</v>
      </c>
      <c r="G273" s="383">
        <v>125</v>
      </c>
      <c r="H273" s="383">
        <v>1775</v>
      </c>
      <c r="I273" s="382">
        <v>1650</v>
      </c>
      <c r="J273" s="382">
        <v>36</v>
      </c>
      <c r="K273" s="384">
        <v>90.22</v>
      </c>
      <c r="L273" s="384">
        <v>90.86</v>
      </c>
      <c r="M273" s="384">
        <v>4.87</v>
      </c>
      <c r="N273" s="384">
        <v>94.02</v>
      </c>
      <c r="O273" s="385">
        <v>1243</v>
      </c>
      <c r="P273" s="382">
        <v>82.66</v>
      </c>
      <c r="Q273" s="382">
        <v>80.84</v>
      </c>
      <c r="R273" s="382">
        <v>31.33</v>
      </c>
      <c r="S273" s="382">
        <v>109.45</v>
      </c>
      <c r="T273" s="382">
        <v>214</v>
      </c>
      <c r="U273" s="382">
        <v>105.78</v>
      </c>
      <c r="V273" s="382">
        <v>134</v>
      </c>
      <c r="W273" s="382">
        <v>0</v>
      </c>
      <c r="X273" s="382">
        <v>0</v>
      </c>
      <c r="Y273" s="382">
        <v>0</v>
      </c>
      <c r="Z273" s="382">
        <v>0</v>
      </c>
      <c r="AA273" s="382">
        <v>1</v>
      </c>
      <c r="AB273" s="382">
        <v>0</v>
      </c>
      <c r="AC273" s="382">
        <v>7</v>
      </c>
      <c r="AD273" s="386">
        <v>1403</v>
      </c>
      <c r="AE273" s="386">
        <v>6</v>
      </c>
      <c r="AF273" s="386">
        <v>1</v>
      </c>
      <c r="AG273" s="386">
        <v>7</v>
      </c>
    </row>
    <row r="274" spans="1:33" x14ac:dyDescent="0.25">
      <c r="A274" s="381" t="s">
        <v>606</v>
      </c>
      <c r="B274" s="387" t="s">
        <v>607</v>
      </c>
      <c r="C274" s="383">
        <v>955</v>
      </c>
      <c r="D274" s="383">
        <v>0</v>
      </c>
      <c r="E274" s="383">
        <v>143</v>
      </c>
      <c r="F274" s="383">
        <v>70</v>
      </c>
      <c r="G274" s="383">
        <v>214</v>
      </c>
      <c r="H274" s="383">
        <v>1382</v>
      </c>
      <c r="I274" s="382">
        <v>1168</v>
      </c>
      <c r="J274" s="382">
        <v>0</v>
      </c>
      <c r="K274" s="384">
        <v>126.79</v>
      </c>
      <c r="L274" s="384">
        <v>126.81</v>
      </c>
      <c r="M274" s="384">
        <v>6.46</v>
      </c>
      <c r="N274" s="384">
        <v>132.99</v>
      </c>
      <c r="O274" s="385">
        <v>667</v>
      </c>
      <c r="P274" s="382">
        <v>108.48</v>
      </c>
      <c r="Q274" s="382">
        <v>104.37</v>
      </c>
      <c r="R274" s="382">
        <v>42.51</v>
      </c>
      <c r="S274" s="382">
        <v>145.36000000000001</v>
      </c>
      <c r="T274" s="382">
        <v>68</v>
      </c>
      <c r="U274" s="382">
        <v>169.46</v>
      </c>
      <c r="V274" s="382">
        <v>168</v>
      </c>
      <c r="W274" s="382">
        <v>158.5</v>
      </c>
      <c r="X274" s="382">
        <v>28</v>
      </c>
      <c r="Y274" s="382">
        <v>0</v>
      </c>
      <c r="Z274" s="382">
        <v>1</v>
      </c>
      <c r="AA274" s="382">
        <v>0</v>
      </c>
      <c r="AB274" s="382">
        <v>3</v>
      </c>
      <c r="AC274" s="382">
        <v>9</v>
      </c>
      <c r="AD274" s="386">
        <v>892</v>
      </c>
      <c r="AE274" s="386">
        <v>3</v>
      </c>
      <c r="AF274" s="386">
        <v>2</v>
      </c>
      <c r="AG274" s="386">
        <v>5</v>
      </c>
    </row>
    <row r="275" spans="1:33" x14ac:dyDescent="0.25">
      <c r="A275" s="381" t="s">
        <v>608</v>
      </c>
      <c r="B275" s="387" t="s">
        <v>609</v>
      </c>
      <c r="C275" s="383">
        <v>3936</v>
      </c>
      <c r="D275" s="383">
        <v>0</v>
      </c>
      <c r="E275" s="383">
        <v>129</v>
      </c>
      <c r="F275" s="383">
        <v>1440</v>
      </c>
      <c r="G275" s="383">
        <v>548</v>
      </c>
      <c r="H275" s="383">
        <v>6053</v>
      </c>
      <c r="I275" s="382">
        <v>5505</v>
      </c>
      <c r="J275" s="382">
        <v>13</v>
      </c>
      <c r="K275" s="384">
        <v>89.76</v>
      </c>
      <c r="L275" s="384">
        <v>89.13</v>
      </c>
      <c r="M275" s="384">
        <v>3.59</v>
      </c>
      <c r="N275" s="384">
        <v>93.18</v>
      </c>
      <c r="O275" s="385">
        <v>3432</v>
      </c>
      <c r="P275" s="382">
        <v>87.07</v>
      </c>
      <c r="Q275" s="382">
        <v>82.27</v>
      </c>
      <c r="R275" s="382">
        <v>18.09</v>
      </c>
      <c r="S275" s="382">
        <v>104.67</v>
      </c>
      <c r="T275" s="382">
        <v>1284</v>
      </c>
      <c r="U275" s="382">
        <v>128.35</v>
      </c>
      <c r="V275" s="382">
        <v>466</v>
      </c>
      <c r="W275" s="382">
        <v>99.39</v>
      </c>
      <c r="X275" s="382">
        <v>10</v>
      </c>
      <c r="Y275" s="382">
        <v>0</v>
      </c>
      <c r="Z275" s="382">
        <v>19</v>
      </c>
      <c r="AA275" s="382">
        <v>9</v>
      </c>
      <c r="AB275" s="382">
        <v>27</v>
      </c>
      <c r="AC275" s="382">
        <v>9</v>
      </c>
      <c r="AD275" s="386">
        <v>3910</v>
      </c>
      <c r="AE275" s="386">
        <v>7</v>
      </c>
      <c r="AF275" s="386">
        <v>9</v>
      </c>
      <c r="AG275" s="386">
        <v>16</v>
      </c>
    </row>
    <row r="276" spans="1:33" x14ac:dyDescent="0.25">
      <c r="A276" s="381" t="s">
        <v>610</v>
      </c>
      <c r="B276" s="387" t="s">
        <v>611</v>
      </c>
      <c r="C276" s="383">
        <v>11259</v>
      </c>
      <c r="D276" s="383">
        <v>0</v>
      </c>
      <c r="E276" s="383">
        <v>285</v>
      </c>
      <c r="F276" s="383">
        <v>1824</v>
      </c>
      <c r="G276" s="383">
        <v>376</v>
      </c>
      <c r="H276" s="383">
        <v>13744</v>
      </c>
      <c r="I276" s="382">
        <v>13368</v>
      </c>
      <c r="J276" s="382">
        <v>16</v>
      </c>
      <c r="K276" s="384">
        <v>92.19</v>
      </c>
      <c r="L276" s="384">
        <v>92.56</v>
      </c>
      <c r="M276" s="384">
        <v>5.58</v>
      </c>
      <c r="N276" s="384">
        <v>94.21</v>
      </c>
      <c r="O276" s="385">
        <v>10420</v>
      </c>
      <c r="P276" s="382">
        <v>85.18</v>
      </c>
      <c r="Q276" s="382">
        <v>84.95</v>
      </c>
      <c r="R276" s="382">
        <v>36.94</v>
      </c>
      <c r="S276" s="382">
        <v>119.98</v>
      </c>
      <c r="T276" s="382">
        <v>1844</v>
      </c>
      <c r="U276" s="382">
        <v>110.49</v>
      </c>
      <c r="V276" s="382">
        <v>642</v>
      </c>
      <c r="W276" s="382">
        <v>170.52</v>
      </c>
      <c r="X276" s="382">
        <v>145</v>
      </c>
      <c r="Y276" s="382">
        <v>0</v>
      </c>
      <c r="Z276" s="382">
        <v>64</v>
      </c>
      <c r="AA276" s="382">
        <v>223</v>
      </c>
      <c r="AB276" s="382">
        <v>28</v>
      </c>
      <c r="AC276" s="382">
        <v>18</v>
      </c>
      <c r="AD276" s="386">
        <v>11219</v>
      </c>
      <c r="AE276" s="386">
        <v>30</v>
      </c>
      <c r="AF276" s="386">
        <v>233</v>
      </c>
      <c r="AG276" s="386">
        <v>263</v>
      </c>
    </row>
    <row r="277" spans="1:33" x14ac:dyDescent="0.25">
      <c r="A277" s="381" t="s">
        <v>612</v>
      </c>
      <c r="B277" s="387" t="s">
        <v>613</v>
      </c>
      <c r="C277" s="383">
        <v>1889</v>
      </c>
      <c r="D277" s="383">
        <v>0</v>
      </c>
      <c r="E277" s="383">
        <v>244</v>
      </c>
      <c r="F277" s="383">
        <v>553</v>
      </c>
      <c r="G277" s="383">
        <v>75</v>
      </c>
      <c r="H277" s="383">
        <v>2761</v>
      </c>
      <c r="I277" s="382">
        <v>2686</v>
      </c>
      <c r="J277" s="382">
        <v>0</v>
      </c>
      <c r="K277" s="384">
        <v>101.82</v>
      </c>
      <c r="L277" s="384">
        <v>99.48</v>
      </c>
      <c r="M277" s="384">
        <v>3.99</v>
      </c>
      <c r="N277" s="384">
        <v>104.89</v>
      </c>
      <c r="O277" s="385">
        <v>1690</v>
      </c>
      <c r="P277" s="382">
        <v>87.51</v>
      </c>
      <c r="Q277" s="382">
        <v>83.57</v>
      </c>
      <c r="R277" s="382">
        <v>34.24</v>
      </c>
      <c r="S277" s="382">
        <v>121.15</v>
      </c>
      <c r="T277" s="382">
        <v>742</v>
      </c>
      <c r="U277" s="382">
        <v>124.54</v>
      </c>
      <c r="V277" s="382">
        <v>138</v>
      </c>
      <c r="W277" s="382">
        <v>0</v>
      </c>
      <c r="X277" s="382">
        <v>0</v>
      </c>
      <c r="Y277" s="382">
        <v>0</v>
      </c>
      <c r="Z277" s="382">
        <v>0</v>
      </c>
      <c r="AA277" s="382">
        <v>2</v>
      </c>
      <c r="AB277" s="382">
        <v>0</v>
      </c>
      <c r="AC277" s="382">
        <v>0</v>
      </c>
      <c r="AD277" s="386">
        <v>1877</v>
      </c>
      <c r="AE277" s="386">
        <v>7</v>
      </c>
      <c r="AF277" s="386">
        <v>4</v>
      </c>
      <c r="AG277" s="386">
        <v>11</v>
      </c>
    </row>
    <row r="278" spans="1:33" x14ac:dyDescent="0.25">
      <c r="A278" s="381" t="s">
        <v>614</v>
      </c>
      <c r="B278" s="387" t="s">
        <v>615</v>
      </c>
      <c r="C278" s="383">
        <v>6937</v>
      </c>
      <c r="D278" s="383">
        <v>0</v>
      </c>
      <c r="E278" s="383">
        <v>291</v>
      </c>
      <c r="F278" s="383">
        <v>414</v>
      </c>
      <c r="G278" s="383">
        <v>609</v>
      </c>
      <c r="H278" s="383">
        <v>8251</v>
      </c>
      <c r="I278" s="382">
        <v>7642</v>
      </c>
      <c r="J278" s="382">
        <v>0</v>
      </c>
      <c r="K278" s="384">
        <v>109.07</v>
      </c>
      <c r="L278" s="384">
        <v>110</v>
      </c>
      <c r="M278" s="384">
        <v>3.04</v>
      </c>
      <c r="N278" s="384">
        <v>111.54</v>
      </c>
      <c r="O278" s="385">
        <v>6161</v>
      </c>
      <c r="P278" s="382">
        <v>93.27</v>
      </c>
      <c r="Q278" s="382">
        <v>91.86</v>
      </c>
      <c r="R278" s="382">
        <v>32.979999999999997</v>
      </c>
      <c r="S278" s="382">
        <v>126.13</v>
      </c>
      <c r="T278" s="382">
        <v>555</v>
      </c>
      <c r="U278" s="382">
        <v>140.37</v>
      </c>
      <c r="V278" s="382">
        <v>528</v>
      </c>
      <c r="W278" s="382">
        <v>144.66</v>
      </c>
      <c r="X278" s="382">
        <v>1</v>
      </c>
      <c r="Y278" s="382">
        <v>9</v>
      </c>
      <c r="Z278" s="382">
        <v>9</v>
      </c>
      <c r="AA278" s="382">
        <v>5</v>
      </c>
      <c r="AB278" s="382">
        <v>106</v>
      </c>
      <c r="AC278" s="382">
        <v>20</v>
      </c>
      <c r="AD278" s="386">
        <v>6772</v>
      </c>
      <c r="AE278" s="386">
        <v>24</v>
      </c>
      <c r="AF278" s="386">
        <v>17</v>
      </c>
      <c r="AG278" s="386">
        <v>41</v>
      </c>
    </row>
    <row r="279" spans="1:33" x14ac:dyDescent="0.25">
      <c r="A279" s="381" t="s">
        <v>616</v>
      </c>
      <c r="B279" s="387" t="s">
        <v>617</v>
      </c>
      <c r="C279" s="383">
        <v>4141</v>
      </c>
      <c r="D279" s="383">
        <v>0</v>
      </c>
      <c r="E279" s="383">
        <v>68</v>
      </c>
      <c r="F279" s="383">
        <v>557</v>
      </c>
      <c r="G279" s="383">
        <v>470</v>
      </c>
      <c r="H279" s="383">
        <v>5236</v>
      </c>
      <c r="I279" s="382">
        <v>4766</v>
      </c>
      <c r="J279" s="382">
        <v>0</v>
      </c>
      <c r="K279" s="384">
        <v>97.13</v>
      </c>
      <c r="L279" s="384">
        <v>97.33</v>
      </c>
      <c r="M279" s="384">
        <v>3.01</v>
      </c>
      <c r="N279" s="384">
        <v>99.03</v>
      </c>
      <c r="O279" s="385">
        <v>3866</v>
      </c>
      <c r="P279" s="382">
        <v>87.23</v>
      </c>
      <c r="Q279" s="382">
        <v>84.48</v>
      </c>
      <c r="R279" s="382">
        <v>31.99</v>
      </c>
      <c r="S279" s="382">
        <v>118.9</v>
      </c>
      <c r="T279" s="382">
        <v>618</v>
      </c>
      <c r="U279" s="382">
        <v>129.97999999999999</v>
      </c>
      <c r="V279" s="382">
        <v>274</v>
      </c>
      <c r="W279" s="382">
        <v>119.04</v>
      </c>
      <c r="X279" s="382">
        <v>4</v>
      </c>
      <c r="Y279" s="382">
        <v>0</v>
      </c>
      <c r="Z279" s="382">
        <v>5</v>
      </c>
      <c r="AA279" s="382">
        <v>5</v>
      </c>
      <c r="AB279" s="382">
        <v>63</v>
      </c>
      <c r="AC279" s="382">
        <v>2</v>
      </c>
      <c r="AD279" s="386">
        <v>4135</v>
      </c>
      <c r="AE279" s="386">
        <v>35</v>
      </c>
      <c r="AF279" s="386">
        <v>21</v>
      </c>
      <c r="AG279" s="386">
        <v>56</v>
      </c>
    </row>
    <row r="280" spans="1:33" x14ac:dyDescent="0.25">
      <c r="A280" s="381" t="s">
        <v>618</v>
      </c>
      <c r="B280" s="387" t="s">
        <v>619</v>
      </c>
      <c r="C280" s="383">
        <v>3994</v>
      </c>
      <c r="D280" s="383">
        <v>0</v>
      </c>
      <c r="E280" s="383">
        <v>111</v>
      </c>
      <c r="F280" s="383">
        <v>641</v>
      </c>
      <c r="G280" s="383">
        <v>130</v>
      </c>
      <c r="H280" s="383">
        <v>4876</v>
      </c>
      <c r="I280" s="382">
        <v>4746</v>
      </c>
      <c r="J280" s="382">
        <v>0</v>
      </c>
      <c r="K280" s="384">
        <v>93.8</v>
      </c>
      <c r="L280" s="384">
        <v>91.84</v>
      </c>
      <c r="M280" s="384">
        <v>6.63</v>
      </c>
      <c r="N280" s="384">
        <v>98.51</v>
      </c>
      <c r="O280" s="385">
        <v>3731</v>
      </c>
      <c r="P280" s="382">
        <v>83.4</v>
      </c>
      <c r="Q280" s="382">
        <v>80.489999999999995</v>
      </c>
      <c r="R280" s="382">
        <v>35.22</v>
      </c>
      <c r="S280" s="382">
        <v>117.7</v>
      </c>
      <c r="T280" s="382">
        <v>733</v>
      </c>
      <c r="U280" s="382">
        <v>119.54</v>
      </c>
      <c r="V280" s="382">
        <v>219</v>
      </c>
      <c r="W280" s="382">
        <v>0</v>
      </c>
      <c r="X280" s="382">
        <v>0</v>
      </c>
      <c r="Y280" s="382">
        <v>120</v>
      </c>
      <c r="Z280" s="382">
        <v>7</v>
      </c>
      <c r="AA280" s="382">
        <v>19</v>
      </c>
      <c r="AB280" s="382">
        <v>12</v>
      </c>
      <c r="AC280" s="382">
        <v>2</v>
      </c>
      <c r="AD280" s="386">
        <v>3994</v>
      </c>
      <c r="AE280" s="386">
        <v>23</v>
      </c>
      <c r="AF280" s="386">
        <v>48</v>
      </c>
      <c r="AG280" s="386">
        <v>71</v>
      </c>
    </row>
    <row r="281" spans="1:33" x14ac:dyDescent="0.25">
      <c r="A281" s="381" t="s">
        <v>620</v>
      </c>
      <c r="B281" s="387" t="s">
        <v>621</v>
      </c>
      <c r="C281" s="383">
        <v>4565</v>
      </c>
      <c r="D281" s="383">
        <v>24</v>
      </c>
      <c r="E281" s="383">
        <v>89</v>
      </c>
      <c r="F281" s="383">
        <v>898</v>
      </c>
      <c r="G281" s="383">
        <v>196</v>
      </c>
      <c r="H281" s="383">
        <v>5772</v>
      </c>
      <c r="I281" s="382">
        <v>5576</v>
      </c>
      <c r="J281" s="382">
        <v>25</v>
      </c>
      <c r="K281" s="384">
        <v>116.25</v>
      </c>
      <c r="L281" s="384">
        <v>120.2</v>
      </c>
      <c r="M281" s="384">
        <v>5.07</v>
      </c>
      <c r="N281" s="384">
        <v>118.43</v>
      </c>
      <c r="O281" s="385">
        <v>4406</v>
      </c>
      <c r="P281" s="382">
        <v>100.02</v>
      </c>
      <c r="Q281" s="382">
        <v>99.04</v>
      </c>
      <c r="R281" s="382">
        <v>17.239999999999998</v>
      </c>
      <c r="S281" s="382">
        <v>115.96</v>
      </c>
      <c r="T281" s="382">
        <v>928</v>
      </c>
      <c r="U281" s="382">
        <v>166.55</v>
      </c>
      <c r="V281" s="382">
        <v>135</v>
      </c>
      <c r="W281" s="382">
        <v>0</v>
      </c>
      <c r="X281" s="382">
        <v>0</v>
      </c>
      <c r="Y281" s="382">
        <v>0</v>
      </c>
      <c r="Z281" s="382">
        <v>9</v>
      </c>
      <c r="AA281" s="382">
        <v>2</v>
      </c>
      <c r="AB281" s="382">
        <v>15</v>
      </c>
      <c r="AC281" s="382">
        <v>7</v>
      </c>
      <c r="AD281" s="386">
        <v>4555</v>
      </c>
      <c r="AE281" s="386">
        <v>18</v>
      </c>
      <c r="AF281" s="386">
        <v>18</v>
      </c>
      <c r="AG281" s="386">
        <v>36</v>
      </c>
    </row>
    <row r="282" spans="1:33" x14ac:dyDescent="0.25">
      <c r="A282" s="381" t="s">
        <v>622</v>
      </c>
      <c r="B282" s="387" t="s">
        <v>623</v>
      </c>
      <c r="C282" s="383">
        <v>1622</v>
      </c>
      <c r="D282" s="383">
        <v>0</v>
      </c>
      <c r="E282" s="383">
        <v>76</v>
      </c>
      <c r="F282" s="383">
        <v>91</v>
      </c>
      <c r="G282" s="383">
        <v>275</v>
      </c>
      <c r="H282" s="383">
        <v>2064</v>
      </c>
      <c r="I282" s="382">
        <v>1789</v>
      </c>
      <c r="J282" s="382">
        <v>0</v>
      </c>
      <c r="K282" s="384">
        <v>107.25</v>
      </c>
      <c r="L282" s="384">
        <v>106.62</v>
      </c>
      <c r="M282" s="384">
        <v>6.98</v>
      </c>
      <c r="N282" s="384">
        <v>111.84</v>
      </c>
      <c r="O282" s="385">
        <v>1276</v>
      </c>
      <c r="P282" s="382">
        <v>110.66</v>
      </c>
      <c r="Q282" s="382">
        <v>109.1</v>
      </c>
      <c r="R282" s="382">
        <v>56.98</v>
      </c>
      <c r="S282" s="382">
        <v>160.75</v>
      </c>
      <c r="T282" s="382">
        <v>124</v>
      </c>
      <c r="U282" s="382">
        <v>149.13999999999999</v>
      </c>
      <c r="V282" s="382">
        <v>276</v>
      </c>
      <c r="W282" s="382">
        <v>0</v>
      </c>
      <c r="X282" s="382">
        <v>0</v>
      </c>
      <c r="Y282" s="382">
        <v>1</v>
      </c>
      <c r="Z282" s="382">
        <v>7</v>
      </c>
      <c r="AA282" s="382">
        <v>0</v>
      </c>
      <c r="AB282" s="382">
        <v>22</v>
      </c>
      <c r="AC282" s="382">
        <v>15</v>
      </c>
      <c r="AD282" s="386">
        <v>1605</v>
      </c>
      <c r="AE282" s="386">
        <v>26</v>
      </c>
      <c r="AF282" s="386">
        <v>2</v>
      </c>
      <c r="AG282" s="386">
        <v>28</v>
      </c>
    </row>
    <row r="283" spans="1:33" x14ac:dyDescent="0.25">
      <c r="A283" s="381" t="s">
        <v>624</v>
      </c>
      <c r="B283" s="387" t="s">
        <v>625</v>
      </c>
      <c r="C283" s="383">
        <v>7430</v>
      </c>
      <c r="D283" s="383">
        <v>0</v>
      </c>
      <c r="E283" s="383">
        <v>44</v>
      </c>
      <c r="F283" s="383">
        <v>631</v>
      </c>
      <c r="G283" s="383">
        <v>849</v>
      </c>
      <c r="H283" s="383">
        <v>8954</v>
      </c>
      <c r="I283" s="382">
        <v>8105</v>
      </c>
      <c r="J283" s="382">
        <v>0</v>
      </c>
      <c r="K283" s="384">
        <v>116.33</v>
      </c>
      <c r="L283" s="384">
        <v>112.99</v>
      </c>
      <c r="M283" s="384">
        <v>5.94</v>
      </c>
      <c r="N283" s="384">
        <v>117.22</v>
      </c>
      <c r="O283" s="385">
        <v>6356</v>
      </c>
      <c r="P283" s="382">
        <v>96.62</v>
      </c>
      <c r="Q283" s="382">
        <v>92.81</v>
      </c>
      <c r="R283" s="382">
        <v>23.62</v>
      </c>
      <c r="S283" s="382">
        <v>114.53</v>
      </c>
      <c r="T283" s="382">
        <v>632</v>
      </c>
      <c r="U283" s="382">
        <v>141.35</v>
      </c>
      <c r="V283" s="382">
        <v>960</v>
      </c>
      <c r="W283" s="382">
        <v>0</v>
      </c>
      <c r="X283" s="382">
        <v>0</v>
      </c>
      <c r="Y283" s="382">
        <v>0</v>
      </c>
      <c r="Z283" s="382">
        <v>11</v>
      </c>
      <c r="AA283" s="382">
        <v>4</v>
      </c>
      <c r="AB283" s="382">
        <v>49</v>
      </c>
      <c r="AC283" s="382">
        <v>24</v>
      </c>
      <c r="AD283" s="386">
        <v>7422</v>
      </c>
      <c r="AE283" s="386">
        <v>16</v>
      </c>
      <c r="AF283" s="386">
        <v>24</v>
      </c>
      <c r="AG283" s="386">
        <v>40</v>
      </c>
    </row>
    <row r="284" spans="1:33" x14ac:dyDescent="0.25">
      <c r="A284" s="381" t="s">
        <v>626</v>
      </c>
      <c r="B284" s="387" t="s">
        <v>627</v>
      </c>
      <c r="C284" s="383">
        <v>4119</v>
      </c>
      <c r="D284" s="383">
        <v>54</v>
      </c>
      <c r="E284" s="383">
        <v>247</v>
      </c>
      <c r="F284" s="383">
        <v>975</v>
      </c>
      <c r="G284" s="383">
        <v>517</v>
      </c>
      <c r="H284" s="383">
        <v>5912</v>
      </c>
      <c r="I284" s="382">
        <v>5395</v>
      </c>
      <c r="J284" s="382">
        <v>24</v>
      </c>
      <c r="K284" s="384">
        <v>90.13</v>
      </c>
      <c r="L284" s="384">
        <v>88.82</v>
      </c>
      <c r="M284" s="384">
        <v>7.66</v>
      </c>
      <c r="N284" s="384">
        <v>96.58</v>
      </c>
      <c r="O284" s="385">
        <v>3748</v>
      </c>
      <c r="P284" s="382">
        <v>83.86</v>
      </c>
      <c r="Q284" s="382">
        <v>80.78</v>
      </c>
      <c r="R284" s="382">
        <v>38.57</v>
      </c>
      <c r="S284" s="382">
        <v>120.86</v>
      </c>
      <c r="T284" s="382">
        <v>890</v>
      </c>
      <c r="U284" s="382">
        <v>115.9</v>
      </c>
      <c r="V284" s="382">
        <v>411</v>
      </c>
      <c r="W284" s="382">
        <v>147.56</v>
      </c>
      <c r="X284" s="382">
        <v>2</v>
      </c>
      <c r="Y284" s="382">
        <v>14</v>
      </c>
      <c r="Z284" s="382">
        <v>13</v>
      </c>
      <c r="AA284" s="382">
        <v>50</v>
      </c>
      <c r="AB284" s="382">
        <v>23</v>
      </c>
      <c r="AC284" s="382">
        <v>5</v>
      </c>
      <c r="AD284" s="386">
        <v>4119</v>
      </c>
      <c r="AE284" s="386">
        <v>17</v>
      </c>
      <c r="AF284" s="386">
        <v>12</v>
      </c>
      <c r="AG284" s="386">
        <v>29</v>
      </c>
    </row>
    <row r="285" spans="1:33" x14ac:dyDescent="0.25">
      <c r="A285" s="381" t="s">
        <v>628</v>
      </c>
      <c r="B285" s="387" t="s">
        <v>629</v>
      </c>
      <c r="C285" s="383">
        <v>1907</v>
      </c>
      <c r="D285" s="383">
        <v>0</v>
      </c>
      <c r="E285" s="383">
        <v>13</v>
      </c>
      <c r="F285" s="383">
        <v>833</v>
      </c>
      <c r="G285" s="383">
        <v>183</v>
      </c>
      <c r="H285" s="383">
        <v>2936</v>
      </c>
      <c r="I285" s="382">
        <v>2753</v>
      </c>
      <c r="J285" s="382">
        <v>0</v>
      </c>
      <c r="K285" s="384">
        <v>87.06</v>
      </c>
      <c r="L285" s="384">
        <v>84.53</v>
      </c>
      <c r="M285" s="384">
        <v>3.55</v>
      </c>
      <c r="N285" s="384">
        <v>88.85</v>
      </c>
      <c r="O285" s="385">
        <v>1809</v>
      </c>
      <c r="P285" s="382">
        <v>73.64</v>
      </c>
      <c r="Q285" s="382">
        <v>71.209999999999994</v>
      </c>
      <c r="R285" s="382">
        <v>18.37</v>
      </c>
      <c r="S285" s="382">
        <v>84.47</v>
      </c>
      <c r="T285" s="382">
        <v>784</v>
      </c>
      <c r="U285" s="382">
        <v>110.04</v>
      </c>
      <c r="V285" s="382">
        <v>91</v>
      </c>
      <c r="W285" s="382">
        <v>144.84</v>
      </c>
      <c r="X285" s="382">
        <v>41</v>
      </c>
      <c r="Y285" s="382">
        <v>0</v>
      </c>
      <c r="Z285" s="382">
        <v>3</v>
      </c>
      <c r="AA285" s="382">
        <v>0</v>
      </c>
      <c r="AB285" s="382">
        <v>8</v>
      </c>
      <c r="AC285" s="382">
        <v>4</v>
      </c>
      <c r="AD285" s="386">
        <v>1899</v>
      </c>
      <c r="AE285" s="386">
        <v>6</v>
      </c>
      <c r="AF285" s="386">
        <v>7</v>
      </c>
      <c r="AG285" s="386">
        <v>13</v>
      </c>
    </row>
    <row r="286" spans="1:33" x14ac:dyDescent="0.25">
      <c r="A286" s="381" t="s">
        <v>630</v>
      </c>
      <c r="B286" s="387" t="s">
        <v>631</v>
      </c>
      <c r="C286" s="383">
        <v>28921</v>
      </c>
      <c r="D286" s="383">
        <v>80</v>
      </c>
      <c r="E286" s="383">
        <v>1540</v>
      </c>
      <c r="F286" s="383">
        <v>906</v>
      </c>
      <c r="G286" s="383">
        <v>2920</v>
      </c>
      <c r="H286" s="383">
        <v>34367</v>
      </c>
      <c r="I286" s="382">
        <v>31447</v>
      </c>
      <c r="J286" s="382">
        <v>25</v>
      </c>
      <c r="K286" s="384">
        <v>126.31</v>
      </c>
      <c r="L286" s="384">
        <v>131.75</v>
      </c>
      <c r="M286" s="384">
        <v>13.52</v>
      </c>
      <c r="N286" s="384">
        <v>138.91999999999999</v>
      </c>
      <c r="O286" s="385">
        <v>25854</v>
      </c>
      <c r="P286" s="382">
        <v>108.81</v>
      </c>
      <c r="Q286" s="382">
        <v>110.21</v>
      </c>
      <c r="R286" s="382">
        <v>44.86</v>
      </c>
      <c r="S286" s="382">
        <v>151.38999999999999</v>
      </c>
      <c r="T286" s="382">
        <v>2086</v>
      </c>
      <c r="U286" s="382">
        <v>204.91</v>
      </c>
      <c r="V286" s="382">
        <v>1310</v>
      </c>
      <c r="W286" s="382">
        <v>184.56</v>
      </c>
      <c r="X286" s="382">
        <v>87</v>
      </c>
      <c r="Y286" s="382">
        <v>0</v>
      </c>
      <c r="Z286" s="382">
        <v>114</v>
      </c>
      <c r="AA286" s="382">
        <v>42</v>
      </c>
      <c r="AB286" s="382">
        <v>159</v>
      </c>
      <c r="AC286" s="382">
        <v>194</v>
      </c>
      <c r="AD286" s="386">
        <v>27654</v>
      </c>
      <c r="AE286" s="386">
        <v>124</v>
      </c>
      <c r="AF286" s="386">
        <v>313</v>
      </c>
      <c r="AG286" s="386">
        <v>437</v>
      </c>
    </row>
    <row r="287" spans="1:33" x14ac:dyDescent="0.25">
      <c r="A287" s="381" t="s">
        <v>632</v>
      </c>
      <c r="B287" s="387" t="s">
        <v>633</v>
      </c>
      <c r="C287" s="383">
        <v>11747</v>
      </c>
      <c r="D287" s="383">
        <v>4</v>
      </c>
      <c r="E287" s="383">
        <v>412</v>
      </c>
      <c r="F287" s="383">
        <v>3327</v>
      </c>
      <c r="G287" s="383">
        <v>621</v>
      </c>
      <c r="H287" s="383">
        <v>16111</v>
      </c>
      <c r="I287" s="382">
        <v>15490</v>
      </c>
      <c r="J287" s="382">
        <v>8</v>
      </c>
      <c r="K287" s="384">
        <v>90.05</v>
      </c>
      <c r="L287" s="384">
        <v>95.71</v>
      </c>
      <c r="M287" s="384">
        <v>4.83</v>
      </c>
      <c r="N287" s="384">
        <v>93.11</v>
      </c>
      <c r="O287" s="385">
        <v>10091</v>
      </c>
      <c r="P287" s="382">
        <v>86.4</v>
      </c>
      <c r="Q287" s="382">
        <v>92.34</v>
      </c>
      <c r="R287" s="382">
        <v>19.12</v>
      </c>
      <c r="S287" s="382">
        <v>105.49</v>
      </c>
      <c r="T287" s="382">
        <v>3585</v>
      </c>
      <c r="U287" s="382">
        <v>122.22</v>
      </c>
      <c r="V287" s="382">
        <v>1520</v>
      </c>
      <c r="W287" s="382">
        <v>174.5</v>
      </c>
      <c r="X287" s="382">
        <v>70</v>
      </c>
      <c r="Y287" s="382">
        <v>0</v>
      </c>
      <c r="Z287" s="382">
        <v>51</v>
      </c>
      <c r="AA287" s="382">
        <v>99</v>
      </c>
      <c r="AB287" s="382">
        <v>30</v>
      </c>
      <c r="AC287" s="382">
        <v>30</v>
      </c>
      <c r="AD287" s="386">
        <v>11654</v>
      </c>
      <c r="AE287" s="386">
        <v>86</v>
      </c>
      <c r="AF287" s="386">
        <v>12</v>
      </c>
      <c r="AG287" s="386">
        <v>98</v>
      </c>
    </row>
    <row r="288" spans="1:33" x14ac:dyDescent="0.25">
      <c r="A288" s="381" t="s">
        <v>634</v>
      </c>
      <c r="B288" s="387" t="s">
        <v>635</v>
      </c>
      <c r="C288" s="383">
        <v>6191</v>
      </c>
      <c r="D288" s="383">
        <v>0</v>
      </c>
      <c r="E288" s="383">
        <v>194</v>
      </c>
      <c r="F288" s="383">
        <v>808</v>
      </c>
      <c r="G288" s="383">
        <v>362</v>
      </c>
      <c r="H288" s="383">
        <v>7555</v>
      </c>
      <c r="I288" s="382">
        <v>7193</v>
      </c>
      <c r="J288" s="382">
        <v>0</v>
      </c>
      <c r="K288" s="384">
        <v>113.01</v>
      </c>
      <c r="L288" s="384">
        <v>113.2</v>
      </c>
      <c r="M288" s="384">
        <v>3.22</v>
      </c>
      <c r="N288" s="384">
        <v>115.61</v>
      </c>
      <c r="O288" s="385">
        <v>5559</v>
      </c>
      <c r="P288" s="382">
        <v>92.16</v>
      </c>
      <c r="Q288" s="382">
        <v>90.87</v>
      </c>
      <c r="R288" s="382">
        <v>20.25</v>
      </c>
      <c r="S288" s="382">
        <v>111.52</v>
      </c>
      <c r="T288" s="382">
        <v>684</v>
      </c>
      <c r="U288" s="382">
        <v>156.52000000000001</v>
      </c>
      <c r="V288" s="382">
        <v>458</v>
      </c>
      <c r="W288" s="382">
        <v>131.13999999999999</v>
      </c>
      <c r="X288" s="382">
        <v>106</v>
      </c>
      <c r="Y288" s="382">
        <v>0</v>
      </c>
      <c r="Z288" s="382">
        <v>6</v>
      </c>
      <c r="AA288" s="382">
        <v>2</v>
      </c>
      <c r="AB288" s="382">
        <v>34</v>
      </c>
      <c r="AC288" s="382">
        <v>8</v>
      </c>
      <c r="AD288" s="386">
        <v>6038</v>
      </c>
      <c r="AE288" s="386">
        <v>20</v>
      </c>
      <c r="AF288" s="386">
        <v>30</v>
      </c>
      <c r="AG288" s="386">
        <v>50</v>
      </c>
    </row>
    <row r="289" spans="1:33" x14ac:dyDescent="0.25">
      <c r="A289" s="381" t="s">
        <v>636</v>
      </c>
      <c r="B289" s="387" t="s">
        <v>637</v>
      </c>
      <c r="C289" s="383">
        <v>1335</v>
      </c>
      <c r="D289" s="383">
        <v>2</v>
      </c>
      <c r="E289" s="383">
        <v>53</v>
      </c>
      <c r="F289" s="383">
        <v>214</v>
      </c>
      <c r="G289" s="383">
        <v>340</v>
      </c>
      <c r="H289" s="383">
        <v>1944</v>
      </c>
      <c r="I289" s="382">
        <v>1604</v>
      </c>
      <c r="J289" s="382">
        <v>7</v>
      </c>
      <c r="K289" s="384">
        <v>110.38</v>
      </c>
      <c r="L289" s="384">
        <v>108.83</v>
      </c>
      <c r="M289" s="384">
        <v>6.1</v>
      </c>
      <c r="N289" s="384">
        <v>114.3</v>
      </c>
      <c r="O289" s="385">
        <v>1031</v>
      </c>
      <c r="P289" s="382">
        <v>98.33</v>
      </c>
      <c r="Q289" s="382">
        <v>93.76</v>
      </c>
      <c r="R289" s="382">
        <v>55.1</v>
      </c>
      <c r="S289" s="382">
        <v>153.43</v>
      </c>
      <c r="T289" s="382">
        <v>236</v>
      </c>
      <c r="U289" s="382">
        <v>151.9</v>
      </c>
      <c r="V289" s="382">
        <v>275</v>
      </c>
      <c r="W289" s="382">
        <v>0</v>
      </c>
      <c r="X289" s="382">
        <v>0</v>
      </c>
      <c r="Y289" s="382">
        <v>0</v>
      </c>
      <c r="Z289" s="382">
        <v>1</v>
      </c>
      <c r="AA289" s="382">
        <v>2</v>
      </c>
      <c r="AB289" s="382">
        <v>17</v>
      </c>
      <c r="AC289" s="382">
        <v>11</v>
      </c>
      <c r="AD289" s="386">
        <v>1326</v>
      </c>
      <c r="AE289" s="386">
        <v>11</v>
      </c>
      <c r="AF289" s="386">
        <v>6</v>
      </c>
      <c r="AG289" s="386">
        <v>17</v>
      </c>
    </row>
    <row r="290" spans="1:33" x14ac:dyDescent="0.25">
      <c r="A290" s="381" t="s">
        <v>638</v>
      </c>
      <c r="B290" s="387" t="s">
        <v>639</v>
      </c>
      <c r="C290" s="383">
        <v>5854</v>
      </c>
      <c r="D290" s="383">
        <v>19</v>
      </c>
      <c r="E290" s="383">
        <v>135</v>
      </c>
      <c r="F290" s="383">
        <v>1009</v>
      </c>
      <c r="G290" s="383">
        <v>557</v>
      </c>
      <c r="H290" s="383">
        <v>7574</v>
      </c>
      <c r="I290" s="382">
        <v>7017</v>
      </c>
      <c r="J290" s="382">
        <v>7</v>
      </c>
      <c r="K290" s="384">
        <v>110.96</v>
      </c>
      <c r="L290" s="384">
        <v>113.27</v>
      </c>
      <c r="M290" s="384">
        <v>5.34</v>
      </c>
      <c r="N290" s="384">
        <v>111.77</v>
      </c>
      <c r="O290" s="385">
        <v>5025</v>
      </c>
      <c r="P290" s="382">
        <v>98.63</v>
      </c>
      <c r="Q290" s="382">
        <v>98.78</v>
      </c>
      <c r="R290" s="382">
        <v>27.58</v>
      </c>
      <c r="S290" s="382">
        <v>113.28</v>
      </c>
      <c r="T290" s="382">
        <v>1122</v>
      </c>
      <c r="U290" s="382">
        <v>158.37</v>
      </c>
      <c r="V290" s="382">
        <v>774</v>
      </c>
      <c r="W290" s="382">
        <v>219.88</v>
      </c>
      <c r="X290" s="382">
        <v>3</v>
      </c>
      <c r="Y290" s="382">
        <v>0</v>
      </c>
      <c r="Z290" s="382">
        <v>2</v>
      </c>
      <c r="AA290" s="382">
        <v>0</v>
      </c>
      <c r="AB290" s="382">
        <v>75</v>
      </c>
      <c r="AC290" s="382">
        <v>14</v>
      </c>
      <c r="AD290" s="386">
        <v>5796</v>
      </c>
      <c r="AE290" s="386">
        <v>14</v>
      </c>
      <c r="AF290" s="386">
        <v>36</v>
      </c>
      <c r="AG290" s="386">
        <v>50</v>
      </c>
    </row>
    <row r="291" spans="1:33" x14ac:dyDescent="0.25">
      <c r="A291" s="381" t="s">
        <v>640</v>
      </c>
      <c r="B291" s="387" t="s">
        <v>641</v>
      </c>
      <c r="C291" s="383">
        <v>32376</v>
      </c>
      <c r="D291" s="383">
        <v>0</v>
      </c>
      <c r="E291" s="383">
        <v>571</v>
      </c>
      <c r="F291" s="383">
        <v>2532</v>
      </c>
      <c r="G291" s="383">
        <v>519</v>
      </c>
      <c r="H291" s="383">
        <v>35998</v>
      </c>
      <c r="I291" s="382">
        <v>35479</v>
      </c>
      <c r="J291" s="382">
        <v>13</v>
      </c>
      <c r="K291" s="384">
        <v>84.66</v>
      </c>
      <c r="L291" s="384">
        <v>85.24</v>
      </c>
      <c r="M291" s="384">
        <v>5.97</v>
      </c>
      <c r="N291" s="384">
        <v>85.39</v>
      </c>
      <c r="O291" s="385">
        <v>30432</v>
      </c>
      <c r="P291" s="382">
        <v>81.17</v>
      </c>
      <c r="Q291" s="382">
        <v>80.75</v>
      </c>
      <c r="R291" s="382">
        <v>33.76</v>
      </c>
      <c r="S291" s="382">
        <v>112.31</v>
      </c>
      <c r="T291" s="382">
        <v>2946</v>
      </c>
      <c r="U291" s="382">
        <v>99.42</v>
      </c>
      <c r="V291" s="382">
        <v>1621</v>
      </c>
      <c r="W291" s="382">
        <v>95.6</v>
      </c>
      <c r="X291" s="382">
        <v>6</v>
      </c>
      <c r="Y291" s="382">
        <v>0</v>
      </c>
      <c r="Z291" s="382">
        <v>174</v>
      </c>
      <c r="AA291" s="382">
        <v>30</v>
      </c>
      <c r="AB291" s="382">
        <v>30</v>
      </c>
      <c r="AC291" s="382">
        <v>4</v>
      </c>
      <c r="AD291" s="386">
        <v>32336</v>
      </c>
      <c r="AE291" s="386">
        <v>75</v>
      </c>
      <c r="AF291" s="386">
        <v>129</v>
      </c>
      <c r="AG291" s="386">
        <v>204</v>
      </c>
    </row>
    <row r="292" spans="1:33" x14ac:dyDescent="0.25">
      <c r="A292" s="381" t="s">
        <v>642</v>
      </c>
      <c r="B292" s="387" t="s">
        <v>643</v>
      </c>
      <c r="C292" s="383">
        <v>26900</v>
      </c>
      <c r="D292" s="383">
        <v>10</v>
      </c>
      <c r="E292" s="383">
        <v>251</v>
      </c>
      <c r="F292" s="383">
        <v>786</v>
      </c>
      <c r="G292" s="383">
        <v>580</v>
      </c>
      <c r="H292" s="383">
        <v>28527</v>
      </c>
      <c r="I292" s="382">
        <v>27947</v>
      </c>
      <c r="J292" s="382">
        <v>16</v>
      </c>
      <c r="K292" s="384">
        <v>87.29</v>
      </c>
      <c r="L292" s="384">
        <v>87.44</v>
      </c>
      <c r="M292" s="384">
        <v>8.33</v>
      </c>
      <c r="N292" s="384">
        <v>91.38</v>
      </c>
      <c r="O292" s="385">
        <v>25198</v>
      </c>
      <c r="P292" s="382">
        <v>106.04</v>
      </c>
      <c r="Q292" s="382">
        <v>104.14</v>
      </c>
      <c r="R292" s="382">
        <v>41.57</v>
      </c>
      <c r="S292" s="382">
        <v>143.69</v>
      </c>
      <c r="T292" s="382">
        <v>922</v>
      </c>
      <c r="U292" s="382">
        <v>108.69</v>
      </c>
      <c r="V292" s="382">
        <v>1390</v>
      </c>
      <c r="W292" s="382">
        <v>128.32</v>
      </c>
      <c r="X292" s="382">
        <v>62</v>
      </c>
      <c r="Y292" s="382">
        <v>40</v>
      </c>
      <c r="Z292" s="382">
        <v>89</v>
      </c>
      <c r="AA292" s="382">
        <v>37</v>
      </c>
      <c r="AB292" s="382">
        <v>4</v>
      </c>
      <c r="AC292" s="382">
        <v>16</v>
      </c>
      <c r="AD292" s="386">
        <v>26838</v>
      </c>
      <c r="AE292" s="386">
        <v>178</v>
      </c>
      <c r="AF292" s="386">
        <v>51</v>
      </c>
      <c r="AG292" s="386">
        <v>229</v>
      </c>
    </row>
    <row r="293" spans="1:33" x14ac:dyDescent="0.25">
      <c r="A293" s="381" t="s">
        <v>644</v>
      </c>
      <c r="B293" s="387" t="s">
        <v>645</v>
      </c>
      <c r="C293" s="383">
        <v>10486</v>
      </c>
      <c r="D293" s="383">
        <v>0</v>
      </c>
      <c r="E293" s="383">
        <v>1041</v>
      </c>
      <c r="F293" s="383">
        <v>883</v>
      </c>
      <c r="G293" s="383">
        <v>1156</v>
      </c>
      <c r="H293" s="383">
        <v>13566</v>
      </c>
      <c r="I293" s="382">
        <v>12410</v>
      </c>
      <c r="J293" s="382">
        <v>2</v>
      </c>
      <c r="K293" s="384">
        <v>122.91</v>
      </c>
      <c r="L293" s="384">
        <v>118.89</v>
      </c>
      <c r="M293" s="384">
        <v>8.82</v>
      </c>
      <c r="N293" s="384">
        <v>127.3</v>
      </c>
      <c r="O293" s="385">
        <v>8831</v>
      </c>
      <c r="P293" s="382">
        <v>100.83</v>
      </c>
      <c r="Q293" s="382">
        <v>98.45</v>
      </c>
      <c r="R293" s="382">
        <v>31.22</v>
      </c>
      <c r="S293" s="382">
        <v>128.38</v>
      </c>
      <c r="T293" s="382">
        <v>1338</v>
      </c>
      <c r="U293" s="382">
        <v>174.29</v>
      </c>
      <c r="V293" s="382">
        <v>1122</v>
      </c>
      <c r="W293" s="382">
        <v>163.84</v>
      </c>
      <c r="X293" s="382">
        <v>53</v>
      </c>
      <c r="Y293" s="382">
        <v>17</v>
      </c>
      <c r="Z293" s="382">
        <v>19</v>
      </c>
      <c r="AA293" s="382">
        <v>40</v>
      </c>
      <c r="AB293" s="382">
        <v>99</v>
      </c>
      <c r="AC293" s="382">
        <v>29</v>
      </c>
      <c r="AD293" s="386">
        <v>10114</v>
      </c>
      <c r="AE293" s="386">
        <v>42</v>
      </c>
      <c r="AF293" s="386">
        <v>18</v>
      </c>
      <c r="AG293" s="386">
        <v>60</v>
      </c>
    </row>
    <row r="294" spans="1:33" x14ac:dyDescent="0.25">
      <c r="A294" s="381" t="s">
        <v>646</v>
      </c>
      <c r="B294" s="387" t="s">
        <v>647</v>
      </c>
      <c r="C294" s="383">
        <v>8449</v>
      </c>
      <c r="D294" s="383">
        <v>11</v>
      </c>
      <c r="E294" s="383">
        <v>1088</v>
      </c>
      <c r="F294" s="383">
        <v>1076</v>
      </c>
      <c r="G294" s="383">
        <v>1997</v>
      </c>
      <c r="H294" s="383">
        <v>12621</v>
      </c>
      <c r="I294" s="382">
        <v>10624</v>
      </c>
      <c r="J294" s="382">
        <v>40</v>
      </c>
      <c r="K294" s="384">
        <v>134.56</v>
      </c>
      <c r="L294" s="384">
        <v>140.34</v>
      </c>
      <c r="M294" s="384">
        <v>6.18</v>
      </c>
      <c r="N294" s="384">
        <v>138.16</v>
      </c>
      <c r="O294" s="385">
        <v>7589</v>
      </c>
      <c r="P294" s="382">
        <v>120.59</v>
      </c>
      <c r="Q294" s="382">
        <v>120.3</v>
      </c>
      <c r="R294" s="382">
        <v>32.54</v>
      </c>
      <c r="S294" s="382">
        <v>148.83000000000001</v>
      </c>
      <c r="T294" s="382">
        <v>2072</v>
      </c>
      <c r="U294" s="382">
        <v>200.64</v>
      </c>
      <c r="V294" s="382">
        <v>407</v>
      </c>
      <c r="W294" s="382">
        <v>188.48</v>
      </c>
      <c r="X294" s="382">
        <v>2</v>
      </c>
      <c r="Y294" s="382">
        <v>7</v>
      </c>
      <c r="Z294" s="382">
        <v>2</v>
      </c>
      <c r="AA294" s="382">
        <v>14</v>
      </c>
      <c r="AB294" s="382">
        <v>307</v>
      </c>
      <c r="AC294" s="382">
        <v>88</v>
      </c>
      <c r="AD294" s="386">
        <v>8157</v>
      </c>
      <c r="AE294" s="386">
        <v>15</v>
      </c>
      <c r="AF294" s="386">
        <v>20</v>
      </c>
      <c r="AG294" s="386">
        <v>35</v>
      </c>
    </row>
    <row r="295" spans="1:33" x14ac:dyDescent="0.25">
      <c r="A295" s="381" t="s">
        <v>648</v>
      </c>
      <c r="B295" s="387" t="s">
        <v>649</v>
      </c>
      <c r="C295" s="383">
        <v>11815</v>
      </c>
      <c r="D295" s="383">
        <v>0</v>
      </c>
      <c r="E295" s="383">
        <v>497</v>
      </c>
      <c r="F295" s="383">
        <v>2222</v>
      </c>
      <c r="G295" s="383">
        <v>632</v>
      </c>
      <c r="H295" s="383">
        <v>15166</v>
      </c>
      <c r="I295" s="382">
        <v>14534</v>
      </c>
      <c r="J295" s="382">
        <v>2</v>
      </c>
      <c r="K295" s="384">
        <v>85.71</v>
      </c>
      <c r="L295" s="384">
        <v>85.99</v>
      </c>
      <c r="M295" s="384">
        <v>4.7699999999999996</v>
      </c>
      <c r="N295" s="384">
        <v>87.17</v>
      </c>
      <c r="O295" s="385">
        <v>11213</v>
      </c>
      <c r="P295" s="382">
        <v>81.02</v>
      </c>
      <c r="Q295" s="382">
        <v>79.75</v>
      </c>
      <c r="R295" s="382">
        <v>32.130000000000003</v>
      </c>
      <c r="S295" s="382">
        <v>96.45</v>
      </c>
      <c r="T295" s="382">
        <v>2674</v>
      </c>
      <c r="U295" s="382">
        <v>105.29</v>
      </c>
      <c r="V295" s="382">
        <v>532</v>
      </c>
      <c r="W295" s="382">
        <v>104.45</v>
      </c>
      <c r="X295" s="382">
        <v>4</v>
      </c>
      <c r="Y295" s="382">
        <v>0</v>
      </c>
      <c r="Z295" s="382">
        <v>67</v>
      </c>
      <c r="AA295" s="382">
        <v>0</v>
      </c>
      <c r="AB295" s="382">
        <v>28</v>
      </c>
      <c r="AC295" s="382">
        <v>13</v>
      </c>
      <c r="AD295" s="386">
        <v>11815</v>
      </c>
      <c r="AE295" s="386">
        <v>46</v>
      </c>
      <c r="AF295" s="386">
        <v>63</v>
      </c>
      <c r="AG295" s="386">
        <v>109</v>
      </c>
    </row>
    <row r="296" spans="1:33" x14ac:dyDescent="0.25">
      <c r="A296" s="381" t="s">
        <v>650</v>
      </c>
      <c r="B296" s="387" t="s">
        <v>651</v>
      </c>
      <c r="C296" s="383">
        <v>2177</v>
      </c>
      <c r="D296" s="383">
        <v>4</v>
      </c>
      <c r="E296" s="383">
        <v>176</v>
      </c>
      <c r="F296" s="383">
        <v>594</v>
      </c>
      <c r="G296" s="383">
        <v>509</v>
      </c>
      <c r="H296" s="383">
        <v>3460</v>
      </c>
      <c r="I296" s="382">
        <v>2951</v>
      </c>
      <c r="J296" s="382">
        <v>15</v>
      </c>
      <c r="K296" s="384">
        <v>104.18</v>
      </c>
      <c r="L296" s="384">
        <v>102.41</v>
      </c>
      <c r="M296" s="384">
        <v>6.53</v>
      </c>
      <c r="N296" s="384">
        <v>109.65</v>
      </c>
      <c r="O296" s="385">
        <v>1806</v>
      </c>
      <c r="P296" s="382">
        <v>98</v>
      </c>
      <c r="Q296" s="382">
        <v>90.22</v>
      </c>
      <c r="R296" s="382">
        <v>38.06</v>
      </c>
      <c r="S296" s="382">
        <v>135.01</v>
      </c>
      <c r="T296" s="382">
        <v>653</v>
      </c>
      <c r="U296" s="382">
        <v>130.43</v>
      </c>
      <c r="V296" s="382">
        <v>266</v>
      </c>
      <c r="W296" s="382">
        <v>197.88</v>
      </c>
      <c r="X296" s="382">
        <v>21</v>
      </c>
      <c r="Y296" s="382">
        <v>0</v>
      </c>
      <c r="Z296" s="382">
        <v>0</v>
      </c>
      <c r="AA296" s="382">
        <v>4</v>
      </c>
      <c r="AB296" s="382">
        <v>60</v>
      </c>
      <c r="AC296" s="382">
        <v>20</v>
      </c>
      <c r="AD296" s="386">
        <v>2076</v>
      </c>
      <c r="AE296" s="386">
        <v>9</v>
      </c>
      <c r="AF296" s="386">
        <v>11</v>
      </c>
      <c r="AG296" s="386">
        <v>20</v>
      </c>
    </row>
    <row r="297" spans="1:33" x14ac:dyDescent="0.25">
      <c r="A297" s="381" t="s">
        <v>652</v>
      </c>
      <c r="B297" s="387" t="s">
        <v>653</v>
      </c>
      <c r="C297" s="383">
        <v>5458</v>
      </c>
      <c r="D297" s="383">
        <v>18</v>
      </c>
      <c r="E297" s="383">
        <v>341</v>
      </c>
      <c r="F297" s="383">
        <v>602</v>
      </c>
      <c r="G297" s="383">
        <v>348</v>
      </c>
      <c r="H297" s="383">
        <v>6767</v>
      </c>
      <c r="I297" s="382">
        <v>6419</v>
      </c>
      <c r="J297" s="382">
        <v>134</v>
      </c>
      <c r="K297" s="384">
        <v>118.04</v>
      </c>
      <c r="L297" s="384">
        <v>123.6</v>
      </c>
      <c r="M297" s="384">
        <v>6.69</v>
      </c>
      <c r="N297" s="384">
        <v>121.21</v>
      </c>
      <c r="O297" s="385">
        <v>5016</v>
      </c>
      <c r="P297" s="382">
        <v>91.49</v>
      </c>
      <c r="Q297" s="382">
        <v>93.16</v>
      </c>
      <c r="R297" s="382">
        <v>26.02</v>
      </c>
      <c r="S297" s="382">
        <v>117.44</v>
      </c>
      <c r="T297" s="382">
        <v>734</v>
      </c>
      <c r="U297" s="382">
        <v>172.51</v>
      </c>
      <c r="V297" s="382">
        <v>258</v>
      </c>
      <c r="W297" s="382">
        <v>0</v>
      </c>
      <c r="X297" s="382">
        <v>0</v>
      </c>
      <c r="Y297" s="382">
        <v>0</v>
      </c>
      <c r="Z297" s="382">
        <v>21</v>
      </c>
      <c r="AA297" s="382">
        <v>2</v>
      </c>
      <c r="AB297" s="382">
        <v>1</v>
      </c>
      <c r="AC297" s="382">
        <v>16</v>
      </c>
      <c r="AD297" s="386">
        <v>5458</v>
      </c>
      <c r="AE297" s="386">
        <v>26</v>
      </c>
      <c r="AF297" s="386">
        <v>13</v>
      </c>
      <c r="AG297" s="386">
        <v>39</v>
      </c>
    </row>
    <row r="298" spans="1:33" x14ac:dyDescent="0.25">
      <c r="A298" s="381" t="s">
        <v>654</v>
      </c>
      <c r="B298" s="387" t="s">
        <v>655</v>
      </c>
      <c r="C298" s="383">
        <v>1101</v>
      </c>
      <c r="D298" s="383">
        <v>0</v>
      </c>
      <c r="E298" s="383">
        <v>132</v>
      </c>
      <c r="F298" s="383">
        <v>163</v>
      </c>
      <c r="G298" s="383">
        <v>358</v>
      </c>
      <c r="H298" s="383">
        <v>1754</v>
      </c>
      <c r="I298" s="382">
        <v>1396</v>
      </c>
      <c r="J298" s="382">
        <v>0</v>
      </c>
      <c r="K298" s="384">
        <v>120.65</v>
      </c>
      <c r="L298" s="384">
        <v>120.95</v>
      </c>
      <c r="M298" s="384">
        <v>5.0199999999999996</v>
      </c>
      <c r="N298" s="384">
        <v>125.37</v>
      </c>
      <c r="O298" s="385">
        <v>887</v>
      </c>
      <c r="P298" s="382">
        <v>103.02</v>
      </c>
      <c r="Q298" s="382">
        <v>101.02</v>
      </c>
      <c r="R298" s="382">
        <v>35.79</v>
      </c>
      <c r="S298" s="382">
        <v>135.79</v>
      </c>
      <c r="T298" s="382">
        <v>142</v>
      </c>
      <c r="U298" s="382">
        <v>179.56</v>
      </c>
      <c r="V298" s="382">
        <v>138</v>
      </c>
      <c r="W298" s="382">
        <v>121.1</v>
      </c>
      <c r="X298" s="382">
        <v>3</v>
      </c>
      <c r="Y298" s="382">
        <v>1</v>
      </c>
      <c r="Z298" s="382">
        <v>1</v>
      </c>
      <c r="AA298" s="382">
        <v>2</v>
      </c>
      <c r="AB298" s="382">
        <v>22</v>
      </c>
      <c r="AC298" s="382">
        <v>12</v>
      </c>
      <c r="AD298" s="386">
        <v>1025</v>
      </c>
      <c r="AE298" s="386">
        <v>3</v>
      </c>
      <c r="AF298" s="386">
        <v>2</v>
      </c>
      <c r="AG298" s="386">
        <v>5</v>
      </c>
    </row>
    <row r="299" spans="1:33" x14ac:dyDescent="0.25">
      <c r="A299" s="381" t="s">
        <v>656</v>
      </c>
      <c r="B299" s="387" t="s">
        <v>657</v>
      </c>
      <c r="C299" s="383">
        <v>2046</v>
      </c>
      <c r="D299" s="383">
        <v>0</v>
      </c>
      <c r="E299" s="383">
        <v>86</v>
      </c>
      <c r="F299" s="383">
        <v>348</v>
      </c>
      <c r="G299" s="383">
        <v>476</v>
      </c>
      <c r="H299" s="383">
        <v>2956</v>
      </c>
      <c r="I299" s="382">
        <v>2480</v>
      </c>
      <c r="J299" s="382">
        <v>0</v>
      </c>
      <c r="K299" s="384">
        <v>105.84</v>
      </c>
      <c r="L299" s="384">
        <v>104.63</v>
      </c>
      <c r="M299" s="384">
        <v>4.93</v>
      </c>
      <c r="N299" s="384">
        <v>109.57</v>
      </c>
      <c r="O299" s="385">
        <v>1415</v>
      </c>
      <c r="P299" s="382">
        <v>81.81</v>
      </c>
      <c r="Q299" s="382">
        <v>77.569999999999993</v>
      </c>
      <c r="R299" s="382">
        <v>35.86</v>
      </c>
      <c r="S299" s="382">
        <v>115.2</v>
      </c>
      <c r="T299" s="382">
        <v>232</v>
      </c>
      <c r="U299" s="382">
        <v>146.78</v>
      </c>
      <c r="V299" s="382">
        <v>610</v>
      </c>
      <c r="W299" s="382">
        <v>173.07</v>
      </c>
      <c r="X299" s="382">
        <v>55</v>
      </c>
      <c r="Y299" s="382">
        <v>0</v>
      </c>
      <c r="Z299" s="382">
        <v>0</v>
      </c>
      <c r="AA299" s="382">
        <v>1</v>
      </c>
      <c r="AB299" s="382">
        <v>15</v>
      </c>
      <c r="AC299" s="382">
        <v>10</v>
      </c>
      <c r="AD299" s="386">
        <v>2046</v>
      </c>
      <c r="AE299" s="386">
        <v>6</v>
      </c>
      <c r="AF299" s="386">
        <v>10</v>
      </c>
      <c r="AG299" s="386">
        <v>16</v>
      </c>
    </row>
    <row r="300" spans="1:33" x14ac:dyDescent="0.25">
      <c r="A300" s="381" t="s">
        <v>658</v>
      </c>
      <c r="B300" s="387" t="s">
        <v>659</v>
      </c>
      <c r="C300" s="383">
        <v>2664</v>
      </c>
      <c r="D300" s="383">
        <v>0</v>
      </c>
      <c r="E300" s="383">
        <v>300</v>
      </c>
      <c r="F300" s="383">
        <v>334</v>
      </c>
      <c r="G300" s="383">
        <v>356</v>
      </c>
      <c r="H300" s="383">
        <v>3654</v>
      </c>
      <c r="I300" s="382">
        <v>3298</v>
      </c>
      <c r="J300" s="382">
        <v>127</v>
      </c>
      <c r="K300" s="384">
        <v>113.58</v>
      </c>
      <c r="L300" s="384">
        <v>112.92</v>
      </c>
      <c r="M300" s="384">
        <v>6.81</v>
      </c>
      <c r="N300" s="384">
        <v>119.03</v>
      </c>
      <c r="O300" s="385">
        <v>2217</v>
      </c>
      <c r="P300" s="382">
        <v>102.84</v>
      </c>
      <c r="Q300" s="382">
        <v>99.37</v>
      </c>
      <c r="R300" s="382">
        <v>40.14</v>
      </c>
      <c r="S300" s="382">
        <v>142.62</v>
      </c>
      <c r="T300" s="382">
        <v>219</v>
      </c>
      <c r="U300" s="382">
        <v>152.68</v>
      </c>
      <c r="V300" s="382">
        <v>316</v>
      </c>
      <c r="W300" s="382">
        <v>0</v>
      </c>
      <c r="X300" s="382">
        <v>0</v>
      </c>
      <c r="Y300" s="382">
        <v>0</v>
      </c>
      <c r="Z300" s="382">
        <v>2</v>
      </c>
      <c r="AA300" s="382">
        <v>2</v>
      </c>
      <c r="AB300" s="382">
        <v>31</v>
      </c>
      <c r="AC300" s="382">
        <v>15</v>
      </c>
      <c r="AD300" s="386">
        <v>2542</v>
      </c>
      <c r="AE300" s="386">
        <v>12</v>
      </c>
      <c r="AF300" s="386">
        <v>2</v>
      </c>
      <c r="AG300" s="386">
        <v>14</v>
      </c>
    </row>
    <row r="301" spans="1:33" x14ac:dyDescent="0.25">
      <c r="A301" s="381" t="s">
        <v>660</v>
      </c>
      <c r="B301" s="387" t="s">
        <v>661</v>
      </c>
      <c r="C301" s="383">
        <v>7530</v>
      </c>
      <c r="D301" s="383">
        <v>4</v>
      </c>
      <c r="E301" s="383">
        <v>307</v>
      </c>
      <c r="F301" s="383">
        <v>1138</v>
      </c>
      <c r="G301" s="383">
        <v>570</v>
      </c>
      <c r="H301" s="383">
        <v>9549</v>
      </c>
      <c r="I301" s="382">
        <v>8979</v>
      </c>
      <c r="J301" s="382">
        <v>4</v>
      </c>
      <c r="K301" s="384">
        <v>121.07</v>
      </c>
      <c r="L301" s="384">
        <v>124.85</v>
      </c>
      <c r="M301" s="384">
        <v>4.3099999999999996</v>
      </c>
      <c r="N301" s="384">
        <v>123.19</v>
      </c>
      <c r="O301" s="385">
        <v>7175</v>
      </c>
      <c r="P301" s="382">
        <v>105.39</v>
      </c>
      <c r="Q301" s="382">
        <v>106.16</v>
      </c>
      <c r="R301" s="382">
        <v>22.48</v>
      </c>
      <c r="S301" s="382">
        <v>127.51</v>
      </c>
      <c r="T301" s="382">
        <v>1283</v>
      </c>
      <c r="U301" s="382">
        <v>150.77000000000001</v>
      </c>
      <c r="V301" s="382">
        <v>333</v>
      </c>
      <c r="W301" s="382">
        <v>180.67</v>
      </c>
      <c r="X301" s="382">
        <v>81</v>
      </c>
      <c r="Y301" s="382">
        <v>0</v>
      </c>
      <c r="Z301" s="382">
        <v>5</v>
      </c>
      <c r="AA301" s="382">
        <v>1</v>
      </c>
      <c r="AB301" s="382">
        <v>51</v>
      </c>
      <c r="AC301" s="382">
        <v>15</v>
      </c>
      <c r="AD301" s="386">
        <v>7517</v>
      </c>
      <c r="AE301" s="386">
        <v>12</v>
      </c>
      <c r="AF301" s="386">
        <v>4</v>
      </c>
      <c r="AG301" s="386">
        <v>16</v>
      </c>
    </row>
    <row r="302" spans="1:33" x14ac:dyDescent="0.25">
      <c r="A302" s="381" t="s">
        <v>662</v>
      </c>
      <c r="B302" s="387" t="s">
        <v>663</v>
      </c>
      <c r="C302" s="383">
        <v>1969</v>
      </c>
      <c r="D302" s="383">
        <v>2</v>
      </c>
      <c r="E302" s="383">
        <v>29</v>
      </c>
      <c r="F302" s="383">
        <v>372</v>
      </c>
      <c r="G302" s="383">
        <v>107</v>
      </c>
      <c r="H302" s="383">
        <v>2479</v>
      </c>
      <c r="I302" s="382">
        <v>2372</v>
      </c>
      <c r="J302" s="382">
        <v>5</v>
      </c>
      <c r="K302" s="384">
        <v>88.58</v>
      </c>
      <c r="L302" s="384">
        <v>85.17</v>
      </c>
      <c r="M302" s="384">
        <v>5.15</v>
      </c>
      <c r="N302" s="384">
        <v>90.04</v>
      </c>
      <c r="O302" s="385">
        <v>1822</v>
      </c>
      <c r="P302" s="382">
        <v>80.88</v>
      </c>
      <c r="Q302" s="382">
        <v>75.69</v>
      </c>
      <c r="R302" s="382">
        <v>20.399999999999999</v>
      </c>
      <c r="S302" s="382">
        <v>101.1</v>
      </c>
      <c r="T302" s="382">
        <v>335</v>
      </c>
      <c r="U302" s="382">
        <v>117.3</v>
      </c>
      <c r="V302" s="382">
        <v>98</v>
      </c>
      <c r="W302" s="382">
        <v>87.34</v>
      </c>
      <c r="X302" s="382">
        <v>4</v>
      </c>
      <c r="Y302" s="382">
        <v>36</v>
      </c>
      <c r="Z302" s="382">
        <v>1</v>
      </c>
      <c r="AA302" s="382">
        <v>0</v>
      </c>
      <c r="AB302" s="382">
        <v>23</v>
      </c>
      <c r="AC302" s="382">
        <v>0</v>
      </c>
      <c r="AD302" s="386">
        <v>1902</v>
      </c>
      <c r="AE302" s="386">
        <v>6</v>
      </c>
      <c r="AF302" s="386">
        <v>4</v>
      </c>
      <c r="AG302" s="386">
        <v>10</v>
      </c>
    </row>
    <row r="303" spans="1:33" x14ac:dyDescent="0.25">
      <c r="A303" s="381" t="s">
        <v>664</v>
      </c>
      <c r="B303" s="387" t="s">
        <v>665</v>
      </c>
      <c r="C303" s="383">
        <v>720</v>
      </c>
      <c r="D303" s="383">
        <v>1</v>
      </c>
      <c r="E303" s="383">
        <v>157</v>
      </c>
      <c r="F303" s="383">
        <v>373</v>
      </c>
      <c r="G303" s="383">
        <v>269</v>
      </c>
      <c r="H303" s="383">
        <v>1520</v>
      </c>
      <c r="I303" s="382">
        <v>1251</v>
      </c>
      <c r="J303" s="382">
        <v>0</v>
      </c>
      <c r="K303" s="384">
        <v>95.58</v>
      </c>
      <c r="L303" s="384">
        <v>91.1</v>
      </c>
      <c r="M303" s="384">
        <v>5.47</v>
      </c>
      <c r="N303" s="384">
        <v>98.9</v>
      </c>
      <c r="O303" s="385">
        <v>501</v>
      </c>
      <c r="P303" s="382">
        <v>99.48</v>
      </c>
      <c r="Q303" s="382">
        <v>94.5</v>
      </c>
      <c r="R303" s="382">
        <v>36.270000000000003</v>
      </c>
      <c r="S303" s="382">
        <v>135.53</v>
      </c>
      <c r="T303" s="382">
        <v>499</v>
      </c>
      <c r="U303" s="382">
        <v>110.03</v>
      </c>
      <c r="V303" s="382">
        <v>184</v>
      </c>
      <c r="W303" s="382">
        <v>0</v>
      </c>
      <c r="X303" s="382">
        <v>0</v>
      </c>
      <c r="Y303" s="382">
        <v>0</v>
      </c>
      <c r="Z303" s="382">
        <v>0</v>
      </c>
      <c r="AA303" s="382">
        <v>0</v>
      </c>
      <c r="AB303" s="382">
        <v>7</v>
      </c>
      <c r="AC303" s="382">
        <v>1</v>
      </c>
      <c r="AD303" s="386">
        <v>709</v>
      </c>
      <c r="AE303" s="386">
        <v>9</v>
      </c>
      <c r="AF303" s="386">
        <v>12</v>
      </c>
      <c r="AG303" s="386">
        <v>21</v>
      </c>
    </row>
    <row r="304" spans="1:33" x14ac:dyDescent="0.25">
      <c r="A304" s="381" t="s">
        <v>666</v>
      </c>
      <c r="B304" s="387" t="s">
        <v>667</v>
      </c>
      <c r="C304" s="383">
        <v>4156</v>
      </c>
      <c r="D304" s="383">
        <v>0</v>
      </c>
      <c r="E304" s="383">
        <v>65</v>
      </c>
      <c r="F304" s="383">
        <v>435</v>
      </c>
      <c r="G304" s="383">
        <v>310</v>
      </c>
      <c r="H304" s="383">
        <v>4966</v>
      </c>
      <c r="I304" s="382">
        <v>4656</v>
      </c>
      <c r="J304" s="382">
        <v>0</v>
      </c>
      <c r="K304" s="384">
        <v>81.67</v>
      </c>
      <c r="L304" s="384">
        <v>81.63</v>
      </c>
      <c r="M304" s="384">
        <v>3.53</v>
      </c>
      <c r="N304" s="384">
        <v>82.69</v>
      </c>
      <c r="O304" s="385">
        <v>4047</v>
      </c>
      <c r="P304" s="382">
        <v>75.02</v>
      </c>
      <c r="Q304" s="382">
        <v>74.67</v>
      </c>
      <c r="R304" s="382">
        <v>25.6</v>
      </c>
      <c r="S304" s="382">
        <v>100.25</v>
      </c>
      <c r="T304" s="382">
        <v>487</v>
      </c>
      <c r="U304" s="382">
        <v>93.49</v>
      </c>
      <c r="V304" s="382">
        <v>66</v>
      </c>
      <c r="W304" s="382">
        <v>114.56</v>
      </c>
      <c r="X304" s="382">
        <v>8</v>
      </c>
      <c r="Y304" s="382">
        <v>0</v>
      </c>
      <c r="Z304" s="382">
        <v>13</v>
      </c>
      <c r="AA304" s="382">
        <v>7</v>
      </c>
      <c r="AB304" s="382">
        <v>4</v>
      </c>
      <c r="AC304" s="382">
        <v>9</v>
      </c>
      <c r="AD304" s="386">
        <v>4145</v>
      </c>
      <c r="AE304" s="386">
        <v>37</v>
      </c>
      <c r="AF304" s="386">
        <v>5</v>
      </c>
      <c r="AG304" s="386">
        <v>42</v>
      </c>
    </row>
    <row r="305" spans="1:33" x14ac:dyDescent="0.25">
      <c r="A305" s="381" t="s">
        <v>815</v>
      </c>
      <c r="B305" s="387" t="s">
        <v>813</v>
      </c>
      <c r="C305" s="383">
        <v>10394</v>
      </c>
      <c r="D305" s="383">
        <v>49</v>
      </c>
      <c r="E305" s="383">
        <v>388</v>
      </c>
      <c r="F305" s="383">
        <v>2395</v>
      </c>
      <c r="G305" s="383">
        <v>1877</v>
      </c>
      <c r="H305" s="383">
        <v>15103</v>
      </c>
      <c r="I305" s="382">
        <v>13226</v>
      </c>
      <c r="J305" s="382">
        <v>12</v>
      </c>
      <c r="K305" s="384">
        <v>98.91</v>
      </c>
      <c r="L305" s="384">
        <v>99.08</v>
      </c>
      <c r="M305" s="384">
        <v>5.52</v>
      </c>
      <c r="N305" s="384">
        <v>102.48</v>
      </c>
      <c r="O305" s="385">
        <v>9221</v>
      </c>
      <c r="P305" s="382">
        <v>93.37</v>
      </c>
      <c r="Q305" s="382">
        <v>94.66</v>
      </c>
      <c r="R305" s="382">
        <v>27.49</v>
      </c>
      <c r="S305" s="382">
        <v>112.42</v>
      </c>
      <c r="T305" s="382">
        <v>2721</v>
      </c>
      <c r="U305" s="382">
        <v>123.67</v>
      </c>
      <c r="V305" s="382">
        <v>785</v>
      </c>
      <c r="W305" s="382">
        <v>0</v>
      </c>
      <c r="X305" s="382">
        <v>0</v>
      </c>
      <c r="Y305" s="382">
        <v>83</v>
      </c>
      <c r="Z305" s="382">
        <v>43</v>
      </c>
      <c r="AA305" s="382">
        <v>48</v>
      </c>
      <c r="AB305" s="382">
        <v>103</v>
      </c>
      <c r="AC305" s="382">
        <v>38</v>
      </c>
      <c r="AD305" s="386">
        <v>10140</v>
      </c>
      <c r="AE305" s="386">
        <v>56</v>
      </c>
      <c r="AF305" s="386">
        <v>35</v>
      </c>
      <c r="AG305" s="386">
        <v>91</v>
      </c>
    </row>
    <row r="306" spans="1:33" x14ac:dyDescent="0.25">
      <c r="A306" s="381" t="s">
        <v>668</v>
      </c>
      <c r="B306" s="387" t="s">
        <v>669</v>
      </c>
      <c r="C306" s="383">
        <v>5221</v>
      </c>
      <c r="D306" s="383">
        <v>4</v>
      </c>
      <c r="E306" s="383">
        <v>117</v>
      </c>
      <c r="F306" s="383">
        <v>341</v>
      </c>
      <c r="G306" s="383">
        <v>520</v>
      </c>
      <c r="H306" s="383">
        <v>6203</v>
      </c>
      <c r="I306" s="382">
        <v>5683</v>
      </c>
      <c r="J306" s="382">
        <v>82</v>
      </c>
      <c r="K306" s="384">
        <v>111.92</v>
      </c>
      <c r="L306" s="384">
        <v>119.88</v>
      </c>
      <c r="M306" s="384">
        <v>4.5199999999999996</v>
      </c>
      <c r="N306" s="384">
        <v>113.4</v>
      </c>
      <c r="O306" s="385">
        <v>4765</v>
      </c>
      <c r="P306" s="382">
        <v>94.49</v>
      </c>
      <c r="Q306" s="382">
        <v>93.76</v>
      </c>
      <c r="R306" s="382">
        <v>37.159999999999997</v>
      </c>
      <c r="S306" s="382">
        <v>131.57</v>
      </c>
      <c r="T306" s="382">
        <v>451</v>
      </c>
      <c r="U306" s="382">
        <v>155.22</v>
      </c>
      <c r="V306" s="382">
        <v>306</v>
      </c>
      <c r="W306" s="382">
        <v>0</v>
      </c>
      <c r="X306" s="382">
        <v>0</v>
      </c>
      <c r="Y306" s="382">
        <v>0</v>
      </c>
      <c r="Z306" s="382">
        <v>5</v>
      </c>
      <c r="AA306" s="382">
        <v>1</v>
      </c>
      <c r="AB306" s="382">
        <v>15</v>
      </c>
      <c r="AC306" s="382">
        <v>14</v>
      </c>
      <c r="AD306" s="386">
        <v>5063</v>
      </c>
      <c r="AE306" s="386">
        <v>10</v>
      </c>
      <c r="AF306" s="386">
        <v>6</v>
      </c>
      <c r="AG306" s="386">
        <v>16</v>
      </c>
    </row>
    <row r="307" spans="1:33" x14ac:dyDescent="0.25">
      <c r="A307" s="381" t="s">
        <v>670</v>
      </c>
      <c r="B307" s="387" t="s">
        <v>671</v>
      </c>
      <c r="C307" s="383">
        <v>10427</v>
      </c>
      <c r="D307" s="383">
        <v>27</v>
      </c>
      <c r="E307" s="383">
        <v>422</v>
      </c>
      <c r="F307" s="383">
        <v>1272</v>
      </c>
      <c r="G307" s="383">
        <v>623</v>
      </c>
      <c r="H307" s="383">
        <v>12771</v>
      </c>
      <c r="I307" s="382">
        <v>12148</v>
      </c>
      <c r="J307" s="382">
        <v>5</v>
      </c>
      <c r="K307" s="384">
        <v>93.21</v>
      </c>
      <c r="L307" s="384">
        <v>92.63</v>
      </c>
      <c r="M307" s="384">
        <v>4.55</v>
      </c>
      <c r="N307" s="384">
        <v>94.24</v>
      </c>
      <c r="O307" s="385">
        <v>9236</v>
      </c>
      <c r="P307" s="382">
        <v>84.37</v>
      </c>
      <c r="Q307" s="382">
        <v>83.51</v>
      </c>
      <c r="R307" s="382">
        <v>38.26</v>
      </c>
      <c r="S307" s="382">
        <v>121.16</v>
      </c>
      <c r="T307" s="382">
        <v>1589</v>
      </c>
      <c r="U307" s="382">
        <v>128.25</v>
      </c>
      <c r="V307" s="382">
        <v>1013</v>
      </c>
      <c r="W307" s="382">
        <v>104.13</v>
      </c>
      <c r="X307" s="382">
        <v>15</v>
      </c>
      <c r="Y307" s="382">
        <v>0</v>
      </c>
      <c r="Z307" s="382">
        <v>32</v>
      </c>
      <c r="AA307" s="382">
        <v>17</v>
      </c>
      <c r="AB307" s="382">
        <v>9</v>
      </c>
      <c r="AC307" s="382">
        <v>23</v>
      </c>
      <c r="AD307" s="386">
        <v>10341</v>
      </c>
      <c r="AE307" s="386">
        <v>38</v>
      </c>
      <c r="AF307" s="386">
        <v>21</v>
      </c>
      <c r="AG307" s="386">
        <v>59</v>
      </c>
    </row>
    <row r="308" spans="1:33" x14ac:dyDescent="0.25">
      <c r="A308" s="381" t="s">
        <v>672</v>
      </c>
      <c r="B308" s="387" t="s">
        <v>673</v>
      </c>
      <c r="C308" s="383">
        <v>12405</v>
      </c>
      <c r="D308" s="383">
        <v>581</v>
      </c>
      <c r="E308" s="383">
        <v>1354</v>
      </c>
      <c r="F308" s="383">
        <v>972</v>
      </c>
      <c r="G308" s="383">
        <v>743</v>
      </c>
      <c r="H308" s="383">
        <v>16055</v>
      </c>
      <c r="I308" s="382">
        <v>15312</v>
      </c>
      <c r="J308" s="382">
        <v>324</v>
      </c>
      <c r="K308" s="384">
        <v>141.51</v>
      </c>
      <c r="L308" s="384">
        <v>155.58000000000001</v>
      </c>
      <c r="M308" s="384">
        <v>10.62</v>
      </c>
      <c r="N308" s="384">
        <v>149.66</v>
      </c>
      <c r="O308" s="385">
        <v>10192</v>
      </c>
      <c r="P308" s="382">
        <v>118.07</v>
      </c>
      <c r="Q308" s="382">
        <v>119.88</v>
      </c>
      <c r="R308" s="382">
        <v>56.31</v>
      </c>
      <c r="S308" s="382">
        <v>171.99</v>
      </c>
      <c r="T308" s="382">
        <v>1910</v>
      </c>
      <c r="U308" s="382">
        <v>211.66</v>
      </c>
      <c r="V308" s="382">
        <v>461</v>
      </c>
      <c r="W308" s="382">
        <v>152.97</v>
      </c>
      <c r="X308" s="382">
        <v>1</v>
      </c>
      <c r="Y308" s="382">
        <v>17</v>
      </c>
      <c r="Z308" s="382">
        <v>3</v>
      </c>
      <c r="AA308" s="382">
        <v>27</v>
      </c>
      <c r="AB308" s="382">
        <v>24</v>
      </c>
      <c r="AC308" s="382">
        <v>26</v>
      </c>
      <c r="AD308" s="386">
        <v>10902</v>
      </c>
      <c r="AE308" s="386">
        <v>19</v>
      </c>
      <c r="AF308" s="386">
        <v>114</v>
      </c>
      <c r="AG308" s="386">
        <v>133</v>
      </c>
    </row>
    <row r="309" spans="1:33" x14ac:dyDescent="0.25">
      <c r="A309" s="381" t="s">
        <v>674</v>
      </c>
      <c r="B309" s="387" t="s">
        <v>675</v>
      </c>
      <c r="C309" s="383">
        <v>1984</v>
      </c>
      <c r="D309" s="383">
        <v>4</v>
      </c>
      <c r="E309" s="383">
        <v>551</v>
      </c>
      <c r="F309" s="383">
        <v>992</v>
      </c>
      <c r="G309" s="383">
        <v>285</v>
      </c>
      <c r="H309" s="383">
        <v>3816</v>
      </c>
      <c r="I309" s="382">
        <v>3531</v>
      </c>
      <c r="J309" s="382">
        <v>70</v>
      </c>
      <c r="K309" s="384">
        <v>81.430000000000007</v>
      </c>
      <c r="L309" s="384">
        <v>79.56</v>
      </c>
      <c r="M309" s="384">
        <v>8.27</v>
      </c>
      <c r="N309" s="384">
        <v>85.64</v>
      </c>
      <c r="O309" s="385">
        <v>1736</v>
      </c>
      <c r="P309" s="382">
        <v>82.27</v>
      </c>
      <c r="Q309" s="382">
        <v>75.7</v>
      </c>
      <c r="R309" s="382">
        <v>46.89</v>
      </c>
      <c r="S309" s="382">
        <v>126.89</v>
      </c>
      <c r="T309" s="382">
        <v>1404</v>
      </c>
      <c r="U309" s="382">
        <v>98.93</v>
      </c>
      <c r="V309" s="382">
        <v>170</v>
      </c>
      <c r="W309" s="382">
        <v>162.78</v>
      </c>
      <c r="X309" s="382">
        <v>20</v>
      </c>
      <c r="Y309" s="382">
        <v>0</v>
      </c>
      <c r="Z309" s="382">
        <v>1</v>
      </c>
      <c r="AA309" s="382">
        <v>14</v>
      </c>
      <c r="AB309" s="382">
        <v>3</v>
      </c>
      <c r="AC309" s="382">
        <v>7</v>
      </c>
      <c r="AD309" s="386">
        <v>1903</v>
      </c>
      <c r="AE309" s="386">
        <v>26</v>
      </c>
      <c r="AF309" s="386">
        <v>15</v>
      </c>
      <c r="AG309" s="386">
        <v>41</v>
      </c>
    </row>
    <row r="310" spans="1:33" x14ac:dyDescent="0.25">
      <c r="A310" s="381" t="s">
        <v>676</v>
      </c>
      <c r="B310" s="387" t="s">
        <v>677</v>
      </c>
      <c r="C310" s="383">
        <v>21232</v>
      </c>
      <c r="D310" s="383">
        <v>25</v>
      </c>
      <c r="E310" s="383">
        <v>621</v>
      </c>
      <c r="F310" s="383">
        <v>3116</v>
      </c>
      <c r="G310" s="383">
        <v>1353</v>
      </c>
      <c r="H310" s="383">
        <v>26347</v>
      </c>
      <c r="I310" s="382">
        <v>24994</v>
      </c>
      <c r="J310" s="382">
        <v>24</v>
      </c>
      <c r="K310" s="384">
        <v>101.82</v>
      </c>
      <c r="L310" s="384">
        <v>102.18</v>
      </c>
      <c r="M310" s="384">
        <v>3.87</v>
      </c>
      <c r="N310" s="384">
        <v>103.73</v>
      </c>
      <c r="O310" s="385">
        <v>19035</v>
      </c>
      <c r="P310" s="382">
        <v>92.52</v>
      </c>
      <c r="Q310" s="382">
        <v>91.63</v>
      </c>
      <c r="R310" s="382">
        <v>23.75</v>
      </c>
      <c r="S310" s="382">
        <v>115.22</v>
      </c>
      <c r="T310" s="382">
        <v>3369</v>
      </c>
      <c r="U310" s="382">
        <v>125.46</v>
      </c>
      <c r="V310" s="382">
        <v>1613</v>
      </c>
      <c r="W310" s="382">
        <v>126.2</v>
      </c>
      <c r="X310" s="382">
        <v>34</v>
      </c>
      <c r="Y310" s="382">
        <v>0</v>
      </c>
      <c r="Z310" s="382">
        <v>22</v>
      </c>
      <c r="AA310" s="382">
        <v>58</v>
      </c>
      <c r="AB310" s="382">
        <v>88</v>
      </c>
      <c r="AC310" s="382">
        <v>35</v>
      </c>
      <c r="AD310" s="386">
        <v>20698</v>
      </c>
      <c r="AE310" s="386">
        <v>81</v>
      </c>
      <c r="AF310" s="386">
        <v>142</v>
      </c>
      <c r="AG310" s="386">
        <v>223</v>
      </c>
    </row>
    <row r="311" spans="1:33" x14ac:dyDescent="0.25">
      <c r="A311" s="381" t="s">
        <v>678</v>
      </c>
      <c r="B311" s="387" t="s">
        <v>679</v>
      </c>
      <c r="C311" s="383">
        <v>2081</v>
      </c>
      <c r="D311" s="383">
        <v>0</v>
      </c>
      <c r="E311" s="383">
        <v>249</v>
      </c>
      <c r="F311" s="383">
        <v>225</v>
      </c>
      <c r="G311" s="383">
        <v>335</v>
      </c>
      <c r="H311" s="383">
        <v>2890</v>
      </c>
      <c r="I311" s="382">
        <v>2555</v>
      </c>
      <c r="J311" s="382">
        <v>9</v>
      </c>
      <c r="K311" s="384">
        <v>116.06</v>
      </c>
      <c r="L311" s="384">
        <v>113.36</v>
      </c>
      <c r="M311" s="384">
        <v>6.41</v>
      </c>
      <c r="N311" s="384">
        <v>122.03</v>
      </c>
      <c r="O311" s="385">
        <v>1674</v>
      </c>
      <c r="P311" s="382">
        <v>96.03</v>
      </c>
      <c r="Q311" s="382">
        <v>92.42</v>
      </c>
      <c r="R311" s="382">
        <v>39.869999999999997</v>
      </c>
      <c r="S311" s="382">
        <v>132.09</v>
      </c>
      <c r="T311" s="382">
        <v>439</v>
      </c>
      <c r="U311" s="382">
        <v>163.69999999999999</v>
      </c>
      <c r="V311" s="382">
        <v>205</v>
      </c>
      <c r="W311" s="382">
        <v>0</v>
      </c>
      <c r="X311" s="382">
        <v>0</v>
      </c>
      <c r="Y311" s="382">
        <v>1</v>
      </c>
      <c r="Z311" s="382">
        <v>6</v>
      </c>
      <c r="AA311" s="382">
        <v>0</v>
      </c>
      <c r="AB311" s="382">
        <v>10</v>
      </c>
      <c r="AC311" s="382">
        <v>18</v>
      </c>
      <c r="AD311" s="386">
        <v>1914</v>
      </c>
      <c r="AE311" s="386">
        <v>12</v>
      </c>
      <c r="AF311" s="386">
        <v>8</v>
      </c>
      <c r="AG311" s="386">
        <v>20</v>
      </c>
    </row>
    <row r="312" spans="1:33" x14ac:dyDescent="0.25">
      <c r="A312" s="381" t="s">
        <v>680</v>
      </c>
      <c r="B312" s="387" t="s">
        <v>681</v>
      </c>
      <c r="C312" s="383">
        <v>6722</v>
      </c>
      <c r="D312" s="383">
        <v>16</v>
      </c>
      <c r="E312" s="383">
        <v>208</v>
      </c>
      <c r="F312" s="383">
        <v>902</v>
      </c>
      <c r="G312" s="383">
        <v>239</v>
      </c>
      <c r="H312" s="383">
        <v>8087</v>
      </c>
      <c r="I312" s="382">
        <v>7848</v>
      </c>
      <c r="J312" s="382">
        <v>8</v>
      </c>
      <c r="K312" s="384">
        <v>123.94</v>
      </c>
      <c r="L312" s="384">
        <v>126.71</v>
      </c>
      <c r="M312" s="384">
        <v>4.67</v>
      </c>
      <c r="N312" s="384">
        <v>126.69</v>
      </c>
      <c r="O312" s="385">
        <v>6409</v>
      </c>
      <c r="P312" s="382">
        <v>107.41</v>
      </c>
      <c r="Q312" s="382">
        <v>107.18</v>
      </c>
      <c r="R312" s="382">
        <v>20.83</v>
      </c>
      <c r="S312" s="382">
        <v>127.62</v>
      </c>
      <c r="T312" s="382">
        <v>1066</v>
      </c>
      <c r="U312" s="382">
        <v>175.56</v>
      </c>
      <c r="V312" s="382">
        <v>279</v>
      </c>
      <c r="W312" s="382">
        <v>145.43</v>
      </c>
      <c r="X312" s="382">
        <v>1</v>
      </c>
      <c r="Y312" s="382">
        <v>0</v>
      </c>
      <c r="Z312" s="382">
        <v>5</v>
      </c>
      <c r="AA312" s="382">
        <v>4</v>
      </c>
      <c r="AB312" s="382">
        <v>36</v>
      </c>
      <c r="AC312" s="382">
        <v>9</v>
      </c>
      <c r="AD312" s="386">
        <v>6720</v>
      </c>
      <c r="AE312" s="386">
        <v>14</v>
      </c>
      <c r="AF312" s="386">
        <v>5</v>
      </c>
      <c r="AG312" s="386">
        <v>19</v>
      </c>
    </row>
    <row r="313" spans="1:33" x14ac:dyDescent="0.25">
      <c r="A313" s="381" t="s">
        <v>682</v>
      </c>
      <c r="B313" s="387" t="s">
        <v>683</v>
      </c>
      <c r="C313" s="383">
        <v>17445</v>
      </c>
      <c r="D313" s="383">
        <v>566</v>
      </c>
      <c r="E313" s="383">
        <v>1093</v>
      </c>
      <c r="F313" s="383">
        <v>3716</v>
      </c>
      <c r="G313" s="383">
        <v>476</v>
      </c>
      <c r="H313" s="383">
        <v>23296</v>
      </c>
      <c r="I313" s="382">
        <v>22820</v>
      </c>
      <c r="J313" s="382">
        <v>31</v>
      </c>
      <c r="K313" s="384">
        <v>88.04</v>
      </c>
      <c r="L313" s="384">
        <v>85.72</v>
      </c>
      <c r="M313" s="384">
        <v>6</v>
      </c>
      <c r="N313" s="384">
        <v>90.05</v>
      </c>
      <c r="O313" s="385">
        <v>14572</v>
      </c>
      <c r="P313" s="382">
        <v>82.9</v>
      </c>
      <c r="Q313" s="382">
        <v>80.42</v>
      </c>
      <c r="R313" s="382">
        <v>24.59</v>
      </c>
      <c r="S313" s="382">
        <v>106.25</v>
      </c>
      <c r="T313" s="382">
        <v>3630</v>
      </c>
      <c r="U313" s="382">
        <v>110.84</v>
      </c>
      <c r="V313" s="382">
        <v>1593</v>
      </c>
      <c r="W313" s="382">
        <v>141.77000000000001</v>
      </c>
      <c r="X313" s="382">
        <v>118</v>
      </c>
      <c r="Y313" s="382">
        <v>7</v>
      </c>
      <c r="Z313" s="382">
        <v>41</v>
      </c>
      <c r="AA313" s="382">
        <v>18</v>
      </c>
      <c r="AB313" s="382">
        <v>0</v>
      </c>
      <c r="AC313" s="382">
        <v>2</v>
      </c>
      <c r="AD313" s="386">
        <v>16085</v>
      </c>
      <c r="AE313" s="386">
        <v>179</v>
      </c>
      <c r="AF313" s="386">
        <v>265</v>
      </c>
      <c r="AG313" s="386">
        <v>444</v>
      </c>
    </row>
    <row r="314" spans="1:33" x14ac:dyDescent="0.25">
      <c r="A314" s="381" t="s">
        <v>684</v>
      </c>
      <c r="B314" s="387" t="s">
        <v>685</v>
      </c>
      <c r="C314" s="383">
        <v>860</v>
      </c>
      <c r="D314" s="383">
        <v>4</v>
      </c>
      <c r="E314" s="383">
        <v>166</v>
      </c>
      <c r="F314" s="383">
        <v>315</v>
      </c>
      <c r="G314" s="383">
        <v>246</v>
      </c>
      <c r="H314" s="383">
        <v>1591</v>
      </c>
      <c r="I314" s="382">
        <v>1345</v>
      </c>
      <c r="J314" s="382">
        <v>1</v>
      </c>
      <c r="K314" s="384">
        <v>127.59</v>
      </c>
      <c r="L314" s="384">
        <v>126.57</v>
      </c>
      <c r="M314" s="384">
        <v>8.5500000000000007</v>
      </c>
      <c r="N314" s="384">
        <v>134.43</v>
      </c>
      <c r="O314" s="385">
        <v>699</v>
      </c>
      <c r="P314" s="382">
        <v>103.07</v>
      </c>
      <c r="Q314" s="382">
        <v>98.53</v>
      </c>
      <c r="R314" s="382">
        <v>36.15</v>
      </c>
      <c r="S314" s="382">
        <v>138.93</v>
      </c>
      <c r="T314" s="382">
        <v>251</v>
      </c>
      <c r="U314" s="382">
        <v>171.8</v>
      </c>
      <c r="V314" s="382">
        <v>19</v>
      </c>
      <c r="W314" s="382">
        <v>138.6</v>
      </c>
      <c r="X314" s="382">
        <v>15</v>
      </c>
      <c r="Y314" s="382">
        <v>0</v>
      </c>
      <c r="Z314" s="382">
        <v>3</v>
      </c>
      <c r="AA314" s="382">
        <v>0</v>
      </c>
      <c r="AB314" s="382">
        <v>15</v>
      </c>
      <c r="AC314" s="382">
        <v>7</v>
      </c>
      <c r="AD314" s="386">
        <v>742</v>
      </c>
      <c r="AE314" s="386">
        <v>7</v>
      </c>
      <c r="AF314" s="386">
        <v>0</v>
      </c>
      <c r="AG314" s="386">
        <v>7</v>
      </c>
    </row>
    <row r="315" spans="1:33" x14ac:dyDescent="0.25">
      <c r="A315" s="381" t="s">
        <v>686</v>
      </c>
      <c r="B315" s="387" t="s">
        <v>687</v>
      </c>
      <c r="C315" s="383">
        <v>1334</v>
      </c>
      <c r="D315" s="383">
        <v>3</v>
      </c>
      <c r="E315" s="383">
        <v>114</v>
      </c>
      <c r="F315" s="383">
        <v>202</v>
      </c>
      <c r="G315" s="383">
        <v>568</v>
      </c>
      <c r="H315" s="383">
        <v>2221</v>
      </c>
      <c r="I315" s="382">
        <v>1653</v>
      </c>
      <c r="J315" s="382">
        <v>1</v>
      </c>
      <c r="K315" s="384">
        <v>130.31</v>
      </c>
      <c r="L315" s="384">
        <v>128.96</v>
      </c>
      <c r="M315" s="384">
        <v>5.38</v>
      </c>
      <c r="N315" s="384">
        <v>134.72999999999999</v>
      </c>
      <c r="O315" s="385">
        <v>1190</v>
      </c>
      <c r="P315" s="382">
        <v>110.33</v>
      </c>
      <c r="Q315" s="382">
        <v>105.65</v>
      </c>
      <c r="R315" s="382">
        <v>32.130000000000003</v>
      </c>
      <c r="S315" s="382">
        <v>142.35</v>
      </c>
      <c r="T315" s="382">
        <v>304</v>
      </c>
      <c r="U315" s="382">
        <v>158.27000000000001</v>
      </c>
      <c r="V315" s="382">
        <v>68</v>
      </c>
      <c r="W315" s="382">
        <v>0</v>
      </c>
      <c r="X315" s="382">
        <v>0</v>
      </c>
      <c r="Y315" s="382">
        <v>0</v>
      </c>
      <c r="Z315" s="382">
        <v>0</v>
      </c>
      <c r="AA315" s="382">
        <v>0</v>
      </c>
      <c r="AB315" s="382">
        <v>20</v>
      </c>
      <c r="AC315" s="382">
        <v>23</v>
      </c>
      <c r="AD315" s="386">
        <v>1268</v>
      </c>
      <c r="AE315" s="386">
        <v>1</v>
      </c>
      <c r="AF315" s="386">
        <v>1</v>
      </c>
      <c r="AG315" s="386">
        <v>2</v>
      </c>
    </row>
    <row r="316" spans="1:33" x14ac:dyDescent="0.25">
      <c r="A316" s="381" t="s">
        <v>688</v>
      </c>
      <c r="B316" s="387" t="s">
        <v>689</v>
      </c>
      <c r="C316" s="383">
        <v>4142</v>
      </c>
      <c r="D316" s="383">
        <v>0</v>
      </c>
      <c r="E316" s="383">
        <v>546</v>
      </c>
      <c r="F316" s="383">
        <v>1494</v>
      </c>
      <c r="G316" s="383">
        <v>297</v>
      </c>
      <c r="H316" s="383">
        <v>6479</v>
      </c>
      <c r="I316" s="382">
        <v>6182</v>
      </c>
      <c r="J316" s="382">
        <v>51</v>
      </c>
      <c r="K316" s="384">
        <v>90.06</v>
      </c>
      <c r="L316" s="384">
        <v>89.27</v>
      </c>
      <c r="M316" s="384">
        <v>5.96</v>
      </c>
      <c r="N316" s="384">
        <v>94.78</v>
      </c>
      <c r="O316" s="385">
        <v>3827</v>
      </c>
      <c r="P316" s="382">
        <v>93.19</v>
      </c>
      <c r="Q316" s="382">
        <v>91.4</v>
      </c>
      <c r="R316" s="382">
        <v>47.97</v>
      </c>
      <c r="S316" s="382">
        <v>136.12</v>
      </c>
      <c r="T316" s="382">
        <v>1850</v>
      </c>
      <c r="U316" s="382">
        <v>106.02</v>
      </c>
      <c r="V316" s="382">
        <v>185</v>
      </c>
      <c r="W316" s="382">
        <v>164.2</v>
      </c>
      <c r="X316" s="382">
        <v>40</v>
      </c>
      <c r="Y316" s="382">
        <v>0</v>
      </c>
      <c r="Z316" s="382">
        <v>1</v>
      </c>
      <c r="AA316" s="382">
        <v>0</v>
      </c>
      <c r="AB316" s="382">
        <v>0</v>
      </c>
      <c r="AC316" s="382">
        <v>15</v>
      </c>
      <c r="AD316" s="386">
        <v>4136</v>
      </c>
      <c r="AE316" s="386">
        <v>25</v>
      </c>
      <c r="AF316" s="386">
        <v>24</v>
      </c>
      <c r="AG316" s="386">
        <v>49</v>
      </c>
    </row>
    <row r="317" spans="1:33" x14ac:dyDescent="0.25">
      <c r="A317" s="381" t="s">
        <v>690</v>
      </c>
      <c r="B317" s="387" t="s">
        <v>691</v>
      </c>
      <c r="C317" s="383">
        <v>5884</v>
      </c>
      <c r="D317" s="383">
        <v>57</v>
      </c>
      <c r="E317" s="383">
        <v>377</v>
      </c>
      <c r="F317" s="383">
        <v>1029</v>
      </c>
      <c r="G317" s="383">
        <v>500</v>
      </c>
      <c r="H317" s="383">
        <v>7847</v>
      </c>
      <c r="I317" s="382">
        <v>7347</v>
      </c>
      <c r="J317" s="382">
        <v>0</v>
      </c>
      <c r="K317" s="384">
        <v>88.83</v>
      </c>
      <c r="L317" s="384">
        <v>90.51</v>
      </c>
      <c r="M317" s="384">
        <v>5.46</v>
      </c>
      <c r="N317" s="384">
        <v>93.84</v>
      </c>
      <c r="O317" s="385">
        <v>5219</v>
      </c>
      <c r="P317" s="382">
        <v>78.650000000000006</v>
      </c>
      <c r="Q317" s="382">
        <v>79.62</v>
      </c>
      <c r="R317" s="382">
        <v>34.549999999999997</v>
      </c>
      <c r="S317" s="382">
        <v>112.35</v>
      </c>
      <c r="T317" s="382">
        <v>1154</v>
      </c>
      <c r="U317" s="382">
        <v>108.26</v>
      </c>
      <c r="V317" s="382">
        <v>593</v>
      </c>
      <c r="W317" s="382">
        <v>180.57</v>
      </c>
      <c r="X317" s="382">
        <v>132</v>
      </c>
      <c r="Y317" s="382">
        <v>0</v>
      </c>
      <c r="Z317" s="382">
        <v>22</v>
      </c>
      <c r="AA317" s="382">
        <v>3</v>
      </c>
      <c r="AB317" s="382">
        <v>38</v>
      </c>
      <c r="AC317" s="382">
        <v>10</v>
      </c>
      <c r="AD317" s="386">
        <v>5864</v>
      </c>
      <c r="AE317" s="386">
        <v>53</v>
      </c>
      <c r="AF317" s="386">
        <v>15</v>
      </c>
      <c r="AG317" s="386">
        <v>68</v>
      </c>
    </row>
    <row r="318" spans="1:33" x14ac:dyDescent="0.25">
      <c r="A318" s="381" t="s">
        <v>692</v>
      </c>
      <c r="B318" s="387" t="s">
        <v>693</v>
      </c>
      <c r="C318" s="383">
        <v>3924</v>
      </c>
      <c r="D318" s="383">
        <v>37</v>
      </c>
      <c r="E318" s="383">
        <v>267</v>
      </c>
      <c r="F318" s="383">
        <v>569</v>
      </c>
      <c r="G318" s="383">
        <v>146</v>
      </c>
      <c r="H318" s="383">
        <v>4943</v>
      </c>
      <c r="I318" s="382">
        <v>4797</v>
      </c>
      <c r="J318" s="382">
        <v>2</v>
      </c>
      <c r="K318" s="384">
        <v>103.59</v>
      </c>
      <c r="L318" s="384">
        <v>102.9</v>
      </c>
      <c r="M318" s="384">
        <v>6.09</v>
      </c>
      <c r="N318" s="384">
        <v>107.25</v>
      </c>
      <c r="O318" s="385">
        <v>3685</v>
      </c>
      <c r="P318" s="382">
        <v>89.52</v>
      </c>
      <c r="Q318" s="382">
        <v>85.7</v>
      </c>
      <c r="R318" s="382">
        <v>31.52</v>
      </c>
      <c r="S318" s="382">
        <v>118.77</v>
      </c>
      <c r="T318" s="382">
        <v>651</v>
      </c>
      <c r="U318" s="382">
        <v>140.66</v>
      </c>
      <c r="V318" s="382">
        <v>117</v>
      </c>
      <c r="W318" s="382">
        <v>148.83000000000001</v>
      </c>
      <c r="X318" s="382">
        <v>19</v>
      </c>
      <c r="Y318" s="382">
        <v>0</v>
      </c>
      <c r="Z318" s="382">
        <v>0</v>
      </c>
      <c r="AA318" s="382">
        <v>1</v>
      </c>
      <c r="AB318" s="382">
        <v>0</v>
      </c>
      <c r="AC318" s="382">
        <v>1</v>
      </c>
      <c r="AD318" s="386">
        <v>3900</v>
      </c>
      <c r="AE318" s="386">
        <v>3</v>
      </c>
      <c r="AF318" s="386">
        <v>5</v>
      </c>
      <c r="AG318" s="386">
        <v>8</v>
      </c>
    </row>
    <row r="319" spans="1:33" x14ac:dyDescent="0.25">
      <c r="A319" s="381" t="s">
        <v>694</v>
      </c>
      <c r="B319" s="387" t="s">
        <v>695</v>
      </c>
      <c r="C319" s="383">
        <v>7036</v>
      </c>
      <c r="D319" s="383">
        <v>7</v>
      </c>
      <c r="E319" s="383">
        <v>43</v>
      </c>
      <c r="F319" s="383">
        <v>916</v>
      </c>
      <c r="G319" s="383">
        <v>348</v>
      </c>
      <c r="H319" s="383">
        <v>8350</v>
      </c>
      <c r="I319" s="382">
        <v>8002</v>
      </c>
      <c r="J319" s="382">
        <v>0</v>
      </c>
      <c r="K319" s="384">
        <v>96.19</v>
      </c>
      <c r="L319" s="384">
        <v>96.8</v>
      </c>
      <c r="M319" s="384">
        <v>3.99</v>
      </c>
      <c r="N319" s="384">
        <v>98.31</v>
      </c>
      <c r="O319" s="385">
        <v>6262</v>
      </c>
      <c r="P319" s="382">
        <v>84.98</v>
      </c>
      <c r="Q319" s="382">
        <v>85.09</v>
      </c>
      <c r="R319" s="382">
        <v>30.43</v>
      </c>
      <c r="S319" s="382">
        <v>115.1</v>
      </c>
      <c r="T319" s="382">
        <v>888</v>
      </c>
      <c r="U319" s="382">
        <v>115.77</v>
      </c>
      <c r="V319" s="382">
        <v>762</v>
      </c>
      <c r="W319" s="382">
        <v>197.63</v>
      </c>
      <c r="X319" s="382">
        <v>29</v>
      </c>
      <c r="Y319" s="382">
        <v>0</v>
      </c>
      <c r="Z319" s="382">
        <v>12</v>
      </c>
      <c r="AA319" s="382">
        <v>1</v>
      </c>
      <c r="AB319" s="382">
        <v>73</v>
      </c>
      <c r="AC319" s="382">
        <v>11</v>
      </c>
      <c r="AD319" s="386">
        <v>7036</v>
      </c>
      <c r="AE319" s="386">
        <v>34</v>
      </c>
      <c r="AF319" s="386">
        <v>28</v>
      </c>
      <c r="AG319" s="386">
        <v>62</v>
      </c>
    </row>
    <row r="320" spans="1:33" x14ac:dyDescent="0.25">
      <c r="A320" s="381" t="s">
        <v>696</v>
      </c>
      <c r="B320" s="387" t="s">
        <v>697</v>
      </c>
      <c r="C320" s="383">
        <v>3149</v>
      </c>
      <c r="D320" s="383">
        <v>0</v>
      </c>
      <c r="E320" s="383">
        <v>268</v>
      </c>
      <c r="F320" s="383">
        <v>441</v>
      </c>
      <c r="G320" s="383">
        <v>185</v>
      </c>
      <c r="H320" s="383">
        <v>4043</v>
      </c>
      <c r="I320" s="382">
        <v>3858</v>
      </c>
      <c r="J320" s="382">
        <v>0</v>
      </c>
      <c r="K320" s="384">
        <v>87.19</v>
      </c>
      <c r="L320" s="384">
        <v>87.49</v>
      </c>
      <c r="M320" s="384">
        <v>5.24</v>
      </c>
      <c r="N320" s="384">
        <v>89.61</v>
      </c>
      <c r="O320" s="385">
        <v>2934</v>
      </c>
      <c r="P320" s="382">
        <v>91.33</v>
      </c>
      <c r="Q320" s="382">
        <v>81.61</v>
      </c>
      <c r="R320" s="382">
        <v>25.78</v>
      </c>
      <c r="S320" s="382">
        <v>115.19</v>
      </c>
      <c r="T320" s="382">
        <v>642</v>
      </c>
      <c r="U320" s="382">
        <v>105.22</v>
      </c>
      <c r="V320" s="382">
        <v>170</v>
      </c>
      <c r="W320" s="382">
        <v>0</v>
      </c>
      <c r="X320" s="382">
        <v>0</v>
      </c>
      <c r="Y320" s="382">
        <v>0</v>
      </c>
      <c r="Z320" s="382">
        <v>9</v>
      </c>
      <c r="AA320" s="382">
        <v>0</v>
      </c>
      <c r="AB320" s="382">
        <v>7</v>
      </c>
      <c r="AC320" s="382">
        <v>13</v>
      </c>
      <c r="AD320" s="386">
        <v>3115</v>
      </c>
      <c r="AE320" s="386">
        <v>18</v>
      </c>
      <c r="AF320" s="386">
        <v>9</v>
      </c>
      <c r="AG320" s="386">
        <v>27</v>
      </c>
    </row>
    <row r="321" spans="1:33" x14ac:dyDescent="0.25">
      <c r="A321" s="381" t="s">
        <v>698</v>
      </c>
      <c r="B321" s="387" t="s">
        <v>699</v>
      </c>
      <c r="C321" s="383">
        <v>4354</v>
      </c>
      <c r="D321" s="383">
        <v>0</v>
      </c>
      <c r="E321" s="383">
        <v>81</v>
      </c>
      <c r="F321" s="383">
        <v>2192</v>
      </c>
      <c r="G321" s="383">
        <v>375</v>
      </c>
      <c r="H321" s="383">
        <v>7002</v>
      </c>
      <c r="I321" s="382">
        <v>6627</v>
      </c>
      <c r="J321" s="382">
        <v>0</v>
      </c>
      <c r="K321" s="384">
        <v>90.8</v>
      </c>
      <c r="L321" s="384">
        <v>88.04</v>
      </c>
      <c r="M321" s="384">
        <v>4.6500000000000004</v>
      </c>
      <c r="N321" s="384">
        <v>95.23</v>
      </c>
      <c r="O321" s="385">
        <v>4051</v>
      </c>
      <c r="P321" s="382">
        <v>83.85</v>
      </c>
      <c r="Q321" s="382">
        <v>78.55</v>
      </c>
      <c r="R321" s="382">
        <v>13.97</v>
      </c>
      <c r="S321" s="382">
        <v>97.8</v>
      </c>
      <c r="T321" s="382">
        <v>2229</v>
      </c>
      <c r="U321" s="382">
        <v>99.4</v>
      </c>
      <c r="V321" s="382">
        <v>273</v>
      </c>
      <c r="W321" s="382">
        <v>127.16</v>
      </c>
      <c r="X321" s="382">
        <v>15</v>
      </c>
      <c r="Y321" s="382">
        <v>0</v>
      </c>
      <c r="Z321" s="382">
        <v>6</v>
      </c>
      <c r="AA321" s="382">
        <v>3</v>
      </c>
      <c r="AB321" s="382">
        <v>41</v>
      </c>
      <c r="AC321" s="382">
        <v>17</v>
      </c>
      <c r="AD321" s="386">
        <v>4354</v>
      </c>
      <c r="AE321" s="386">
        <v>20</v>
      </c>
      <c r="AF321" s="386">
        <v>24</v>
      </c>
      <c r="AG321" s="386">
        <v>44</v>
      </c>
    </row>
    <row r="322" spans="1:33" x14ac:dyDescent="0.25">
      <c r="A322" s="381" t="s">
        <v>700</v>
      </c>
      <c r="B322" s="387" t="s">
        <v>701</v>
      </c>
      <c r="C322" s="383">
        <v>3528</v>
      </c>
      <c r="D322" s="383">
        <v>12</v>
      </c>
      <c r="E322" s="383">
        <v>355</v>
      </c>
      <c r="F322" s="383">
        <v>1017</v>
      </c>
      <c r="G322" s="383">
        <v>471</v>
      </c>
      <c r="H322" s="383">
        <v>5383</v>
      </c>
      <c r="I322" s="382">
        <v>4912</v>
      </c>
      <c r="J322" s="382">
        <v>16</v>
      </c>
      <c r="K322" s="384">
        <v>95.31</v>
      </c>
      <c r="L322" s="384">
        <v>94.97</v>
      </c>
      <c r="M322" s="384">
        <v>6.27</v>
      </c>
      <c r="N322" s="384">
        <v>98.23</v>
      </c>
      <c r="O322" s="385">
        <v>2813</v>
      </c>
      <c r="P322" s="382">
        <v>83.22</v>
      </c>
      <c r="Q322" s="382">
        <v>77.75</v>
      </c>
      <c r="R322" s="382">
        <v>21.23</v>
      </c>
      <c r="S322" s="382">
        <v>101.58</v>
      </c>
      <c r="T322" s="382">
        <v>871</v>
      </c>
      <c r="U322" s="382">
        <v>111.08</v>
      </c>
      <c r="V322" s="382">
        <v>299</v>
      </c>
      <c r="W322" s="382">
        <v>99.03</v>
      </c>
      <c r="X322" s="382">
        <v>78</v>
      </c>
      <c r="Y322" s="382">
        <v>16</v>
      </c>
      <c r="Z322" s="382">
        <v>0</v>
      </c>
      <c r="AA322" s="382">
        <v>7</v>
      </c>
      <c r="AB322" s="382">
        <v>22</v>
      </c>
      <c r="AC322" s="382">
        <v>3</v>
      </c>
      <c r="AD322" s="386">
        <v>3200</v>
      </c>
      <c r="AE322" s="386">
        <v>18</v>
      </c>
      <c r="AF322" s="386">
        <v>7</v>
      </c>
      <c r="AG322" s="386">
        <v>25</v>
      </c>
    </row>
  </sheetData>
  <pageMargins left="0.7" right="0.7" top="0.75" bottom="0.75" header="0.3" footer="0.3"/>
  <pageSetup paperSize="9" orientation="portrait" r:id="rId1"/>
  <headerFooter>
    <oddFooter>&amp;C&amp;1#&amp;"Calibri"&amp;12&amp;K0078D7OFFICIAL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4C5FD-ECBD-4F4F-AAA4-E055B06D43EE}">
  <sheetPr codeName="Sheet4">
    <tabColor rgb="FFFFFF00"/>
  </sheetPr>
  <dimension ref="A1:AG322"/>
  <sheetViews>
    <sheetView zoomScale="80" zoomScaleNormal="80" workbookViewId="0">
      <selection activeCell="A4" sqref="A4:AG322"/>
    </sheetView>
  </sheetViews>
  <sheetFormatPr defaultColWidth="9.1796875" defaultRowHeight="12.5" x14ac:dyDescent="0.25"/>
  <cols>
    <col min="1" max="8" width="9.1796875" style="164"/>
    <col min="9" max="10" width="10.453125" style="164" customWidth="1"/>
    <col min="11" max="11" width="10.453125" style="164" bestFit="1" customWidth="1"/>
    <col min="12" max="16384" width="9.1796875" style="164"/>
  </cols>
  <sheetData>
    <row r="1" spans="1:33" s="163" customFormat="1" ht="13" x14ac:dyDescent="0.3">
      <c r="A1" s="153"/>
      <c r="B1" s="153"/>
      <c r="C1" s="154" t="s">
        <v>42</v>
      </c>
      <c r="D1" s="154" t="s">
        <v>42</v>
      </c>
      <c r="E1" s="154" t="s">
        <v>42</v>
      </c>
      <c r="F1" s="154" t="s">
        <v>42</v>
      </c>
      <c r="G1" s="154" t="s">
        <v>42</v>
      </c>
      <c r="H1" s="154" t="s">
        <v>42</v>
      </c>
      <c r="I1" s="155" t="s">
        <v>43</v>
      </c>
      <c r="J1" s="155" t="s">
        <v>43</v>
      </c>
      <c r="K1" s="156" t="s">
        <v>44</v>
      </c>
      <c r="L1" s="156" t="s">
        <v>44</v>
      </c>
      <c r="M1" s="156" t="s">
        <v>44</v>
      </c>
      <c r="N1" s="157" t="s">
        <v>44</v>
      </c>
      <c r="O1" s="156" t="s">
        <v>44</v>
      </c>
      <c r="P1" s="158" t="s">
        <v>45</v>
      </c>
      <c r="Q1" s="158" t="s">
        <v>45</v>
      </c>
      <c r="R1" s="158" t="s">
        <v>45</v>
      </c>
      <c r="S1" s="158" t="s">
        <v>45</v>
      </c>
      <c r="T1" s="158" t="s">
        <v>45</v>
      </c>
      <c r="U1" s="159" t="s">
        <v>46</v>
      </c>
      <c r="V1" s="159" t="s">
        <v>46</v>
      </c>
      <c r="W1" s="160" t="s">
        <v>47</v>
      </c>
      <c r="X1" s="160" t="s">
        <v>47</v>
      </c>
      <c r="Y1" s="161" t="s">
        <v>48</v>
      </c>
      <c r="Z1" s="161" t="s">
        <v>48</v>
      </c>
      <c r="AA1" s="161" t="s">
        <v>48</v>
      </c>
      <c r="AB1" s="161" t="s">
        <v>48</v>
      </c>
      <c r="AC1" s="161" t="s">
        <v>48</v>
      </c>
      <c r="AD1" s="162" t="s">
        <v>49</v>
      </c>
      <c r="AE1" s="162" t="s">
        <v>49</v>
      </c>
      <c r="AF1" s="162" t="s">
        <v>49</v>
      </c>
      <c r="AG1" s="162" t="s">
        <v>49</v>
      </c>
    </row>
    <row r="2" spans="1:33" x14ac:dyDescent="0.25">
      <c r="B2" s="165">
        <v>1</v>
      </c>
      <c r="C2" s="165">
        <v>2</v>
      </c>
      <c r="D2" s="165">
        <v>3</v>
      </c>
      <c r="E2" s="165">
        <v>4</v>
      </c>
      <c r="F2" s="165">
        <v>5</v>
      </c>
      <c r="G2" s="165">
        <v>6</v>
      </c>
      <c r="H2" s="165">
        <v>7</v>
      </c>
      <c r="I2" s="165">
        <v>8</v>
      </c>
      <c r="J2" s="165">
        <v>9</v>
      </c>
      <c r="K2" s="165">
        <v>10</v>
      </c>
      <c r="L2" s="165">
        <v>11</v>
      </c>
      <c r="M2" s="165">
        <v>12</v>
      </c>
      <c r="N2" s="165">
        <v>13</v>
      </c>
      <c r="O2" s="165">
        <v>14</v>
      </c>
      <c r="P2" s="165">
        <v>15</v>
      </c>
      <c r="Q2" s="165">
        <v>16</v>
      </c>
      <c r="R2" s="165">
        <v>17</v>
      </c>
      <c r="S2" s="165">
        <v>18</v>
      </c>
      <c r="T2" s="165">
        <v>19</v>
      </c>
      <c r="U2" s="165">
        <v>20</v>
      </c>
      <c r="V2" s="165">
        <v>21</v>
      </c>
      <c r="W2" s="165">
        <v>22</v>
      </c>
      <c r="X2" s="165">
        <v>23</v>
      </c>
      <c r="Y2" s="165">
        <v>24</v>
      </c>
      <c r="Z2" s="165">
        <v>25</v>
      </c>
      <c r="AA2" s="165">
        <v>26</v>
      </c>
      <c r="AB2" s="165">
        <v>27</v>
      </c>
      <c r="AC2" s="165">
        <v>28</v>
      </c>
      <c r="AD2" s="165">
        <v>29</v>
      </c>
      <c r="AE2" s="165">
        <v>30</v>
      </c>
      <c r="AF2" s="165">
        <v>31</v>
      </c>
      <c r="AG2" s="165">
        <v>32</v>
      </c>
    </row>
    <row r="3" spans="1:33" ht="87.5" x14ac:dyDescent="0.25">
      <c r="A3" s="164" t="s">
        <v>50</v>
      </c>
      <c r="B3" s="164" t="s">
        <v>51</v>
      </c>
      <c r="C3" s="166" t="s">
        <v>52</v>
      </c>
      <c r="D3" s="166" t="s">
        <v>53</v>
      </c>
      <c r="E3" s="166" t="s">
        <v>54</v>
      </c>
      <c r="F3" s="166" t="s">
        <v>55</v>
      </c>
      <c r="G3" s="166" t="s">
        <v>56</v>
      </c>
      <c r="H3" s="166" t="s">
        <v>57</v>
      </c>
      <c r="I3" s="167" t="s">
        <v>58</v>
      </c>
      <c r="J3" s="167" t="s">
        <v>59</v>
      </c>
      <c r="K3" s="168" t="s">
        <v>60</v>
      </c>
      <c r="L3" s="168" t="s">
        <v>61</v>
      </c>
      <c r="M3" s="168" t="s">
        <v>62</v>
      </c>
      <c r="N3" s="169" t="s">
        <v>63</v>
      </c>
      <c r="O3" s="168" t="s">
        <v>64</v>
      </c>
      <c r="P3" s="170" t="s">
        <v>65</v>
      </c>
      <c r="Q3" s="170" t="s">
        <v>66</v>
      </c>
      <c r="R3" s="170" t="s">
        <v>62</v>
      </c>
      <c r="S3" s="170" t="s">
        <v>67</v>
      </c>
      <c r="T3" s="170" t="s">
        <v>68</v>
      </c>
      <c r="U3" s="171" t="s">
        <v>69</v>
      </c>
      <c r="V3" s="171" t="s">
        <v>70</v>
      </c>
      <c r="W3" s="172" t="s">
        <v>71</v>
      </c>
      <c r="X3" s="172" t="s">
        <v>72</v>
      </c>
      <c r="Y3" s="173" t="s">
        <v>73</v>
      </c>
      <c r="Z3" s="173" t="s">
        <v>74</v>
      </c>
      <c r="AA3" s="173" t="s">
        <v>75</v>
      </c>
      <c r="AB3" s="173" t="s">
        <v>76</v>
      </c>
      <c r="AC3" s="173" t="s">
        <v>77</v>
      </c>
      <c r="AD3" s="174" t="s">
        <v>78</v>
      </c>
      <c r="AE3" s="174" t="s">
        <v>79</v>
      </c>
      <c r="AF3" s="174" t="s">
        <v>80</v>
      </c>
      <c r="AG3" s="174" t="s">
        <v>81</v>
      </c>
    </row>
    <row r="4" spans="1:33" x14ac:dyDescent="0.25">
      <c r="A4" s="381" t="s">
        <v>15</v>
      </c>
      <c r="B4" s="381" t="s">
        <v>15</v>
      </c>
      <c r="C4" s="382">
        <v>2105206</v>
      </c>
      <c r="D4" s="382">
        <v>9508</v>
      </c>
      <c r="E4" s="382">
        <v>127879</v>
      </c>
      <c r="F4" s="382">
        <v>268665</v>
      </c>
      <c r="G4" s="382">
        <v>160768</v>
      </c>
      <c r="H4" s="383">
        <v>2672026</v>
      </c>
      <c r="I4" s="382">
        <v>2511258</v>
      </c>
      <c r="J4" s="382">
        <v>11479</v>
      </c>
      <c r="K4" s="384">
        <v>96.61</v>
      </c>
      <c r="L4" s="384">
        <v>95.96</v>
      </c>
      <c r="M4" s="384">
        <v>6.46</v>
      </c>
      <c r="N4" s="384">
        <v>100.38</v>
      </c>
      <c r="O4" s="385">
        <v>1844420</v>
      </c>
      <c r="P4" s="382">
        <v>91.25</v>
      </c>
      <c r="Q4" s="382">
        <v>87.12</v>
      </c>
      <c r="R4" s="382">
        <v>35.47</v>
      </c>
      <c r="S4" s="382">
        <v>124.36</v>
      </c>
      <c r="T4" s="382">
        <v>334858</v>
      </c>
      <c r="U4" s="382">
        <v>127.95</v>
      </c>
      <c r="V4" s="382">
        <v>182115</v>
      </c>
      <c r="W4" s="382">
        <v>163.69999999999999</v>
      </c>
      <c r="X4" s="382">
        <v>10633</v>
      </c>
      <c r="Y4" s="382">
        <v>4184</v>
      </c>
      <c r="Z4" s="382">
        <v>5643</v>
      </c>
      <c r="AA4" s="382">
        <v>1982</v>
      </c>
      <c r="AB4" s="382">
        <v>10143</v>
      </c>
      <c r="AC4" s="382">
        <v>5119</v>
      </c>
      <c r="AD4" s="386">
        <v>2049681</v>
      </c>
      <c r="AE4" s="382">
        <v>11473</v>
      </c>
      <c r="AF4" s="382">
        <v>11057</v>
      </c>
      <c r="AG4" s="382">
        <v>22530</v>
      </c>
    </row>
    <row r="5" spans="1:33" x14ac:dyDescent="0.25">
      <c r="A5" s="387" t="s">
        <v>82</v>
      </c>
      <c r="B5" s="387" t="s">
        <v>82</v>
      </c>
      <c r="C5" s="383">
        <v>107657</v>
      </c>
      <c r="D5" s="383">
        <v>171</v>
      </c>
      <c r="E5" s="383">
        <v>7660</v>
      </c>
      <c r="F5" s="383">
        <v>24320</v>
      </c>
      <c r="G5" s="383">
        <v>11246</v>
      </c>
      <c r="H5" s="383">
        <v>151054</v>
      </c>
      <c r="I5" s="382">
        <v>139808</v>
      </c>
      <c r="J5" s="382">
        <v>397</v>
      </c>
      <c r="K5" s="384">
        <v>88.89</v>
      </c>
      <c r="L5" s="384">
        <v>87.96</v>
      </c>
      <c r="M5" s="384">
        <v>4.72</v>
      </c>
      <c r="N5" s="384">
        <v>91.84</v>
      </c>
      <c r="O5" s="385">
        <v>94120</v>
      </c>
      <c r="P5" s="382">
        <v>86.63</v>
      </c>
      <c r="Q5" s="382">
        <v>81.400000000000006</v>
      </c>
      <c r="R5" s="382">
        <v>27.37</v>
      </c>
      <c r="S5" s="382">
        <v>112.14</v>
      </c>
      <c r="T5" s="382">
        <v>28261</v>
      </c>
      <c r="U5" s="382">
        <v>104.31</v>
      </c>
      <c r="V5" s="382">
        <v>8737</v>
      </c>
      <c r="W5" s="382">
        <v>158.93</v>
      </c>
      <c r="X5" s="382">
        <v>478</v>
      </c>
      <c r="Y5" s="382">
        <v>426</v>
      </c>
      <c r="Z5" s="382">
        <v>292</v>
      </c>
      <c r="AA5" s="382">
        <v>71</v>
      </c>
      <c r="AB5" s="382">
        <v>757</v>
      </c>
      <c r="AC5" s="382">
        <v>341</v>
      </c>
      <c r="AD5" s="386">
        <v>104932</v>
      </c>
      <c r="AE5" s="382">
        <v>607</v>
      </c>
      <c r="AF5" s="382">
        <v>427</v>
      </c>
      <c r="AG5" s="382">
        <v>1034</v>
      </c>
    </row>
    <row r="6" spans="1:33" x14ac:dyDescent="0.25">
      <c r="A6" s="387" t="s">
        <v>83</v>
      </c>
      <c r="B6" s="387" t="s">
        <v>83</v>
      </c>
      <c r="C6" s="383">
        <v>208251</v>
      </c>
      <c r="D6" s="383">
        <v>1461</v>
      </c>
      <c r="E6" s="383">
        <v>12504</v>
      </c>
      <c r="F6" s="383">
        <v>29892</v>
      </c>
      <c r="G6" s="383">
        <v>16476</v>
      </c>
      <c r="H6" s="383">
        <v>268584</v>
      </c>
      <c r="I6" s="382">
        <v>252108</v>
      </c>
      <c r="J6" s="382">
        <v>1399</v>
      </c>
      <c r="K6" s="384">
        <v>100.75</v>
      </c>
      <c r="L6" s="384">
        <v>97.65</v>
      </c>
      <c r="M6" s="384">
        <v>5.62</v>
      </c>
      <c r="N6" s="384">
        <v>103.45</v>
      </c>
      <c r="O6" s="385">
        <v>182354</v>
      </c>
      <c r="P6" s="382">
        <v>92.3</v>
      </c>
      <c r="Q6" s="382">
        <v>88.59</v>
      </c>
      <c r="R6" s="382">
        <v>34.369999999999997</v>
      </c>
      <c r="S6" s="382">
        <v>124.04</v>
      </c>
      <c r="T6" s="382">
        <v>36437</v>
      </c>
      <c r="U6" s="382">
        <v>130.97</v>
      </c>
      <c r="V6" s="382">
        <v>20288</v>
      </c>
      <c r="W6" s="382">
        <v>159.5</v>
      </c>
      <c r="X6" s="382">
        <v>468</v>
      </c>
      <c r="Y6" s="382">
        <v>156</v>
      </c>
      <c r="Z6" s="382">
        <v>468</v>
      </c>
      <c r="AA6" s="382">
        <v>54</v>
      </c>
      <c r="AB6" s="382">
        <v>1064</v>
      </c>
      <c r="AC6" s="382">
        <v>515</v>
      </c>
      <c r="AD6" s="386">
        <v>206239</v>
      </c>
      <c r="AE6" s="382">
        <v>899</v>
      </c>
      <c r="AF6" s="382">
        <v>723</v>
      </c>
      <c r="AG6" s="382">
        <v>1622</v>
      </c>
    </row>
    <row r="7" spans="1:33" x14ac:dyDescent="0.25">
      <c r="A7" s="387" t="s">
        <v>84</v>
      </c>
      <c r="B7" s="387" t="s">
        <v>84</v>
      </c>
      <c r="C7" s="383">
        <v>347009</v>
      </c>
      <c r="D7" s="383">
        <v>5248</v>
      </c>
      <c r="E7" s="383">
        <v>26813</v>
      </c>
      <c r="F7" s="383">
        <v>28174</v>
      </c>
      <c r="G7" s="383">
        <v>44240</v>
      </c>
      <c r="H7" s="383">
        <v>451484</v>
      </c>
      <c r="I7" s="382">
        <v>407244</v>
      </c>
      <c r="J7" s="382">
        <v>1918</v>
      </c>
      <c r="K7" s="384">
        <v>124.07</v>
      </c>
      <c r="L7" s="384">
        <v>125.36</v>
      </c>
      <c r="M7" s="384">
        <v>10.8</v>
      </c>
      <c r="N7" s="384">
        <v>131.88</v>
      </c>
      <c r="O7" s="385">
        <v>293616</v>
      </c>
      <c r="P7" s="382">
        <v>111.92</v>
      </c>
      <c r="Q7" s="382">
        <v>108.89</v>
      </c>
      <c r="R7" s="382">
        <v>47.79</v>
      </c>
      <c r="S7" s="382">
        <v>155.19999999999999</v>
      </c>
      <c r="T7" s="382">
        <v>43150</v>
      </c>
      <c r="U7" s="382">
        <v>186.55</v>
      </c>
      <c r="V7" s="382">
        <v>26596</v>
      </c>
      <c r="W7" s="382">
        <v>206.95</v>
      </c>
      <c r="X7" s="382">
        <v>933</v>
      </c>
      <c r="Y7" s="382">
        <v>470</v>
      </c>
      <c r="Z7" s="382">
        <v>307</v>
      </c>
      <c r="AA7" s="382">
        <v>395</v>
      </c>
      <c r="AB7" s="382">
        <v>2810</v>
      </c>
      <c r="AC7" s="382">
        <v>1786</v>
      </c>
      <c r="AD7" s="386">
        <v>328147</v>
      </c>
      <c r="AE7" s="382">
        <v>1514</v>
      </c>
      <c r="AF7" s="382">
        <v>2067</v>
      </c>
      <c r="AG7" s="382">
        <v>3581</v>
      </c>
    </row>
    <row r="8" spans="1:33" x14ac:dyDescent="0.25">
      <c r="A8" s="387" t="s">
        <v>85</v>
      </c>
      <c r="B8" s="387" t="s">
        <v>85</v>
      </c>
      <c r="C8" s="383">
        <v>156715</v>
      </c>
      <c r="D8" s="383">
        <v>598</v>
      </c>
      <c r="E8" s="383">
        <v>5484</v>
      </c>
      <c r="F8" s="383">
        <v>16517</v>
      </c>
      <c r="G8" s="383">
        <v>2938</v>
      </c>
      <c r="H8" s="383">
        <v>182252</v>
      </c>
      <c r="I8" s="382">
        <v>179314</v>
      </c>
      <c r="J8" s="382">
        <v>3428</v>
      </c>
      <c r="K8" s="384">
        <v>79.25</v>
      </c>
      <c r="L8" s="384">
        <v>79.239999999999995</v>
      </c>
      <c r="M8" s="384">
        <v>7.06</v>
      </c>
      <c r="N8" s="384">
        <v>81.52</v>
      </c>
      <c r="O8" s="385">
        <v>142931</v>
      </c>
      <c r="P8" s="382">
        <v>84.05</v>
      </c>
      <c r="Q8" s="382">
        <v>76.52</v>
      </c>
      <c r="R8" s="382">
        <v>40.72</v>
      </c>
      <c r="S8" s="382">
        <v>120.77</v>
      </c>
      <c r="T8" s="382">
        <v>19199</v>
      </c>
      <c r="U8" s="382">
        <v>95.6</v>
      </c>
      <c r="V8" s="382">
        <v>11473</v>
      </c>
      <c r="W8" s="382">
        <v>155.34</v>
      </c>
      <c r="X8" s="382">
        <v>1626</v>
      </c>
      <c r="Y8" s="382">
        <v>78</v>
      </c>
      <c r="Z8" s="382">
        <v>492</v>
      </c>
      <c r="AA8" s="382">
        <v>157</v>
      </c>
      <c r="AB8" s="382">
        <v>187</v>
      </c>
      <c r="AC8" s="382">
        <v>116</v>
      </c>
      <c r="AD8" s="386">
        <v>154136</v>
      </c>
      <c r="AE8" s="382">
        <v>1444</v>
      </c>
      <c r="AF8" s="382">
        <v>914</v>
      </c>
      <c r="AG8" s="382">
        <v>2358</v>
      </c>
    </row>
    <row r="9" spans="1:33" x14ac:dyDescent="0.25">
      <c r="A9" s="387" t="s">
        <v>86</v>
      </c>
      <c r="B9" s="387" t="s">
        <v>86</v>
      </c>
      <c r="C9" s="383">
        <v>426418</v>
      </c>
      <c r="D9" s="383">
        <v>353</v>
      </c>
      <c r="E9" s="383">
        <v>19587</v>
      </c>
      <c r="F9" s="383">
        <v>54147</v>
      </c>
      <c r="G9" s="383">
        <v>12521</v>
      </c>
      <c r="H9" s="383">
        <v>513026</v>
      </c>
      <c r="I9" s="382">
        <v>500505</v>
      </c>
      <c r="J9" s="382">
        <v>1713</v>
      </c>
      <c r="K9" s="384">
        <v>83.66</v>
      </c>
      <c r="L9" s="384">
        <v>83.37</v>
      </c>
      <c r="M9" s="384">
        <v>4.83</v>
      </c>
      <c r="N9" s="384">
        <v>86.18</v>
      </c>
      <c r="O9" s="385">
        <v>378879</v>
      </c>
      <c r="P9" s="382">
        <v>84.03</v>
      </c>
      <c r="Q9" s="382">
        <v>79.510000000000005</v>
      </c>
      <c r="R9" s="382">
        <v>30.76</v>
      </c>
      <c r="S9" s="382">
        <v>112.33</v>
      </c>
      <c r="T9" s="382">
        <v>66935</v>
      </c>
      <c r="U9" s="382">
        <v>104.18</v>
      </c>
      <c r="V9" s="382">
        <v>37258</v>
      </c>
      <c r="W9" s="382">
        <v>141.56</v>
      </c>
      <c r="X9" s="382">
        <v>1429</v>
      </c>
      <c r="Y9" s="382">
        <v>701</v>
      </c>
      <c r="Z9" s="382">
        <v>2118</v>
      </c>
      <c r="AA9" s="382">
        <v>582</v>
      </c>
      <c r="AB9" s="382">
        <v>750</v>
      </c>
      <c r="AC9" s="382">
        <v>305</v>
      </c>
      <c r="AD9" s="386">
        <v>416705</v>
      </c>
      <c r="AE9" s="382">
        <v>2565</v>
      </c>
      <c r="AF9" s="382">
        <v>2567</v>
      </c>
      <c r="AG9" s="382">
        <v>5132</v>
      </c>
    </row>
    <row r="10" spans="1:33" x14ac:dyDescent="0.25">
      <c r="A10" s="387" t="s">
        <v>87</v>
      </c>
      <c r="B10" s="387" t="s">
        <v>87</v>
      </c>
      <c r="C10" s="383">
        <v>287560</v>
      </c>
      <c r="D10" s="383">
        <v>637</v>
      </c>
      <c r="E10" s="383">
        <v>14704</v>
      </c>
      <c r="F10" s="383">
        <v>37795</v>
      </c>
      <c r="G10" s="383">
        <v>36610</v>
      </c>
      <c r="H10" s="383">
        <v>377306</v>
      </c>
      <c r="I10" s="382">
        <v>340696</v>
      </c>
      <c r="J10" s="382">
        <v>1142</v>
      </c>
      <c r="K10" s="384">
        <v>109.39</v>
      </c>
      <c r="L10" s="384">
        <v>108.45</v>
      </c>
      <c r="M10" s="384">
        <v>5.87</v>
      </c>
      <c r="N10" s="384">
        <v>113.14</v>
      </c>
      <c r="O10" s="385">
        <v>246299</v>
      </c>
      <c r="P10" s="382">
        <v>97.58</v>
      </c>
      <c r="Q10" s="382">
        <v>93.03</v>
      </c>
      <c r="R10" s="382">
        <v>32.11</v>
      </c>
      <c r="S10" s="382">
        <v>128.03</v>
      </c>
      <c r="T10" s="382">
        <v>42467</v>
      </c>
      <c r="U10" s="382">
        <v>149.08000000000001</v>
      </c>
      <c r="V10" s="382">
        <v>30519</v>
      </c>
      <c r="W10" s="382">
        <v>168.04</v>
      </c>
      <c r="X10" s="382">
        <v>1752</v>
      </c>
      <c r="Y10" s="382">
        <v>1672</v>
      </c>
      <c r="Z10" s="382">
        <v>433</v>
      </c>
      <c r="AA10" s="382">
        <v>198</v>
      </c>
      <c r="AB10" s="382">
        <v>2361</v>
      </c>
      <c r="AC10" s="382">
        <v>1074</v>
      </c>
      <c r="AD10" s="386">
        <v>280623</v>
      </c>
      <c r="AE10" s="382">
        <v>1084</v>
      </c>
      <c r="AF10" s="382">
        <v>1058</v>
      </c>
      <c r="AG10" s="382">
        <v>2142</v>
      </c>
    </row>
    <row r="11" spans="1:33" x14ac:dyDescent="0.25">
      <c r="A11" s="387" t="s">
        <v>88</v>
      </c>
      <c r="B11" s="387" t="s">
        <v>88</v>
      </c>
      <c r="C11" s="383">
        <v>191354</v>
      </c>
      <c r="D11" s="383">
        <v>309</v>
      </c>
      <c r="E11" s="383">
        <v>12907</v>
      </c>
      <c r="F11" s="383">
        <v>30562</v>
      </c>
      <c r="G11" s="383">
        <v>16674</v>
      </c>
      <c r="H11" s="383">
        <v>251806</v>
      </c>
      <c r="I11" s="382">
        <v>235132</v>
      </c>
      <c r="J11" s="382">
        <v>272</v>
      </c>
      <c r="K11" s="384">
        <v>93.64</v>
      </c>
      <c r="L11" s="384">
        <v>92.19</v>
      </c>
      <c r="M11" s="384">
        <v>4.87</v>
      </c>
      <c r="N11" s="384">
        <v>96.74</v>
      </c>
      <c r="O11" s="385">
        <v>165413</v>
      </c>
      <c r="P11" s="382">
        <v>87.25</v>
      </c>
      <c r="Q11" s="382">
        <v>83.17</v>
      </c>
      <c r="R11" s="382">
        <v>28.92</v>
      </c>
      <c r="S11" s="382">
        <v>114.86</v>
      </c>
      <c r="T11" s="382">
        <v>36595</v>
      </c>
      <c r="U11" s="382">
        <v>122.01</v>
      </c>
      <c r="V11" s="382">
        <v>18045</v>
      </c>
      <c r="W11" s="382">
        <v>148.12</v>
      </c>
      <c r="X11" s="382">
        <v>1076</v>
      </c>
      <c r="Y11" s="382">
        <v>441</v>
      </c>
      <c r="Z11" s="382">
        <v>469</v>
      </c>
      <c r="AA11" s="382">
        <v>146</v>
      </c>
      <c r="AB11" s="382">
        <v>1253</v>
      </c>
      <c r="AC11" s="382">
        <v>385</v>
      </c>
      <c r="AD11" s="386">
        <v>184815</v>
      </c>
      <c r="AE11" s="382">
        <v>594</v>
      </c>
      <c r="AF11" s="382">
        <v>853</v>
      </c>
      <c r="AG11" s="382">
        <v>1447</v>
      </c>
    </row>
    <row r="12" spans="1:33" x14ac:dyDescent="0.25">
      <c r="A12" s="387" t="s">
        <v>89</v>
      </c>
      <c r="B12" s="387" t="s">
        <v>89</v>
      </c>
      <c r="C12" s="383">
        <v>215356</v>
      </c>
      <c r="D12" s="383">
        <v>248</v>
      </c>
      <c r="E12" s="383">
        <v>16735</v>
      </c>
      <c r="F12" s="383">
        <v>28579</v>
      </c>
      <c r="G12" s="383">
        <v>14450</v>
      </c>
      <c r="H12" s="383">
        <v>275368</v>
      </c>
      <c r="I12" s="382">
        <v>260918</v>
      </c>
      <c r="J12" s="382">
        <v>593</v>
      </c>
      <c r="K12" s="384">
        <v>89.92</v>
      </c>
      <c r="L12" s="384">
        <v>89.26</v>
      </c>
      <c r="M12" s="384">
        <v>5.63</v>
      </c>
      <c r="N12" s="384">
        <v>93.65</v>
      </c>
      <c r="O12" s="385">
        <v>192649</v>
      </c>
      <c r="P12" s="382">
        <v>86.56</v>
      </c>
      <c r="Q12" s="382">
        <v>84.94</v>
      </c>
      <c r="R12" s="382">
        <v>43.32</v>
      </c>
      <c r="S12" s="382">
        <v>128.21</v>
      </c>
      <c r="T12" s="382">
        <v>36213</v>
      </c>
      <c r="U12" s="382">
        <v>108.1</v>
      </c>
      <c r="V12" s="382">
        <v>16035</v>
      </c>
      <c r="W12" s="382">
        <v>176.22</v>
      </c>
      <c r="X12" s="382">
        <v>2262</v>
      </c>
      <c r="Y12" s="382">
        <v>4</v>
      </c>
      <c r="Z12" s="382">
        <v>600</v>
      </c>
      <c r="AA12" s="382">
        <v>328</v>
      </c>
      <c r="AB12" s="382">
        <v>639</v>
      </c>
      <c r="AC12" s="382">
        <v>415</v>
      </c>
      <c r="AD12" s="386">
        <v>210788</v>
      </c>
      <c r="AE12" s="382">
        <v>918</v>
      </c>
      <c r="AF12" s="382">
        <v>956</v>
      </c>
      <c r="AG12" s="382">
        <v>1874</v>
      </c>
    </row>
    <row r="13" spans="1:33" x14ac:dyDescent="0.25">
      <c r="A13" s="387" t="s">
        <v>792</v>
      </c>
      <c r="B13" s="387" t="s">
        <v>792</v>
      </c>
      <c r="C13" s="383">
        <v>164886</v>
      </c>
      <c r="D13" s="383">
        <v>483</v>
      </c>
      <c r="E13" s="383">
        <v>11485</v>
      </c>
      <c r="F13" s="383">
        <v>18679</v>
      </c>
      <c r="G13" s="383">
        <v>5613</v>
      </c>
      <c r="H13" s="383">
        <v>201146</v>
      </c>
      <c r="I13" s="382">
        <v>195533</v>
      </c>
      <c r="J13" s="382">
        <v>617</v>
      </c>
      <c r="K13" s="384">
        <v>82.62</v>
      </c>
      <c r="L13" s="384">
        <v>81.83</v>
      </c>
      <c r="M13" s="384">
        <v>5.46</v>
      </c>
      <c r="N13" s="384">
        <v>85.77</v>
      </c>
      <c r="O13" s="385">
        <v>148159</v>
      </c>
      <c r="P13" s="382">
        <v>86.16</v>
      </c>
      <c r="Q13" s="382">
        <v>77.55</v>
      </c>
      <c r="R13" s="382">
        <v>37.9</v>
      </c>
      <c r="S13" s="382">
        <v>122.47</v>
      </c>
      <c r="T13" s="382">
        <v>25601</v>
      </c>
      <c r="U13" s="382">
        <v>99.49</v>
      </c>
      <c r="V13" s="382">
        <v>13164</v>
      </c>
      <c r="W13" s="382">
        <v>147.18</v>
      </c>
      <c r="X13" s="382">
        <v>609</v>
      </c>
      <c r="Y13" s="382">
        <v>236</v>
      </c>
      <c r="Z13" s="382">
        <v>464</v>
      </c>
      <c r="AA13" s="382">
        <v>51</v>
      </c>
      <c r="AB13" s="382">
        <v>322</v>
      </c>
      <c r="AC13" s="382">
        <v>182</v>
      </c>
      <c r="AD13" s="386">
        <v>163296</v>
      </c>
      <c r="AE13" s="382">
        <v>1848</v>
      </c>
      <c r="AF13" s="382">
        <v>1492</v>
      </c>
      <c r="AG13" s="382">
        <v>3340</v>
      </c>
    </row>
    <row r="14" spans="1:33" x14ac:dyDescent="0.25">
      <c r="A14" s="381" t="s">
        <v>90</v>
      </c>
      <c r="B14" s="387" t="s">
        <v>91</v>
      </c>
      <c r="C14" s="383">
        <v>898</v>
      </c>
      <c r="D14" s="383">
        <v>0</v>
      </c>
      <c r="E14" s="383">
        <v>59</v>
      </c>
      <c r="F14" s="383">
        <v>51</v>
      </c>
      <c r="G14" s="383">
        <v>114</v>
      </c>
      <c r="H14" s="383">
        <v>1122</v>
      </c>
      <c r="I14" s="382">
        <v>1008</v>
      </c>
      <c r="J14" s="382">
        <v>0</v>
      </c>
      <c r="K14" s="384">
        <v>110.35</v>
      </c>
      <c r="L14" s="384">
        <v>108.32</v>
      </c>
      <c r="M14" s="384">
        <v>7.13</v>
      </c>
      <c r="N14" s="384">
        <v>115.8</v>
      </c>
      <c r="O14" s="385">
        <v>796</v>
      </c>
      <c r="P14" s="382">
        <v>97.79</v>
      </c>
      <c r="Q14" s="382">
        <v>95.33</v>
      </c>
      <c r="R14" s="382">
        <v>41.95</v>
      </c>
      <c r="S14" s="382">
        <v>139.72999999999999</v>
      </c>
      <c r="T14" s="382">
        <v>88</v>
      </c>
      <c r="U14" s="382">
        <v>148.01</v>
      </c>
      <c r="V14" s="382">
        <v>74</v>
      </c>
      <c r="W14" s="382">
        <v>142.56</v>
      </c>
      <c r="X14" s="382">
        <v>14</v>
      </c>
      <c r="Y14" s="382">
        <v>0</v>
      </c>
      <c r="Z14" s="382">
        <v>0</v>
      </c>
      <c r="AA14" s="382">
        <v>0</v>
      </c>
      <c r="AB14" s="382">
        <v>14</v>
      </c>
      <c r="AC14" s="382">
        <v>4</v>
      </c>
      <c r="AD14" s="386">
        <v>877</v>
      </c>
      <c r="AE14" s="386">
        <v>3</v>
      </c>
      <c r="AF14" s="386">
        <v>2</v>
      </c>
      <c r="AG14" s="386">
        <v>5</v>
      </c>
    </row>
    <row r="15" spans="1:33" x14ac:dyDescent="0.25">
      <c r="A15" s="381" t="s">
        <v>92</v>
      </c>
      <c r="B15" s="387" t="s">
        <v>93</v>
      </c>
      <c r="C15" s="383">
        <v>8212</v>
      </c>
      <c r="D15" s="383">
        <v>55</v>
      </c>
      <c r="E15" s="383">
        <v>96</v>
      </c>
      <c r="F15" s="383">
        <v>388</v>
      </c>
      <c r="G15" s="383">
        <v>104</v>
      </c>
      <c r="H15" s="383">
        <v>8855</v>
      </c>
      <c r="I15" s="382">
        <v>8751</v>
      </c>
      <c r="J15" s="382">
        <v>12</v>
      </c>
      <c r="K15" s="384">
        <v>85.88</v>
      </c>
      <c r="L15" s="384">
        <v>86.89</v>
      </c>
      <c r="M15" s="384">
        <v>2.1</v>
      </c>
      <c r="N15" s="384">
        <v>87.6</v>
      </c>
      <c r="O15" s="385">
        <v>7339</v>
      </c>
      <c r="P15" s="382">
        <v>77.680000000000007</v>
      </c>
      <c r="Q15" s="382">
        <v>76.989999999999995</v>
      </c>
      <c r="R15" s="382">
        <v>33.549999999999997</v>
      </c>
      <c r="S15" s="382">
        <v>111</v>
      </c>
      <c r="T15" s="382">
        <v>442</v>
      </c>
      <c r="U15" s="382">
        <v>108.43</v>
      </c>
      <c r="V15" s="382">
        <v>395</v>
      </c>
      <c r="W15" s="382">
        <v>141.72</v>
      </c>
      <c r="X15" s="382">
        <v>34</v>
      </c>
      <c r="Y15" s="382">
        <v>0</v>
      </c>
      <c r="Z15" s="382">
        <v>10</v>
      </c>
      <c r="AA15" s="382">
        <v>0</v>
      </c>
      <c r="AB15" s="382">
        <v>10</v>
      </c>
      <c r="AC15" s="382">
        <v>1</v>
      </c>
      <c r="AD15" s="386">
        <v>7554</v>
      </c>
      <c r="AE15" s="386">
        <v>59</v>
      </c>
      <c r="AF15" s="386">
        <v>26</v>
      </c>
      <c r="AG15" s="386">
        <v>85</v>
      </c>
    </row>
    <row r="16" spans="1:33" x14ac:dyDescent="0.25">
      <c r="A16" s="381" t="s">
        <v>94</v>
      </c>
      <c r="B16" s="387" t="s">
        <v>95</v>
      </c>
      <c r="C16" s="383">
        <v>4476</v>
      </c>
      <c r="D16" s="383">
        <v>0</v>
      </c>
      <c r="E16" s="383">
        <v>138</v>
      </c>
      <c r="F16" s="383">
        <v>2437</v>
      </c>
      <c r="G16" s="383">
        <v>120</v>
      </c>
      <c r="H16" s="383">
        <v>7171</v>
      </c>
      <c r="I16" s="382">
        <v>7051</v>
      </c>
      <c r="J16" s="382">
        <v>8</v>
      </c>
      <c r="K16" s="384">
        <v>89.71</v>
      </c>
      <c r="L16" s="384">
        <v>89.38</v>
      </c>
      <c r="M16" s="384">
        <v>2.33</v>
      </c>
      <c r="N16" s="384">
        <v>91.85</v>
      </c>
      <c r="O16" s="385">
        <v>4344</v>
      </c>
      <c r="P16" s="382">
        <v>83.67</v>
      </c>
      <c r="Q16" s="382">
        <v>79.42</v>
      </c>
      <c r="R16" s="382">
        <v>8.11</v>
      </c>
      <c r="S16" s="382">
        <v>91.66</v>
      </c>
      <c r="T16" s="382">
        <v>2542</v>
      </c>
      <c r="U16" s="382">
        <v>98.74</v>
      </c>
      <c r="V16" s="382">
        <v>128</v>
      </c>
      <c r="W16" s="382">
        <v>0</v>
      </c>
      <c r="X16" s="382">
        <v>0</v>
      </c>
      <c r="Y16" s="382">
        <v>0</v>
      </c>
      <c r="Z16" s="382">
        <v>23</v>
      </c>
      <c r="AA16" s="382">
        <v>0</v>
      </c>
      <c r="AB16" s="382">
        <v>10</v>
      </c>
      <c r="AC16" s="382">
        <v>3</v>
      </c>
      <c r="AD16" s="386">
        <v>4476</v>
      </c>
      <c r="AE16" s="386">
        <v>22</v>
      </c>
      <c r="AF16" s="386">
        <v>24</v>
      </c>
      <c r="AG16" s="386">
        <v>46</v>
      </c>
    </row>
    <row r="17" spans="1:33" x14ac:dyDescent="0.25">
      <c r="A17" s="381" t="s">
        <v>96</v>
      </c>
      <c r="B17" s="387" t="s">
        <v>97</v>
      </c>
      <c r="C17" s="383">
        <v>2781</v>
      </c>
      <c r="D17" s="383">
        <v>14</v>
      </c>
      <c r="E17" s="383">
        <v>216</v>
      </c>
      <c r="F17" s="383">
        <v>338</v>
      </c>
      <c r="G17" s="383">
        <v>499</v>
      </c>
      <c r="H17" s="383">
        <v>3848</v>
      </c>
      <c r="I17" s="382">
        <v>3349</v>
      </c>
      <c r="J17" s="382">
        <v>0</v>
      </c>
      <c r="K17" s="384">
        <v>109.7</v>
      </c>
      <c r="L17" s="384">
        <v>109.15</v>
      </c>
      <c r="M17" s="384">
        <v>5.31</v>
      </c>
      <c r="N17" s="384">
        <v>114.05</v>
      </c>
      <c r="O17" s="385">
        <v>2213</v>
      </c>
      <c r="P17" s="382">
        <v>93.43</v>
      </c>
      <c r="Q17" s="382">
        <v>89.42</v>
      </c>
      <c r="R17" s="382">
        <v>34.01</v>
      </c>
      <c r="S17" s="382">
        <v>125.74</v>
      </c>
      <c r="T17" s="382">
        <v>380</v>
      </c>
      <c r="U17" s="382">
        <v>154.88999999999999</v>
      </c>
      <c r="V17" s="382">
        <v>576</v>
      </c>
      <c r="W17" s="382">
        <v>0</v>
      </c>
      <c r="X17" s="382">
        <v>0</v>
      </c>
      <c r="Y17" s="382">
        <v>0</v>
      </c>
      <c r="Z17" s="382">
        <v>0</v>
      </c>
      <c r="AA17" s="382">
        <v>0</v>
      </c>
      <c r="AB17" s="382">
        <v>55</v>
      </c>
      <c r="AC17" s="382">
        <v>10</v>
      </c>
      <c r="AD17" s="386">
        <v>2779</v>
      </c>
      <c r="AE17" s="386">
        <v>4</v>
      </c>
      <c r="AF17" s="386">
        <v>2</v>
      </c>
      <c r="AG17" s="386">
        <v>6</v>
      </c>
    </row>
    <row r="18" spans="1:33" x14ac:dyDescent="0.25">
      <c r="A18" s="381" t="s">
        <v>98</v>
      </c>
      <c r="B18" s="387" t="s">
        <v>99</v>
      </c>
      <c r="C18" s="383">
        <v>1567</v>
      </c>
      <c r="D18" s="383">
        <v>0</v>
      </c>
      <c r="E18" s="383">
        <v>170</v>
      </c>
      <c r="F18" s="383">
        <v>445</v>
      </c>
      <c r="G18" s="383">
        <v>155</v>
      </c>
      <c r="H18" s="383">
        <v>2337</v>
      </c>
      <c r="I18" s="382">
        <v>2182</v>
      </c>
      <c r="J18" s="382">
        <v>0</v>
      </c>
      <c r="K18" s="384">
        <v>87.04</v>
      </c>
      <c r="L18" s="384">
        <v>86.67</v>
      </c>
      <c r="M18" s="384">
        <v>5.23</v>
      </c>
      <c r="N18" s="384">
        <v>89.57</v>
      </c>
      <c r="O18" s="385">
        <v>1352</v>
      </c>
      <c r="P18" s="382">
        <v>96.48</v>
      </c>
      <c r="Q18" s="382">
        <v>88.2</v>
      </c>
      <c r="R18" s="382">
        <v>32.75</v>
      </c>
      <c r="S18" s="382">
        <v>127.57</v>
      </c>
      <c r="T18" s="382">
        <v>394</v>
      </c>
      <c r="U18" s="382">
        <v>99.81</v>
      </c>
      <c r="V18" s="382">
        <v>138</v>
      </c>
      <c r="W18" s="382">
        <v>0</v>
      </c>
      <c r="X18" s="382">
        <v>0</v>
      </c>
      <c r="Y18" s="382">
        <v>0</v>
      </c>
      <c r="Z18" s="382">
        <v>3</v>
      </c>
      <c r="AA18" s="382">
        <v>0</v>
      </c>
      <c r="AB18" s="382">
        <v>3</v>
      </c>
      <c r="AC18" s="382">
        <v>7</v>
      </c>
      <c r="AD18" s="386">
        <v>1567</v>
      </c>
      <c r="AE18" s="386">
        <v>6</v>
      </c>
      <c r="AF18" s="386">
        <v>3</v>
      </c>
      <c r="AG18" s="386">
        <v>9</v>
      </c>
    </row>
    <row r="19" spans="1:33" x14ac:dyDescent="0.25">
      <c r="A19" s="381" t="s">
        <v>100</v>
      </c>
      <c r="B19" s="387" t="s">
        <v>101</v>
      </c>
      <c r="C19" s="383">
        <v>2232</v>
      </c>
      <c r="D19" s="383">
        <v>0</v>
      </c>
      <c r="E19" s="383">
        <v>117</v>
      </c>
      <c r="F19" s="383">
        <v>151</v>
      </c>
      <c r="G19" s="383">
        <v>598</v>
      </c>
      <c r="H19" s="383">
        <v>3098</v>
      </c>
      <c r="I19" s="382">
        <v>2500</v>
      </c>
      <c r="J19" s="382">
        <v>1</v>
      </c>
      <c r="K19" s="384">
        <v>101.37</v>
      </c>
      <c r="L19" s="384">
        <v>99.75</v>
      </c>
      <c r="M19" s="384">
        <v>6.25</v>
      </c>
      <c r="N19" s="384">
        <v>106.6</v>
      </c>
      <c r="O19" s="385">
        <v>1810</v>
      </c>
      <c r="P19" s="382">
        <v>113.54</v>
      </c>
      <c r="Q19" s="382">
        <v>84.89</v>
      </c>
      <c r="R19" s="382">
        <v>52.81</v>
      </c>
      <c r="S19" s="382">
        <v>166.35</v>
      </c>
      <c r="T19" s="382">
        <v>209</v>
      </c>
      <c r="U19" s="382">
        <v>132.86000000000001</v>
      </c>
      <c r="V19" s="382">
        <v>337</v>
      </c>
      <c r="W19" s="382">
        <v>185.98</v>
      </c>
      <c r="X19" s="382">
        <v>59</v>
      </c>
      <c r="Y19" s="382">
        <v>11</v>
      </c>
      <c r="Z19" s="382">
        <v>0</v>
      </c>
      <c r="AA19" s="382">
        <v>0</v>
      </c>
      <c r="AB19" s="382">
        <v>38</v>
      </c>
      <c r="AC19" s="382">
        <v>20</v>
      </c>
      <c r="AD19" s="386">
        <v>2185</v>
      </c>
      <c r="AE19" s="386">
        <v>8</v>
      </c>
      <c r="AF19" s="386">
        <v>3</v>
      </c>
      <c r="AG19" s="386">
        <v>11</v>
      </c>
    </row>
    <row r="20" spans="1:33" x14ac:dyDescent="0.25">
      <c r="A20" s="381" t="s">
        <v>102</v>
      </c>
      <c r="B20" s="387" t="s">
        <v>103</v>
      </c>
      <c r="C20" s="383">
        <v>1722</v>
      </c>
      <c r="D20" s="383">
        <v>0</v>
      </c>
      <c r="E20" s="383">
        <v>121</v>
      </c>
      <c r="F20" s="383">
        <v>92</v>
      </c>
      <c r="G20" s="383">
        <v>174</v>
      </c>
      <c r="H20" s="383">
        <v>2109</v>
      </c>
      <c r="I20" s="382">
        <v>1935</v>
      </c>
      <c r="J20" s="382">
        <v>16</v>
      </c>
      <c r="K20" s="384">
        <v>94.47</v>
      </c>
      <c r="L20" s="384">
        <v>93.78</v>
      </c>
      <c r="M20" s="384">
        <v>3.83</v>
      </c>
      <c r="N20" s="384">
        <v>96.52</v>
      </c>
      <c r="O20" s="385">
        <v>1256</v>
      </c>
      <c r="P20" s="382">
        <v>107.4</v>
      </c>
      <c r="Q20" s="382">
        <v>91.96</v>
      </c>
      <c r="R20" s="382">
        <v>46.27</v>
      </c>
      <c r="S20" s="382">
        <v>150.05000000000001</v>
      </c>
      <c r="T20" s="382">
        <v>192</v>
      </c>
      <c r="U20" s="382">
        <v>115.97</v>
      </c>
      <c r="V20" s="382">
        <v>379</v>
      </c>
      <c r="W20" s="382">
        <v>103.39</v>
      </c>
      <c r="X20" s="382">
        <v>2</v>
      </c>
      <c r="Y20" s="382">
        <v>0</v>
      </c>
      <c r="Z20" s="382">
        <v>0</v>
      </c>
      <c r="AA20" s="382">
        <v>7</v>
      </c>
      <c r="AB20" s="382">
        <v>19</v>
      </c>
      <c r="AC20" s="382">
        <v>2</v>
      </c>
      <c r="AD20" s="386">
        <v>1684</v>
      </c>
      <c r="AE20" s="386">
        <v>6</v>
      </c>
      <c r="AF20" s="386">
        <v>3</v>
      </c>
      <c r="AG20" s="386">
        <v>9</v>
      </c>
    </row>
    <row r="21" spans="1:33" x14ac:dyDescent="0.25">
      <c r="A21" s="381" t="s">
        <v>104</v>
      </c>
      <c r="B21" s="387" t="s">
        <v>105</v>
      </c>
      <c r="C21" s="383">
        <v>4123</v>
      </c>
      <c r="D21" s="383">
        <v>69</v>
      </c>
      <c r="E21" s="383">
        <v>396</v>
      </c>
      <c r="F21" s="383">
        <v>466</v>
      </c>
      <c r="G21" s="383">
        <v>758</v>
      </c>
      <c r="H21" s="383">
        <v>5812</v>
      </c>
      <c r="I21" s="382">
        <v>5054</v>
      </c>
      <c r="J21" s="382">
        <v>3</v>
      </c>
      <c r="K21" s="384">
        <v>128.74</v>
      </c>
      <c r="L21" s="384">
        <v>118.52</v>
      </c>
      <c r="M21" s="384">
        <v>7.15</v>
      </c>
      <c r="N21" s="384">
        <v>132.52000000000001</v>
      </c>
      <c r="O21" s="385">
        <v>2957</v>
      </c>
      <c r="P21" s="382">
        <v>104.96</v>
      </c>
      <c r="Q21" s="382">
        <v>104.13</v>
      </c>
      <c r="R21" s="382">
        <v>55.6</v>
      </c>
      <c r="S21" s="382">
        <v>157.75</v>
      </c>
      <c r="T21" s="382">
        <v>692</v>
      </c>
      <c r="U21" s="382">
        <v>169.81</v>
      </c>
      <c r="V21" s="382">
        <v>728</v>
      </c>
      <c r="W21" s="382">
        <v>0</v>
      </c>
      <c r="X21" s="382">
        <v>0</v>
      </c>
      <c r="Y21" s="382">
        <v>0</v>
      </c>
      <c r="Z21" s="382">
        <v>5</v>
      </c>
      <c r="AA21" s="382">
        <v>1</v>
      </c>
      <c r="AB21" s="382">
        <v>23</v>
      </c>
      <c r="AC21" s="382">
        <v>47</v>
      </c>
      <c r="AD21" s="386">
        <v>4123</v>
      </c>
      <c r="AE21" s="386">
        <v>20</v>
      </c>
      <c r="AF21" s="386">
        <v>4</v>
      </c>
      <c r="AG21" s="386">
        <v>24</v>
      </c>
    </row>
    <row r="22" spans="1:33" x14ac:dyDescent="0.25">
      <c r="A22" s="381" t="s">
        <v>106</v>
      </c>
      <c r="B22" s="387" t="s">
        <v>107</v>
      </c>
      <c r="C22" s="383">
        <v>6776</v>
      </c>
      <c r="D22" s="383">
        <v>17</v>
      </c>
      <c r="E22" s="383">
        <v>562</v>
      </c>
      <c r="F22" s="383">
        <v>1149</v>
      </c>
      <c r="G22" s="383">
        <v>1285</v>
      </c>
      <c r="H22" s="383">
        <v>9789</v>
      </c>
      <c r="I22" s="382">
        <v>8504</v>
      </c>
      <c r="J22" s="382">
        <v>19</v>
      </c>
      <c r="K22" s="384">
        <v>130.38999999999999</v>
      </c>
      <c r="L22" s="384">
        <v>130.54</v>
      </c>
      <c r="M22" s="384">
        <v>12.34</v>
      </c>
      <c r="N22" s="384">
        <v>140.69999999999999</v>
      </c>
      <c r="O22" s="385">
        <v>5618</v>
      </c>
      <c r="P22" s="382">
        <v>115.8</v>
      </c>
      <c r="Q22" s="382">
        <v>112.48</v>
      </c>
      <c r="R22" s="382">
        <v>48.5</v>
      </c>
      <c r="S22" s="382">
        <v>160.21</v>
      </c>
      <c r="T22" s="382">
        <v>794</v>
      </c>
      <c r="U22" s="382">
        <v>203.98</v>
      </c>
      <c r="V22" s="382">
        <v>791</v>
      </c>
      <c r="W22" s="382">
        <v>251</v>
      </c>
      <c r="X22" s="382">
        <v>9</v>
      </c>
      <c r="Y22" s="382">
        <v>0</v>
      </c>
      <c r="Z22" s="382">
        <v>2</v>
      </c>
      <c r="AA22" s="382">
        <v>1</v>
      </c>
      <c r="AB22" s="382">
        <v>168</v>
      </c>
      <c r="AC22" s="382">
        <v>68</v>
      </c>
      <c r="AD22" s="386">
        <v>6554</v>
      </c>
      <c r="AE22" s="386">
        <v>23</v>
      </c>
      <c r="AF22" s="386">
        <v>66</v>
      </c>
      <c r="AG22" s="386">
        <v>89</v>
      </c>
    </row>
    <row r="23" spans="1:33" x14ac:dyDescent="0.25">
      <c r="A23" s="381" t="s">
        <v>108</v>
      </c>
      <c r="B23" s="387" t="s">
        <v>109</v>
      </c>
      <c r="C23" s="383">
        <v>2780</v>
      </c>
      <c r="D23" s="383">
        <v>0</v>
      </c>
      <c r="E23" s="383">
        <v>354</v>
      </c>
      <c r="F23" s="383">
        <v>672</v>
      </c>
      <c r="G23" s="383">
        <v>233</v>
      </c>
      <c r="H23" s="383">
        <v>4039</v>
      </c>
      <c r="I23" s="382">
        <v>3806</v>
      </c>
      <c r="J23" s="382">
        <v>0</v>
      </c>
      <c r="K23" s="384">
        <v>86.92</v>
      </c>
      <c r="L23" s="384">
        <v>85.3</v>
      </c>
      <c r="M23" s="384">
        <v>5.45</v>
      </c>
      <c r="N23" s="384">
        <v>89.4</v>
      </c>
      <c r="O23" s="385">
        <v>1967</v>
      </c>
      <c r="P23" s="382">
        <v>89.01</v>
      </c>
      <c r="Q23" s="382">
        <v>82.53</v>
      </c>
      <c r="R23" s="382">
        <v>37.700000000000003</v>
      </c>
      <c r="S23" s="382">
        <v>125.48</v>
      </c>
      <c r="T23" s="382">
        <v>951</v>
      </c>
      <c r="U23" s="382">
        <v>94.27</v>
      </c>
      <c r="V23" s="382">
        <v>711</v>
      </c>
      <c r="W23" s="382">
        <v>0</v>
      </c>
      <c r="X23" s="382">
        <v>0</v>
      </c>
      <c r="Y23" s="382">
        <v>0</v>
      </c>
      <c r="Z23" s="382">
        <v>1</v>
      </c>
      <c r="AA23" s="382">
        <v>0</v>
      </c>
      <c r="AB23" s="382">
        <v>7</v>
      </c>
      <c r="AC23" s="382">
        <v>5</v>
      </c>
      <c r="AD23" s="386">
        <v>2778</v>
      </c>
      <c r="AE23" s="386">
        <v>16</v>
      </c>
      <c r="AF23" s="386">
        <v>4</v>
      </c>
      <c r="AG23" s="386">
        <v>20</v>
      </c>
    </row>
    <row r="24" spans="1:33" x14ac:dyDescent="0.25">
      <c r="A24" s="381" t="s">
        <v>110</v>
      </c>
      <c r="B24" s="387" t="s">
        <v>111</v>
      </c>
      <c r="C24" s="383">
        <v>507</v>
      </c>
      <c r="D24" s="383">
        <v>0</v>
      </c>
      <c r="E24" s="383">
        <v>96</v>
      </c>
      <c r="F24" s="383">
        <v>209</v>
      </c>
      <c r="G24" s="383">
        <v>11</v>
      </c>
      <c r="H24" s="383">
        <v>823</v>
      </c>
      <c r="I24" s="382">
        <v>812</v>
      </c>
      <c r="J24" s="382">
        <v>6</v>
      </c>
      <c r="K24" s="384">
        <v>81.25</v>
      </c>
      <c r="L24" s="384">
        <v>77.89</v>
      </c>
      <c r="M24" s="384">
        <v>4.53</v>
      </c>
      <c r="N24" s="384">
        <v>83.95</v>
      </c>
      <c r="O24" s="385">
        <v>466</v>
      </c>
      <c r="P24" s="382">
        <v>82.55</v>
      </c>
      <c r="Q24" s="382">
        <v>83.33</v>
      </c>
      <c r="R24" s="382">
        <v>46.57</v>
      </c>
      <c r="S24" s="382">
        <v>127.75</v>
      </c>
      <c r="T24" s="382">
        <v>272</v>
      </c>
      <c r="U24" s="382">
        <v>109.74</v>
      </c>
      <c r="V24" s="382">
        <v>27</v>
      </c>
      <c r="W24" s="382">
        <v>0</v>
      </c>
      <c r="X24" s="382">
        <v>0</v>
      </c>
      <c r="Y24" s="382">
        <v>0</v>
      </c>
      <c r="Z24" s="382">
        <v>0</v>
      </c>
      <c r="AA24" s="382">
        <v>0</v>
      </c>
      <c r="AB24" s="382">
        <v>0</v>
      </c>
      <c r="AC24" s="382">
        <v>0</v>
      </c>
      <c r="AD24" s="386">
        <v>507</v>
      </c>
      <c r="AE24" s="386">
        <v>1</v>
      </c>
      <c r="AF24" s="386">
        <v>0</v>
      </c>
      <c r="AG24" s="386">
        <v>1</v>
      </c>
    </row>
    <row r="25" spans="1:33" x14ac:dyDescent="0.25">
      <c r="A25" s="381" t="s">
        <v>112</v>
      </c>
      <c r="B25" s="387" t="s">
        <v>113</v>
      </c>
      <c r="C25" s="383">
        <v>5282</v>
      </c>
      <c r="D25" s="383">
        <v>0</v>
      </c>
      <c r="E25" s="383">
        <v>212</v>
      </c>
      <c r="F25" s="383">
        <v>361</v>
      </c>
      <c r="G25" s="383">
        <v>643</v>
      </c>
      <c r="H25" s="383">
        <v>6498</v>
      </c>
      <c r="I25" s="382">
        <v>5855</v>
      </c>
      <c r="J25" s="382">
        <v>0</v>
      </c>
      <c r="K25" s="384">
        <v>111.9</v>
      </c>
      <c r="L25" s="384">
        <v>111.95</v>
      </c>
      <c r="M25" s="384">
        <v>5.64</v>
      </c>
      <c r="N25" s="384">
        <v>114.63</v>
      </c>
      <c r="O25" s="385">
        <v>5043</v>
      </c>
      <c r="P25" s="382">
        <v>95.17</v>
      </c>
      <c r="Q25" s="382">
        <v>92.66</v>
      </c>
      <c r="R25" s="382">
        <v>42.13</v>
      </c>
      <c r="S25" s="382">
        <v>135.27000000000001</v>
      </c>
      <c r="T25" s="382">
        <v>455</v>
      </c>
      <c r="U25" s="382">
        <v>129.49</v>
      </c>
      <c r="V25" s="382">
        <v>168</v>
      </c>
      <c r="W25" s="382">
        <v>0</v>
      </c>
      <c r="X25" s="382">
        <v>0</v>
      </c>
      <c r="Y25" s="382">
        <v>0</v>
      </c>
      <c r="Z25" s="382">
        <v>6</v>
      </c>
      <c r="AA25" s="382">
        <v>0</v>
      </c>
      <c r="AB25" s="382">
        <v>24</v>
      </c>
      <c r="AC25" s="382">
        <v>14</v>
      </c>
      <c r="AD25" s="386">
        <v>5282</v>
      </c>
      <c r="AE25" s="386">
        <v>16</v>
      </c>
      <c r="AF25" s="386">
        <v>35</v>
      </c>
      <c r="AG25" s="386">
        <v>51</v>
      </c>
    </row>
    <row r="26" spans="1:33" x14ac:dyDescent="0.25">
      <c r="A26" s="381" t="s">
        <v>114</v>
      </c>
      <c r="B26" s="387" t="s">
        <v>115</v>
      </c>
      <c r="C26" s="383">
        <v>12060</v>
      </c>
      <c r="D26" s="383">
        <v>0</v>
      </c>
      <c r="E26" s="383">
        <v>376</v>
      </c>
      <c r="F26" s="383">
        <v>897</v>
      </c>
      <c r="G26" s="383">
        <v>926</v>
      </c>
      <c r="H26" s="383">
        <v>14259</v>
      </c>
      <c r="I26" s="382">
        <v>13333</v>
      </c>
      <c r="J26" s="382">
        <v>0</v>
      </c>
      <c r="K26" s="384">
        <v>115.32</v>
      </c>
      <c r="L26" s="384">
        <v>113.39</v>
      </c>
      <c r="M26" s="384">
        <v>4.83</v>
      </c>
      <c r="N26" s="384">
        <v>117.18</v>
      </c>
      <c r="O26" s="385">
        <v>11118</v>
      </c>
      <c r="P26" s="382">
        <v>96.41</v>
      </c>
      <c r="Q26" s="382">
        <v>90.21</v>
      </c>
      <c r="R26" s="382">
        <v>29.62</v>
      </c>
      <c r="S26" s="382">
        <v>125.21</v>
      </c>
      <c r="T26" s="382">
        <v>1131</v>
      </c>
      <c r="U26" s="382">
        <v>143.94999999999999</v>
      </c>
      <c r="V26" s="382">
        <v>623</v>
      </c>
      <c r="W26" s="382">
        <v>161.97999999999999</v>
      </c>
      <c r="X26" s="382">
        <v>1</v>
      </c>
      <c r="Y26" s="382">
        <v>29</v>
      </c>
      <c r="Z26" s="382">
        <v>24</v>
      </c>
      <c r="AA26" s="382">
        <v>1</v>
      </c>
      <c r="AB26" s="382">
        <v>47</v>
      </c>
      <c r="AC26" s="382">
        <v>28</v>
      </c>
      <c r="AD26" s="386">
        <v>12058</v>
      </c>
      <c r="AE26" s="386">
        <v>31</v>
      </c>
      <c r="AF26" s="386">
        <v>6</v>
      </c>
      <c r="AG26" s="386">
        <v>37</v>
      </c>
    </row>
    <row r="27" spans="1:33" x14ac:dyDescent="0.25">
      <c r="A27" s="381" t="s">
        <v>116</v>
      </c>
      <c r="B27" s="387" t="s">
        <v>117</v>
      </c>
      <c r="C27" s="383">
        <v>890</v>
      </c>
      <c r="D27" s="383">
        <v>0</v>
      </c>
      <c r="E27" s="383">
        <v>262</v>
      </c>
      <c r="F27" s="383">
        <v>154</v>
      </c>
      <c r="G27" s="383">
        <v>84</v>
      </c>
      <c r="H27" s="383">
        <v>1390</v>
      </c>
      <c r="I27" s="382">
        <v>1306</v>
      </c>
      <c r="J27" s="382">
        <v>3</v>
      </c>
      <c r="K27" s="384">
        <v>88.24</v>
      </c>
      <c r="L27" s="384">
        <v>86.16</v>
      </c>
      <c r="M27" s="384">
        <v>3.15</v>
      </c>
      <c r="N27" s="384">
        <v>90.14</v>
      </c>
      <c r="O27" s="385">
        <v>827</v>
      </c>
      <c r="P27" s="382">
        <v>125.53</v>
      </c>
      <c r="Q27" s="382">
        <v>77.94</v>
      </c>
      <c r="R27" s="382">
        <v>40.85</v>
      </c>
      <c r="S27" s="382">
        <v>165.57</v>
      </c>
      <c r="T27" s="382">
        <v>303</v>
      </c>
      <c r="U27" s="382">
        <v>94.25</v>
      </c>
      <c r="V27" s="382">
        <v>33</v>
      </c>
      <c r="W27" s="382">
        <v>174.74</v>
      </c>
      <c r="X27" s="382">
        <v>4</v>
      </c>
      <c r="Y27" s="382">
        <v>0</v>
      </c>
      <c r="Z27" s="382">
        <v>0</v>
      </c>
      <c r="AA27" s="382">
        <v>1</v>
      </c>
      <c r="AB27" s="382">
        <v>6</v>
      </c>
      <c r="AC27" s="382">
        <v>2</v>
      </c>
      <c r="AD27" s="386">
        <v>887</v>
      </c>
      <c r="AE27" s="386">
        <v>6</v>
      </c>
      <c r="AF27" s="386">
        <v>9</v>
      </c>
      <c r="AG27" s="386">
        <v>15</v>
      </c>
    </row>
    <row r="28" spans="1:33" x14ac:dyDescent="0.25">
      <c r="A28" s="381" t="s">
        <v>118</v>
      </c>
      <c r="B28" s="387" t="s">
        <v>119</v>
      </c>
      <c r="C28" s="383">
        <v>8878</v>
      </c>
      <c r="D28" s="383">
        <v>0</v>
      </c>
      <c r="E28" s="383">
        <v>341</v>
      </c>
      <c r="F28" s="383">
        <v>2128</v>
      </c>
      <c r="G28" s="383">
        <v>452</v>
      </c>
      <c r="H28" s="383">
        <v>11799</v>
      </c>
      <c r="I28" s="382">
        <v>11347</v>
      </c>
      <c r="J28" s="382">
        <v>14</v>
      </c>
      <c r="K28" s="384">
        <v>101.07</v>
      </c>
      <c r="L28" s="384">
        <v>101.35</v>
      </c>
      <c r="M28" s="384">
        <v>4.5999999999999996</v>
      </c>
      <c r="N28" s="384">
        <v>103.82</v>
      </c>
      <c r="O28" s="385">
        <v>8148</v>
      </c>
      <c r="P28" s="382">
        <v>93.56</v>
      </c>
      <c r="Q28" s="382">
        <v>94.77</v>
      </c>
      <c r="R28" s="382">
        <v>14.86</v>
      </c>
      <c r="S28" s="382">
        <v>106.95</v>
      </c>
      <c r="T28" s="382">
        <v>2194</v>
      </c>
      <c r="U28" s="382">
        <v>132.06</v>
      </c>
      <c r="V28" s="382">
        <v>627</v>
      </c>
      <c r="W28" s="382">
        <v>120.55</v>
      </c>
      <c r="X28" s="382">
        <v>77</v>
      </c>
      <c r="Y28" s="382">
        <v>0</v>
      </c>
      <c r="Z28" s="382">
        <v>30</v>
      </c>
      <c r="AA28" s="382">
        <v>60</v>
      </c>
      <c r="AB28" s="382">
        <v>36</v>
      </c>
      <c r="AC28" s="382">
        <v>19</v>
      </c>
      <c r="AD28" s="386">
        <v>8805</v>
      </c>
      <c r="AE28" s="386">
        <v>8</v>
      </c>
      <c r="AF28" s="386">
        <v>52</v>
      </c>
      <c r="AG28" s="386">
        <v>60</v>
      </c>
    </row>
    <row r="29" spans="1:33" x14ac:dyDescent="0.25">
      <c r="A29" s="381" t="s">
        <v>120</v>
      </c>
      <c r="B29" s="387" t="s">
        <v>121</v>
      </c>
      <c r="C29" s="383">
        <v>10451</v>
      </c>
      <c r="D29" s="383">
        <v>0</v>
      </c>
      <c r="E29" s="383">
        <v>350</v>
      </c>
      <c r="F29" s="383">
        <v>1096</v>
      </c>
      <c r="G29" s="383">
        <v>942</v>
      </c>
      <c r="H29" s="383">
        <v>12839</v>
      </c>
      <c r="I29" s="382">
        <v>11897</v>
      </c>
      <c r="J29" s="382">
        <v>6</v>
      </c>
      <c r="K29" s="384">
        <v>99.69</v>
      </c>
      <c r="L29" s="384">
        <v>99.21</v>
      </c>
      <c r="M29" s="384">
        <v>7.95</v>
      </c>
      <c r="N29" s="384">
        <v>105.4</v>
      </c>
      <c r="O29" s="385">
        <v>9231</v>
      </c>
      <c r="P29" s="382">
        <v>96.42</v>
      </c>
      <c r="Q29" s="382">
        <v>90.2</v>
      </c>
      <c r="R29" s="382">
        <v>40.06</v>
      </c>
      <c r="S29" s="382">
        <v>135.88999999999999</v>
      </c>
      <c r="T29" s="382">
        <v>1226</v>
      </c>
      <c r="U29" s="382">
        <v>126.76</v>
      </c>
      <c r="V29" s="382">
        <v>868</v>
      </c>
      <c r="W29" s="382">
        <v>103.57</v>
      </c>
      <c r="X29" s="382">
        <v>5</v>
      </c>
      <c r="Y29" s="382">
        <v>89</v>
      </c>
      <c r="Z29" s="382">
        <v>8</v>
      </c>
      <c r="AA29" s="382">
        <v>0</v>
      </c>
      <c r="AB29" s="382">
        <v>105</v>
      </c>
      <c r="AC29" s="382">
        <v>15</v>
      </c>
      <c r="AD29" s="386">
        <v>10368</v>
      </c>
      <c r="AE29" s="386">
        <v>26</v>
      </c>
      <c r="AF29" s="386">
        <v>26</v>
      </c>
      <c r="AG29" s="386">
        <v>52</v>
      </c>
    </row>
    <row r="30" spans="1:33" x14ac:dyDescent="0.25">
      <c r="A30" s="381" t="s">
        <v>122</v>
      </c>
      <c r="B30" s="387" t="s">
        <v>123</v>
      </c>
      <c r="C30" s="383">
        <v>12055</v>
      </c>
      <c r="D30" s="383">
        <v>54</v>
      </c>
      <c r="E30" s="383">
        <v>104</v>
      </c>
      <c r="F30" s="383">
        <v>1337</v>
      </c>
      <c r="G30" s="383">
        <v>1009</v>
      </c>
      <c r="H30" s="383">
        <v>14559</v>
      </c>
      <c r="I30" s="382">
        <v>13550</v>
      </c>
      <c r="J30" s="382">
        <v>43</v>
      </c>
      <c r="K30" s="384">
        <v>112.67</v>
      </c>
      <c r="L30" s="384">
        <v>109.3</v>
      </c>
      <c r="M30" s="384">
        <v>9.7799999999999994</v>
      </c>
      <c r="N30" s="384">
        <v>121.8</v>
      </c>
      <c r="O30" s="385">
        <v>10078</v>
      </c>
      <c r="P30" s="382">
        <v>96.81</v>
      </c>
      <c r="Q30" s="382">
        <v>96.6</v>
      </c>
      <c r="R30" s="382">
        <v>27.76</v>
      </c>
      <c r="S30" s="382">
        <v>124.15</v>
      </c>
      <c r="T30" s="382">
        <v>1289</v>
      </c>
      <c r="U30" s="382">
        <v>158.36000000000001</v>
      </c>
      <c r="V30" s="382">
        <v>1256</v>
      </c>
      <c r="W30" s="382">
        <v>0</v>
      </c>
      <c r="X30" s="382">
        <v>0</v>
      </c>
      <c r="Y30" s="382">
        <v>10</v>
      </c>
      <c r="Z30" s="382">
        <v>11</v>
      </c>
      <c r="AA30" s="382">
        <v>0</v>
      </c>
      <c r="AB30" s="382">
        <v>59</v>
      </c>
      <c r="AC30" s="382">
        <v>23</v>
      </c>
      <c r="AD30" s="386">
        <v>11405</v>
      </c>
      <c r="AE30" s="386">
        <v>47</v>
      </c>
      <c r="AF30" s="386">
        <v>141</v>
      </c>
      <c r="AG30" s="386">
        <v>188</v>
      </c>
    </row>
    <row r="31" spans="1:33" x14ac:dyDescent="0.25">
      <c r="A31" s="381" t="s">
        <v>124</v>
      </c>
      <c r="B31" s="387" t="s">
        <v>125</v>
      </c>
      <c r="C31" s="383">
        <v>33666</v>
      </c>
      <c r="D31" s="383">
        <v>27</v>
      </c>
      <c r="E31" s="383">
        <v>7456</v>
      </c>
      <c r="F31" s="383">
        <v>4643</v>
      </c>
      <c r="G31" s="383">
        <v>3313</v>
      </c>
      <c r="H31" s="383">
        <v>49105</v>
      </c>
      <c r="I31" s="382">
        <v>45792</v>
      </c>
      <c r="J31" s="382">
        <v>153</v>
      </c>
      <c r="K31" s="384">
        <v>94.34</v>
      </c>
      <c r="L31" s="384">
        <v>93.43</v>
      </c>
      <c r="M31" s="384">
        <v>7.5</v>
      </c>
      <c r="N31" s="384">
        <v>100.09</v>
      </c>
      <c r="O31" s="385">
        <v>30088</v>
      </c>
      <c r="P31" s="382">
        <v>83.26</v>
      </c>
      <c r="Q31" s="382">
        <v>80.98</v>
      </c>
      <c r="R31" s="382">
        <v>73.099999999999994</v>
      </c>
      <c r="S31" s="382">
        <v>154.38</v>
      </c>
      <c r="T31" s="382">
        <v>7691</v>
      </c>
      <c r="U31" s="382">
        <v>115.4</v>
      </c>
      <c r="V31" s="382">
        <v>1322</v>
      </c>
      <c r="W31" s="382">
        <v>174.03</v>
      </c>
      <c r="X31" s="382">
        <v>114</v>
      </c>
      <c r="Y31" s="382">
        <v>0</v>
      </c>
      <c r="Z31" s="382">
        <v>26</v>
      </c>
      <c r="AA31" s="382">
        <v>72</v>
      </c>
      <c r="AB31" s="382">
        <v>25</v>
      </c>
      <c r="AC31" s="382">
        <v>138</v>
      </c>
      <c r="AD31" s="386">
        <v>31751</v>
      </c>
      <c r="AE31" s="386">
        <v>140</v>
      </c>
      <c r="AF31" s="386">
        <v>68</v>
      </c>
      <c r="AG31" s="386">
        <v>208</v>
      </c>
    </row>
    <row r="32" spans="1:33" x14ac:dyDescent="0.25">
      <c r="A32" s="381" t="s">
        <v>126</v>
      </c>
      <c r="B32" s="387" t="s">
        <v>127</v>
      </c>
      <c r="C32" s="383">
        <v>1962</v>
      </c>
      <c r="D32" s="383">
        <v>0</v>
      </c>
      <c r="E32" s="383">
        <v>115</v>
      </c>
      <c r="F32" s="383">
        <v>1380</v>
      </c>
      <c r="G32" s="383">
        <v>324</v>
      </c>
      <c r="H32" s="383">
        <v>3781</v>
      </c>
      <c r="I32" s="382">
        <v>3457</v>
      </c>
      <c r="J32" s="382">
        <v>19</v>
      </c>
      <c r="K32" s="384">
        <v>88.38</v>
      </c>
      <c r="L32" s="384">
        <v>87.78</v>
      </c>
      <c r="M32" s="384">
        <v>4.08</v>
      </c>
      <c r="N32" s="384">
        <v>90.55</v>
      </c>
      <c r="O32" s="385">
        <v>1633</v>
      </c>
      <c r="P32" s="382">
        <v>78.2</v>
      </c>
      <c r="Q32" s="382">
        <v>77.52</v>
      </c>
      <c r="R32" s="382">
        <v>18.829999999999998</v>
      </c>
      <c r="S32" s="382">
        <v>96.55</v>
      </c>
      <c r="T32" s="382">
        <v>1489</v>
      </c>
      <c r="U32" s="382">
        <v>108.74</v>
      </c>
      <c r="V32" s="382">
        <v>234</v>
      </c>
      <c r="W32" s="382">
        <v>0</v>
      </c>
      <c r="X32" s="382">
        <v>0</v>
      </c>
      <c r="Y32" s="382">
        <v>0</v>
      </c>
      <c r="Z32" s="382">
        <v>14</v>
      </c>
      <c r="AA32" s="382">
        <v>23</v>
      </c>
      <c r="AB32" s="382">
        <v>39</v>
      </c>
      <c r="AC32" s="382">
        <v>3</v>
      </c>
      <c r="AD32" s="386">
        <v>1962</v>
      </c>
      <c r="AE32" s="386">
        <v>16</v>
      </c>
      <c r="AF32" s="386">
        <v>2</v>
      </c>
      <c r="AG32" s="386">
        <v>18</v>
      </c>
    </row>
    <row r="33" spans="1:33" x14ac:dyDescent="0.25">
      <c r="A33" s="381" t="s">
        <v>128</v>
      </c>
      <c r="B33" s="387" t="s">
        <v>129</v>
      </c>
      <c r="C33" s="383">
        <v>9705</v>
      </c>
      <c r="D33" s="383">
        <v>8</v>
      </c>
      <c r="E33" s="383">
        <v>429</v>
      </c>
      <c r="F33" s="383">
        <v>1307</v>
      </c>
      <c r="G33" s="383">
        <v>227</v>
      </c>
      <c r="H33" s="383">
        <v>11676</v>
      </c>
      <c r="I33" s="382">
        <v>11449</v>
      </c>
      <c r="J33" s="382">
        <v>0</v>
      </c>
      <c r="K33" s="384">
        <v>79.849999999999994</v>
      </c>
      <c r="L33" s="384">
        <v>79.290000000000006</v>
      </c>
      <c r="M33" s="384">
        <v>2.31</v>
      </c>
      <c r="N33" s="384">
        <v>81.91</v>
      </c>
      <c r="O33" s="385">
        <v>8671</v>
      </c>
      <c r="P33" s="382">
        <v>81.81</v>
      </c>
      <c r="Q33" s="382">
        <v>72.55</v>
      </c>
      <c r="R33" s="382">
        <v>35.880000000000003</v>
      </c>
      <c r="S33" s="382">
        <v>116.96</v>
      </c>
      <c r="T33" s="382">
        <v>1616</v>
      </c>
      <c r="U33" s="382">
        <v>95.96</v>
      </c>
      <c r="V33" s="382">
        <v>990</v>
      </c>
      <c r="W33" s="382">
        <v>143.97</v>
      </c>
      <c r="X33" s="382">
        <v>61</v>
      </c>
      <c r="Y33" s="382">
        <v>73</v>
      </c>
      <c r="Z33" s="382">
        <v>45</v>
      </c>
      <c r="AA33" s="382">
        <v>4</v>
      </c>
      <c r="AB33" s="382">
        <v>9</v>
      </c>
      <c r="AC33" s="382">
        <v>10</v>
      </c>
      <c r="AD33" s="386">
        <v>9705</v>
      </c>
      <c r="AE33" s="386">
        <v>36</v>
      </c>
      <c r="AF33" s="386">
        <v>29</v>
      </c>
      <c r="AG33" s="386">
        <v>65</v>
      </c>
    </row>
    <row r="34" spans="1:33" x14ac:dyDescent="0.25">
      <c r="A34" s="381" t="s">
        <v>130</v>
      </c>
      <c r="B34" s="387" t="s">
        <v>131</v>
      </c>
      <c r="C34" s="383">
        <v>1680</v>
      </c>
      <c r="D34" s="383">
        <v>7</v>
      </c>
      <c r="E34" s="383">
        <v>365</v>
      </c>
      <c r="F34" s="383">
        <v>202</v>
      </c>
      <c r="G34" s="383">
        <v>92</v>
      </c>
      <c r="H34" s="383">
        <v>2346</v>
      </c>
      <c r="I34" s="382">
        <v>2254</v>
      </c>
      <c r="J34" s="382">
        <v>0</v>
      </c>
      <c r="K34" s="384">
        <v>86.37</v>
      </c>
      <c r="L34" s="384">
        <v>84.29</v>
      </c>
      <c r="M34" s="384">
        <v>4.66</v>
      </c>
      <c r="N34" s="384">
        <v>89.95</v>
      </c>
      <c r="O34" s="385">
        <v>1236</v>
      </c>
      <c r="P34" s="382">
        <v>102.97</v>
      </c>
      <c r="Q34" s="382">
        <v>84.34</v>
      </c>
      <c r="R34" s="382">
        <v>49.97</v>
      </c>
      <c r="S34" s="382">
        <v>149.4</v>
      </c>
      <c r="T34" s="382">
        <v>523</v>
      </c>
      <c r="U34" s="382">
        <v>105.86</v>
      </c>
      <c r="V34" s="382">
        <v>309</v>
      </c>
      <c r="W34" s="382">
        <v>94.11</v>
      </c>
      <c r="X34" s="382">
        <v>1</v>
      </c>
      <c r="Y34" s="382">
        <v>17</v>
      </c>
      <c r="Z34" s="382">
        <v>0</v>
      </c>
      <c r="AA34" s="382">
        <v>6</v>
      </c>
      <c r="AB34" s="382">
        <v>0</v>
      </c>
      <c r="AC34" s="382">
        <v>4</v>
      </c>
      <c r="AD34" s="386">
        <v>1629</v>
      </c>
      <c r="AE34" s="386">
        <v>14</v>
      </c>
      <c r="AF34" s="386">
        <v>10</v>
      </c>
      <c r="AG34" s="386">
        <v>24</v>
      </c>
    </row>
    <row r="35" spans="1:33" x14ac:dyDescent="0.25">
      <c r="A35" s="381" t="s">
        <v>132</v>
      </c>
      <c r="B35" s="387" t="s">
        <v>133</v>
      </c>
      <c r="C35" s="383">
        <v>749</v>
      </c>
      <c r="D35" s="383">
        <v>0</v>
      </c>
      <c r="E35" s="383">
        <v>54</v>
      </c>
      <c r="F35" s="383">
        <v>261</v>
      </c>
      <c r="G35" s="383">
        <v>22</v>
      </c>
      <c r="H35" s="383">
        <v>1086</v>
      </c>
      <c r="I35" s="382">
        <v>1064</v>
      </c>
      <c r="J35" s="382">
        <v>0</v>
      </c>
      <c r="K35" s="384">
        <v>90.62</v>
      </c>
      <c r="L35" s="384">
        <v>88.4</v>
      </c>
      <c r="M35" s="384">
        <v>3.79</v>
      </c>
      <c r="N35" s="384">
        <v>92.85</v>
      </c>
      <c r="O35" s="385">
        <v>663</v>
      </c>
      <c r="P35" s="382">
        <v>92.73</v>
      </c>
      <c r="Q35" s="382">
        <v>86.94</v>
      </c>
      <c r="R35" s="382">
        <v>16.96</v>
      </c>
      <c r="S35" s="382">
        <v>108.43</v>
      </c>
      <c r="T35" s="382">
        <v>297</v>
      </c>
      <c r="U35" s="382">
        <v>90.53</v>
      </c>
      <c r="V35" s="382">
        <v>50</v>
      </c>
      <c r="W35" s="382">
        <v>0</v>
      </c>
      <c r="X35" s="382">
        <v>0</v>
      </c>
      <c r="Y35" s="382">
        <v>0</v>
      </c>
      <c r="Z35" s="382">
        <v>1</v>
      </c>
      <c r="AA35" s="382">
        <v>1</v>
      </c>
      <c r="AB35" s="382">
        <v>1</v>
      </c>
      <c r="AC35" s="382">
        <v>2</v>
      </c>
      <c r="AD35" s="386">
        <v>748</v>
      </c>
      <c r="AE35" s="386">
        <v>2</v>
      </c>
      <c r="AF35" s="386">
        <v>4</v>
      </c>
      <c r="AG35" s="386">
        <v>6</v>
      </c>
    </row>
    <row r="36" spans="1:33" x14ac:dyDescent="0.25">
      <c r="A36" s="381" t="s">
        <v>134</v>
      </c>
      <c r="B36" s="387" t="s">
        <v>135</v>
      </c>
      <c r="C36" s="383">
        <v>21110</v>
      </c>
      <c r="D36" s="383">
        <v>7</v>
      </c>
      <c r="E36" s="383">
        <v>692</v>
      </c>
      <c r="F36" s="383">
        <v>3797</v>
      </c>
      <c r="G36" s="383">
        <v>358</v>
      </c>
      <c r="H36" s="383">
        <v>25964</v>
      </c>
      <c r="I36" s="382">
        <v>25606</v>
      </c>
      <c r="J36" s="382">
        <v>0</v>
      </c>
      <c r="K36" s="384">
        <v>78.36</v>
      </c>
      <c r="L36" s="384">
        <v>80.569999999999993</v>
      </c>
      <c r="M36" s="384">
        <v>8.36</v>
      </c>
      <c r="N36" s="384">
        <v>80.87</v>
      </c>
      <c r="O36" s="385">
        <v>18076</v>
      </c>
      <c r="P36" s="382">
        <v>75.11</v>
      </c>
      <c r="Q36" s="382">
        <v>75.78</v>
      </c>
      <c r="R36" s="382">
        <v>28.71</v>
      </c>
      <c r="S36" s="382">
        <v>103.1</v>
      </c>
      <c r="T36" s="382">
        <v>4483</v>
      </c>
      <c r="U36" s="382">
        <v>97.31</v>
      </c>
      <c r="V36" s="382">
        <v>2929</v>
      </c>
      <c r="W36" s="382">
        <v>252.8</v>
      </c>
      <c r="X36" s="382">
        <v>2</v>
      </c>
      <c r="Y36" s="382">
        <v>51</v>
      </c>
      <c r="Z36" s="382">
        <v>133</v>
      </c>
      <c r="AA36" s="382">
        <v>5</v>
      </c>
      <c r="AB36" s="382">
        <v>3</v>
      </c>
      <c r="AC36" s="382">
        <v>11</v>
      </c>
      <c r="AD36" s="386">
        <v>21082</v>
      </c>
      <c r="AE36" s="386">
        <v>124</v>
      </c>
      <c r="AF36" s="386">
        <v>118</v>
      </c>
      <c r="AG36" s="386">
        <v>242</v>
      </c>
    </row>
    <row r="37" spans="1:33" x14ac:dyDescent="0.25">
      <c r="A37" s="381" t="s">
        <v>136</v>
      </c>
      <c r="B37" s="387" t="s">
        <v>137</v>
      </c>
      <c r="C37" s="383">
        <v>4337</v>
      </c>
      <c r="D37" s="383">
        <v>0</v>
      </c>
      <c r="E37" s="383">
        <v>135</v>
      </c>
      <c r="F37" s="383">
        <v>969</v>
      </c>
      <c r="G37" s="383">
        <v>220</v>
      </c>
      <c r="H37" s="383">
        <v>5661</v>
      </c>
      <c r="I37" s="382">
        <v>5441</v>
      </c>
      <c r="J37" s="382">
        <v>0</v>
      </c>
      <c r="K37" s="384">
        <v>81.3</v>
      </c>
      <c r="L37" s="384">
        <v>78.489999999999995</v>
      </c>
      <c r="M37" s="384">
        <v>1.78</v>
      </c>
      <c r="N37" s="384">
        <v>83.04</v>
      </c>
      <c r="O37" s="385">
        <v>4036</v>
      </c>
      <c r="P37" s="382">
        <v>75.89</v>
      </c>
      <c r="Q37" s="382">
        <v>72.77</v>
      </c>
      <c r="R37" s="382">
        <v>15.04</v>
      </c>
      <c r="S37" s="382">
        <v>90.91</v>
      </c>
      <c r="T37" s="382">
        <v>1043</v>
      </c>
      <c r="U37" s="382">
        <v>102.36</v>
      </c>
      <c r="V37" s="382">
        <v>245</v>
      </c>
      <c r="W37" s="382">
        <v>268.73</v>
      </c>
      <c r="X37" s="382">
        <v>6</v>
      </c>
      <c r="Y37" s="382">
        <v>0</v>
      </c>
      <c r="Z37" s="382">
        <v>17</v>
      </c>
      <c r="AA37" s="382">
        <v>0</v>
      </c>
      <c r="AB37" s="382">
        <v>32</v>
      </c>
      <c r="AC37" s="382">
        <v>8</v>
      </c>
      <c r="AD37" s="386">
        <v>4301</v>
      </c>
      <c r="AE37" s="386">
        <v>5</v>
      </c>
      <c r="AF37" s="386">
        <v>3</v>
      </c>
      <c r="AG37" s="386">
        <v>8</v>
      </c>
    </row>
    <row r="38" spans="1:33" x14ac:dyDescent="0.25">
      <c r="A38" s="381" t="s">
        <v>138</v>
      </c>
      <c r="B38" s="387" t="s">
        <v>139</v>
      </c>
      <c r="C38" s="383">
        <v>6296</v>
      </c>
      <c r="D38" s="383">
        <v>30</v>
      </c>
      <c r="E38" s="383">
        <v>1218</v>
      </c>
      <c r="F38" s="383">
        <v>1442</v>
      </c>
      <c r="G38" s="383">
        <v>870</v>
      </c>
      <c r="H38" s="383">
        <v>9856</v>
      </c>
      <c r="I38" s="382">
        <v>8986</v>
      </c>
      <c r="J38" s="382">
        <v>0</v>
      </c>
      <c r="K38" s="384">
        <v>105.68</v>
      </c>
      <c r="L38" s="384">
        <v>105.01</v>
      </c>
      <c r="M38" s="384">
        <v>4.96</v>
      </c>
      <c r="N38" s="384">
        <v>109.19</v>
      </c>
      <c r="O38" s="385">
        <v>5362</v>
      </c>
      <c r="P38" s="382">
        <v>93.07</v>
      </c>
      <c r="Q38" s="382">
        <v>86.08</v>
      </c>
      <c r="R38" s="382">
        <v>29.66</v>
      </c>
      <c r="S38" s="382">
        <v>120.55</v>
      </c>
      <c r="T38" s="382">
        <v>1656</v>
      </c>
      <c r="U38" s="382">
        <v>143.54</v>
      </c>
      <c r="V38" s="382">
        <v>426</v>
      </c>
      <c r="W38" s="382">
        <v>0</v>
      </c>
      <c r="X38" s="382">
        <v>0</v>
      </c>
      <c r="Y38" s="382">
        <v>31</v>
      </c>
      <c r="Z38" s="382">
        <v>2</v>
      </c>
      <c r="AA38" s="382">
        <v>1</v>
      </c>
      <c r="AB38" s="382">
        <v>6</v>
      </c>
      <c r="AC38" s="382">
        <v>14</v>
      </c>
      <c r="AD38" s="386">
        <v>5788</v>
      </c>
      <c r="AE38" s="386">
        <v>12</v>
      </c>
      <c r="AF38" s="386">
        <v>13</v>
      </c>
      <c r="AG38" s="386">
        <v>25</v>
      </c>
    </row>
    <row r="39" spans="1:33" x14ac:dyDescent="0.25">
      <c r="A39" s="381" t="s">
        <v>140</v>
      </c>
      <c r="B39" s="387" t="s">
        <v>141</v>
      </c>
      <c r="C39" s="383">
        <v>7264</v>
      </c>
      <c r="D39" s="383">
        <v>5</v>
      </c>
      <c r="E39" s="383">
        <v>231</v>
      </c>
      <c r="F39" s="383">
        <v>503</v>
      </c>
      <c r="G39" s="383">
        <v>583</v>
      </c>
      <c r="H39" s="383">
        <v>8586</v>
      </c>
      <c r="I39" s="382">
        <v>8003</v>
      </c>
      <c r="J39" s="382">
        <v>0</v>
      </c>
      <c r="K39" s="384">
        <v>110.73</v>
      </c>
      <c r="L39" s="384">
        <v>110.83</v>
      </c>
      <c r="M39" s="384">
        <v>7.87</v>
      </c>
      <c r="N39" s="384">
        <v>113.08</v>
      </c>
      <c r="O39" s="385">
        <v>6759</v>
      </c>
      <c r="P39" s="382">
        <v>95.67</v>
      </c>
      <c r="Q39" s="382">
        <v>96.95</v>
      </c>
      <c r="R39" s="382">
        <v>36.58</v>
      </c>
      <c r="S39" s="382">
        <v>130.18</v>
      </c>
      <c r="T39" s="382">
        <v>723</v>
      </c>
      <c r="U39" s="382">
        <v>156.15</v>
      </c>
      <c r="V39" s="382">
        <v>431</v>
      </c>
      <c r="W39" s="382">
        <v>0</v>
      </c>
      <c r="X39" s="382">
        <v>0</v>
      </c>
      <c r="Y39" s="382">
        <v>0</v>
      </c>
      <c r="Z39" s="382">
        <v>15</v>
      </c>
      <c r="AA39" s="382">
        <v>0</v>
      </c>
      <c r="AB39" s="382">
        <v>46</v>
      </c>
      <c r="AC39" s="382">
        <v>20</v>
      </c>
      <c r="AD39" s="386">
        <v>7242</v>
      </c>
      <c r="AE39" s="386">
        <v>36</v>
      </c>
      <c r="AF39" s="386">
        <v>42</v>
      </c>
      <c r="AG39" s="386">
        <v>78</v>
      </c>
    </row>
    <row r="40" spans="1:33" x14ac:dyDescent="0.25">
      <c r="A40" s="381" t="s">
        <v>142</v>
      </c>
      <c r="B40" s="387" t="s">
        <v>143</v>
      </c>
      <c r="C40" s="383">
        <v>27478</v>
      </c>
      <c r="D40" s="383">
        <v>180</v>
      </c>
      <c r="E40" s="383">
        <v>1237</v>
      </c>
      <c r="F40" s="383">
        <v>2972</v>
      </c>
      <c r="G40" s="383">
        <v>382</v>
      </c>
      <c r="H40" s="383">
        <v>32249</v>
      </c>
      <c r="I40" s="382">
        <v>31867</v>
      </c>
      <c r="J40" s="382">
        <v>149</v>
      </c>
      <c r="K40" s="384">
        <v>79.47</v>
      </c>
      <c r="L40" s="384">
        <v>75.2</v>
      </c>
      <c r="M40" s="384">
        <v>5.61</v>
      </c>
      <c r="N40" s="384">
        <v>84.82</v>
      </c>
      <c r="O40" s="385">
        <v>25426</v>
      </c>
      <c r="P40" s="382">
        <v>81.22</v>
      </c>
      <c r="Q40" s="382">
        <v>76.98</v>
      </c>
      <c r="R40" s="382">
        <v>32.909999999999997</v>
      </c>
      <c r="S40" s="382">
        <v>113.68</v>
      </c>
      <c r="T40" s="382">
        <v>3488</v>
      </c>
      <c r="U40" s="382">
        <v>100.58</v>
      </c>
      <c r="V40" s="382">
        <v>2082</v>
      </c>
      <c r="W40" s="382">
        <v>152.69999999999999</v>
      </c>
      <c r="X40" s="382">
        <v>80</v>
      </c>
      <c r="Y40" s="382">
        <v>45</v>
      </c>
      <c r="Z40" s="382">
        <v>64</v>
      </c>
      <c r="AA40" s="382">
        <v>5</v>
      </c>
      <c r="AB40" s="382">
        <v>6</v>
      </c>
      <c r="AC40" s="382">
        <v>31</v>
      </c>
      <c r="AD40" s="386">
        <v>27470</v>
      </c>
      <c r="AE40" s="386">
        <v>662</v>
      </c>
      <c r="AF40" s="386">
        <v>164</v>
      </c>
      <c r="AG40" s="386">
        <v>826</v>
      </c>
    </row>
    <row r="41" spans="1:33" x14ac:dyDescent="0.25">
      <c r="A41" s="381" t="s">
        <v>144</v>
      </c>
      <c r="B41" s="387" t="s">
        <v>145</v>
      </c>
      <c r="C41" s="383">
        <v>9418</v>
      </c>
      <c r="D41" s="383">
        <v>37</v>
      </c>
      <c r="E41" s="383">
        <v>295</v>
      </c>
      <c r="F41" s="383">
        <v>700</v>
      </c>
      <c r="G41" s="383">
        <v>251</v>
      </c>
      <c r="H41" s="383">
        <v>10701</v>
      </c>
      <c r="I41" s="382">
        <v>10450</v>
      </c>
      <c r="J41" s="382">
        <v>0</v>
      </c>
      <c r="K41" s="384">
        <v>97.71</v>
      </c>
      <c r="L41" s="384">
        <v>98.28</v>
      </c>
      <c r="M41" s="384">
        <v>4.01</v>
      </c>
      <c r="N41" s="384">
        <v>98.83</v>
      </c>
      <c r="O41" s="385">
        <v>8854</v>
      </c>
      <c r="P41" s="382">
        <v>87.98</v>
      </c>
      <c r="Q41" s="382">
        <v>86.3</v>
      </c>
      <c r="R41" s="382">
        <v>35.51</v>
      </c>
      <c r="S41" s="382">
        <v>122.71</v>
      </c>
      <c r="T41" s="382">
        <v>827</v>
      </c>
      <c r="U41" s="382">
        <v>131.36000000000001</v>
      </c>
      <c r="V41" s="382">
        <v>505</v>
      </c>
      <c r="W41" s="382">
        <v>145.33000000000001</v>
      </c>
      <c r="X41" s="382">
        <v>25</v>
      </c>
      <c r="Y41" s="382">
        <v>4</v>
      </c>
      <c r="Z41" s="382">
        <v>37</v>
      </c>
      <c r="AA41" s="382">
        <v>0</v>
      </c>
      <c r="AB41" s="382">
        <v>6</v>
      </c>
      <c r="AC41" s="382">
        <v>4</v>
      </c>
      <c r="AD41" s="386">
        <v>9406</v>
      </c>
      <c r="AE41" s="386">
        <v>17</v>
      </c>
      <c r="AF41" s="386">
        <v>41</v>
      </c>
      <c r="AG41" s="386">
        <v>58</v>
      </c>
    </row>
    <row r="42" spans="1:33" x14ac:dyDescent="0.25">
      <c r="A42" s="381" t="s">
        <v>146</v>
      </c>
      <c r="B42" s="387" t="s">
        <v>147</v>
      </c>
      <c r="C42" s="383">
        <v>7189</v>
      </c>
      <c r="D42" s="383">
        <v>0</v>
      </c>
      <c r="E42" s="383">
        <v>212</v>
      </c>
      <c r="F42" s="383">
        <v>1029</v>
      </c>
      <c r="G42" s="383">
        <v>188</v>
      </c>
      <c r="H42" s="383">
        <v>8618</v>
      </c>
      <c r="I42" s="382">
        <v>8430</v>
      </c>
      <c r="J42" s="382">
        <v>5</v>
      </c>
      <c r="K42" s="384">
        <v>89.28</v>
      </c>
      <c r="L42" s="384">
        <v>89.32</v>
      </c>
      <c r="M42" s="384">
        <v>2.97</v>
      </c>
      <c r="N42" s="384">
        <v>89.94</v>
      </c>
      <c r="O42" s="385">
        <v>6719</v>
      </c>
      <c r="P42" s="382">
        <v>80.88</v>
      </c>
      <c r="Q42" s="382">
        <v>78.099999999999994</v>
      </c>
      <c r="R42" s="382">
        <v>22.8</v>
      </c>
      <c r="S42" s="382">
        <v>102.92</v>
      </c>
      <c r="T42" s="382">
        <v>1199</v>
      </c>
      <c r="U42" s="382">
        <v>112.69</v>
      </c>
      <c r="V42" s="382">
        <v>396</v>
      </c>
      <c r="W42" s="382">
        <v>0</v>
      </c>
      <c r="X42" s="382">
        <v>0</v>
      </c>
      <c r="Y42" s="382">
        <v>0</v>
      </c>
      <c r="Z42" s="382">
        <v>7</v>
      </c>
      <c r="AA42" s="382">
        <v>0</v>
      </c>
      <c r="AB42" s="382">
        <v>22</v>
      </c>
      <c r="AC42" s="382">
        <v>6</v>
      </c>
      <c r="AD42" s="386">
        <v>7185</v>
      </c>
      <c r="AE42" s="386">
        <v>47</v>
      </c>
      <c r="AF42" s="386">
        <v>11</v>
      </c>
      <c r="AG42" s="386">
        <v>58</v>
      </c>
    </row>
    <row r="43" spans="1:33" x14ac:dyDescent="0.25">
      <c r="A43" s="381" t="s">
        <v>148</v>
      </c>
      <c r="B43" s="387" t="s">
        <v>149</v>
      </c>
      <c r="C43" s="383">
        <v>15104</v>
      </c>
      <c r="D43" s="383">
        <v>688</v>
      </c>
      <c r="E43" s="383">
        <v>1032</v>
      </c>
      <c r="F43" s="383">
        <v>969</v>
      </c>
      <c r="G43" s="383">
        <v>2053</v>
      </c>
      <c r="H43" s="383">
        <v>19846</v>
      </c>
      <c r="I43" s="382">
        <v>17793</v>
      </c>
      <c r="J43" s="382">
        <v>106</v>
      </c>
      <c r="K43" s="384">
        <v>133.96</v>
      </c>
      <c r="L43" s="384">
        <v>134.93</v>
      </c>
      <c r="M43" s="384">
        <v>9.39</v>
      </c>
      <c r="N43" s="384">
        <v>140.41</v>
      </c>
      <c r="O43" s="385">
        <v>11984</v>
      </c>
      <c r="P43" s="382">
        <v>108.15</v>
      </c>
      <c r="Q43" s="382">
        <v>99.06</v>
      </c>
      <c r="R43" s="382">
        <v>58.33</v>
      </c>
      <c r="S43" s="382">
        <v>153.87</v>
      </c>
      <c r="T43" s="382">
        <v>958</v>
      </c>
      <c r="U43" s="382">
        <v>206.18</v>
      </c>
      <c r="V43" s="382">
        <v>1233</v>
      </c>
      <c r="W43" s="382">
        <v>196.47</v>
      </c>
      <c r="X43" s="382">
        <v>40</v>
      </c>
      <c r="Y43" s="382">
        <v>0</v>
      </c>
      <c r="Z43" s="382">
        <v>7</v>
      </c>
      <c r="AA43" s="382">
        <v>43</v>
      </c>
      <c r="AB43" s="382">
        <v>78</v>
      </c>
      <c r="AC43" s="382">
        <v>122</v>
      </c>
      <c r="AD43" s="386">
        <v>13672</v>
      </c>
      <c r="AE43" s="386">
        <v>126</v>
      </c>
      <c r="AF43" s="386">
        <v>106</v>
      </c>
      <c r="AG43" s="386">
        <v>232</v>
      </c>
    </row>
    <row r="44" spans="1:33" x14ac:dyDescent="0.25">
      <c r="A44" s="381" t="s">
        <v>150</v>
      </c>
      <c r="B44" s="387" t="s">
        <v>151</v>
      </c>
      <c r="C44" s="383">
        <v>746</v>
      </c>
      <c r="D44" s="383">
        <v>7</v>
      </c>
      <c r="E44" s="383">
        <v>114</v>
      </c>
      <c r="F44" s="383">
        <v>163</v>
      </c>
      <c r="G44" s="383">
        <v>162</v>
      </c>
      <c r="H44" s="383">
        <v>1192</v>
      </c>
      <c r="I44" s="382">
        <v>1030</v>
      </c>
      <c r="J44" s="382">
        <v>12</v>
      </c>
      <c r="K44" s="384">
        <v>119.03</v>
      </c>
      <c r="L44" s="384">
        <v>117.48</v>
      </c>
      <c r="M44" s="384">
        <v>7.54</v>
      </c>
      <c r="N44" s="384">
        <v>126.05</v>
      </c>
      <c r="O44" s="385">
        <v>516</v>
      </c>
      <c r="P44" s="382">
        <v>96.12</v>
      </c>
      <c r="Q44" s="382">
        <v>97.59</v>
      </c>
      <c r="R44" s="382">
        <v>43.45</v>
      </c>
      <c r="S44" s="382">
        <v>139.57</v>
      </c>
      <c r="T44" s="382">
        <v>277</v>
      </c>
      <c r="U44" s="382">
        <v>140.04</v>
      </c>
      <c r="V44" s="382">
        <v>81</v>
      </c>
      <c r="W44" s="382">
        <v>0</v>
      </c>
      <c r="X44" s="382">
        <v>0</v>
      </c>
      <c r="Y44" s="382">
        <v>0</v>
      </c>
      <c r="Z44" s="382">
        <v>1</v>
      </c>
      <c r="AA44" s="382">
        <v>0</v>
      </c>
      <c r="AB44" s="382">
        <v>1</v>
      </c>
      <c r="AC44" s="382">
        <v>5</v>
      </c>
      <c r="AD44" s="386">
        <v>600</v>
      </c>
      <c r="AE44" s="386">
        <v>4</v>
      </c>
      <c r="AF44" s="386">
        <v>0</v>
      </c>
      <c r="AG44" s="386">
        <v>4</v>
      </c>
    </row>
    <row r="45" spans="1:33" x14ac:dyDescent="0.25">
      <c r="A45" s="381" t="s">
        <v>152</v>
      </c>
      <c r="B45" s="387" t="s">
        <v>153</v>
      </c>
      <c r="C45" s="383">
        <v>4877</v>
      </c>
      <c r="D45" s="383">
        <v>67</v>
      </c>
      <c r="E45" s="383">
        <v>1034</v>
      </c>
      <c r="F45" s="383">
        <v>764</v>
      </c>
      <c r="G45" s="383">
        <v>854</v>
      </c>
      <c r="H45" s="383">
        <v>7596</v>
      </c>
      <c r="I45" s="382">
        <v>6742</v>
      </c>
      <c r="J45" s="382">
        <v>12</v>
      </c>
      <c r="K45" s="384">
        <v>97.1</v>
      </c>
      <c r="L45" s="384">
        <v>95.28</v>
      </c>
      <c r="M45" s="384">
        <v>10.43</v>
      </c>
      <c r="N45" s="384">
        <v>105.57</v>
      </c>
      <c r="O45" s="385">
        <v>4031</v>
      </c>
      <c r="P45" s="382">
        <v>89.89</v>
      </c>
      <c r="Q45" s="382">
        <v>85.71</v>
      </c>
      <c r="R45" s="382">
        <v>53.24</v>
      </c>
      <c r="S45" s="382">
        <v>141.58000000000001</v>
      </c>
      <c r="T45" s="382">
        <v>1067</v>
      </c>
      <c r="U45" s="382">
        <v>161.05000000000001</v>
      </c>
      <c r="V45" s="382">
        <v>414</v>
      </c>
      <c r="W45" s="382">
        <v>0</v>
      </c>
      <c r="X45" s="382">
        <v>0</v>
      </c>
      <c r="Y45" s="382">
        <v>0</v>
      </c>
      <c r="Z45" s="382">
        <v>0</v>
      </c>
      <c r="AA45" s="382">
        <v>19</v>
      </c>
      <c r="AB45" s="382">
        <v>41</v>
      </c>
      <c r="AC45" s="382">
        <v>40</v>
      </c>
      <c r="AD45" s="386">
        <v>4490</v>
      </c>
      <c r="AE45" s="386">
        <v>26</v>
      </c>
      <c r="AF45" s="386">
        <v>12</v>
      </c>
      <c r="AG45" s="386">
        <v>38</v>
      </c>
    </row>
    <row r="46" spans="1:33" x14ac:dyDescent="0.25">
      <c r="A46" s="381" t="s">
        <v>154</v>
      </c>
      <c r="B46" s="387" t="s">
        <v>155</v>
      </c>
      <c r="C46" s="383">
        <v>8439</v>
      </c>
      <c r="D46" s="383">
        <v>6</v>
      </c>
      <c r="E46" s="383">
        <v>1542</v>
      </c>
      <c r="F46" s="383">
        <v>2000</v>
      </c>
      <c r="G46" s="383">
        <v>965</v>
      </c>
      <c r="H46" s="383">
        <v>12952</v>
      </c>
      <c r="I46" s="382">
        <v>11987</v>
      </c>
      <c r="J46" s="382">
        <v>0</v>
      </c>
      <c r="K46" s="384">
        <v>97.41</v>
      </c>
      <c r="L46" s="384">
        <v>95.9</v>
      </c>
      <c r="M46" s="384">
        <v>8.11</v>
      </c>
      <c r="N46" s="384">
        <v>103.26</v>
      </c>
      <c r="O46" s="385">
        <v>6350</v>
      </c>
      <c r="P46" s="382">
        <v>90.04</v>
      </c>
      <c r="Q46" s="382">
        <v>88.11</v>
      </c>
      <c r="R46" s="382">
        <v>34.450000000000003</v>
      </c>
      <c r="S46" s="382">
        <v>123.87</v>
      </c>
      <c r="T46" s="382">
        <v>2960</v>
      </c>
      <c r="U46" s="382">
        <v>129.91999999999999</v>
      </c>
      <c r="V46" s="382">
        <v>884</v>
      </c>
      <c r="W46" s="382">
        <v>119.87</v>
      </c>
      <c r="X46" s="382">
        <v>11</v>
      </c>
      <c r="Y46" s="382">
        <v>4</v>
      </c>
      <c r="Z46" s="382">
        <v>5</v>
      </c>
      <c r="AA46" s="382">
        <v>11</v>
      </c>
      <c r="AB46" s="382">
        <v>95</v>
      </c>
      <c r="AC46" s="382">
        <v>41</v>
      </c>
      <c r="AD46" s="386">
        <v>7415</v>
      </c>
      <c r="AE46" s="386">
        <v>29</v>
      </c>
      <c r="AF46" s="386">
        <v>34</v>
      </c>
      <c r="AG46" s="386">
        <v>63</v>
      </c>
    </row>
    <row r="47" spans="1:33" x14ac:dyDescent="0.25">
      <c r="A47" s="381" t="s">
        <v>156</v>
      </c>
      <c r="B47" s="387" t="s">
        <v>157</v>
      </c>
      <c r="C47" s="383">
        <v>4530</v>
      </c>
      <c r="D47" s="383">
        <v>0</v>
      </c>
      <c r="E47" s="383">
        <v>166</v>
      </c>
      <c r="F47" s="383">
        <v>562</v>
      </c>
      <c r="G47" s="383">
        <v>307</v>
      </c>
      <c r="H47" s="383">
        <v>5565</v>
      </c>
      <c r="I47" s="382">
        <v>5258</v>
      </c>
      <c r="J47" s="382">
        <v>25</v>
      </c>
      <c r="K47" s="384">
        <v>93.8</v>
      </c>
      <c r="L47" s="384">
        <v>93.64</v>
      </c>
      <c r="M47" s="384">
        <v>2.0699999999999998</v>
      </c>
      <c r="N47" s="384">
        <v>94.63</v>
      </c>
      <c r="O47" s="385">
        <v>3669</v>
      </c>
      <c r="P47" s="382">
        <v>91.03</v>
      </c>
      <c r="Q47" s="382">
        <v>86.55</v>
      </c>
      <c r="R47" s="382">
        <v>23.47</v>
      </c>
      <c r="S47" s="382">
        <v>114.21</v>
      </c>
      <c r="T47" s="382">
        <v>726</v>
      </c>
      <c r="U47" s="382">
        <v>107.15</v>
      </c>
      <c r="V47" s="382">
        <v>804</v>
      </c>
      <c r="W47" s="382">
        <v>0</v>
      </c>
      <c r="X47" s="382">
        <v>0</v>
      </c>
      <c r="Y47" s="382">
        <v>0</v>
      </c>
      <c r="Z47" s="382">
        <v>10</v>
      </c>
      <c r="AA47" s="382">
        <v>0</v>
      </c>
      <c r="AB47" s="382">
        <v>40</v>
      </c>
      <c r="AC47" s="382">
        <v>6</v>
      </c>
      <c r="AD47" s="386">
        <v>4530</v>
      </c>
      <c r="AE47" s="386">
        <v>25</v>
      </c>
      <c r="AF47" s="386">
        <v>10</v>
      </c>
      <c r="AG47" s="386">
        <v>35</v>
      </c>
    </row>
    <row r="48" spans="1:33" x14ac:dyDescent="0.25">
      <c r="A48" s="381" t="s">
        <v>158</v>
      </c>
      <c r="B48" s="387" t="s">
        <v>159</v>
      </c>
      <c r="C48" s="383">
        <v>16006</v>
      </c>
      <c r="D48" s="383">
        <v>92</v>
      </c>
      <c r="E48" s="383">
        <v>637</v>
      </c>
      <c r="F48" s="383">
        <v>2196</v>
      </c>
      <c r="G48" s="383">
        <v>987</v>
      </c>
      <c r="H48" s="383">
        <v>19918</v>
      </c>
      <c r="I48" s="382">
        <v>18931</v>
      </c>
      <c r="J48" s="382">
        <v>43</v>
      </c>
      <c r="K48" s="384">
        <v>116.92</v>
      </c>
      <c r="L48" s="384">
        <v>116.66</v>
      </c>
      <c r="M48" s="384">
        <v>12.54</v>
      </c>
      <c r="N48" s="384">
        <v>124.17</v>
      </c>
      <c r="O48" s="385">
        <v>13427</v>
      </c>
      <c r="P48" s="382">
        <v>108.81</v>
      </c>
      <c r="Q48" s="382">
        <v>105.67</v>
      </c>
      <c r="R48" s="382">
        <v>38.92</v>
      </c>
      <c r="S48" s="382">
        <v>146.18</v>
      </c>
      <c r="T48" s="382">
        <v>2337</v>
      </c>
      <c r="U48" s="382">
        <v>173.83</v>
      </c>
      <c r="V48" s="382">
        <v>1596</v>
      </c>
      <c r="W48" s="382">
        <v>0</v>
      </c>
      <c r="X48" s="382">
        <v>0</v>
      </c>
      <c r="Y48" s="382">
        <v>217</v>
      </c>
      <c r="Z48" s="382">
        <v>11</v>
      </c>
      <c r="AA48" s="382">
        <v>4</v>
      </c>
      <c r="AB48" s="382">
        <v>81</v>
      </c>
      <c r="AC48" s="382">
        <v>24</v>
      </c>
      <c r="AD48" s="386">
        <v>15222</v>
      </c>
      <c r="AE48" s="386">
        <v>126</v>
      </c>
      <c r="AF48" s="386">
        <v>39</v>
      </c>
      <c r="AG48" s="386">
        <v>165</v>
      </c>
    </row>
    <row r="49" spans="1:33" x14ac:dyDescent="0.25">
      <c r="A49" s="381" t="s">
        <v>160</v>
      </c>
      <c r="B49" s="387" t="s">
        <v>161</v>
      </c>
      <c r="C49" s="383">
        <v>3238</v>
      </c>
      <c r="D49" s="383">
        <v>0</v>
      </c>
      <c r="E49" s="383">
        <v>92</v>
      </c>
      <c r="F49" s="383">
        <v>995</v>
      </c>
      <c r="G49" s="383">
        <v>382</v>
      </c>
      <c r="H49" s="383">
        <v>4707</v>
      </c>
      <c r="I49" s="382">
        <v>4325</v>
      </c>
      <c r="J49" s="382">
        <v>0</v>
      </c>
      <c r="K49" s="384">
        <v>92.31</v>
      </c>
      <c r="L49" s="384">
        <v>92.29</v>
      </c>
      <c r="M49" s="384">
        <v>4.24</v>
      </c>
      <c r="N49" s="384">
        <v>94.62</v>
      </c>
      <c r="O49" s="385">
        <v>2876</v>
      </c>
      <c r="P49" s="382">
        <v>84.38</v>
      </c>
      <c r="Q49" s="382">
        <v>85.18</v>
      </c>
      <c r="R49" s="382">
        <v>21.01</v>
      </c>
      <c r="S49" s="382">
        <v>105.33</v>
      </c>
      <c r="T49" s="382">
        <v>1012</v>
      </c>
      <c r="U49" s="382">
        <v>114.43</v>
      </c>
      <c r="V49" s="382">
        <v>316</v>
      </c>
      <c r="W49" s="382">
        <v>0</v>
      </c>
      <c r="X49" s="382">
        <v>0</v>
      </c>
      <c r="Y49" s="382">
        <v>0</v>
      </c>
      <c r="Z49" s="382">
        <v>5</v>
      </c>
      <c r="AA49" s="382">
        <v>12</v>
      </c>
      <c r="AB49" s="382">
        <v>47</v>
      </c>
      <c r="AC49" s="382">
        <v>10</v>
      </c>
      <c r="AD49" s="386">
        <v>3238</v>
      </c>
      <c r="AE49" s="386">
        <v>16</v>
      </c>
      <c r="AF49" s="386">
        <v>1</v>
      </c>
      <c r="AG49" s="386">
        <v>17</v>
      </c>
    </row>
    <row r="50" spans="1:33" x14ac:dyDescent="0.25">
      <c r="A50" s="381" t="s">
        <v>162</v>
      </c>
      <c r="B50" s="387" t="s">
        <v>163</v>
      </c>
      <c r="C50" s="383">
        <v>4715</v>
      </c>
      <c r="D50" s="383">
        <v>0</v>
      </c>
      <c r="E50" s="383">
        <v>115</v>
      </c>
      <c r="F50" s="383">
        <v>413</v>
      </c>
      <c r="G50" s="383">
        <v>390</v>
      </c>
      <c r="H50" s="383">
        <v>5633</v>
      </c>
      <c r="I50" s="382">
        <v>5243</v>
      </c>
      <c r="J50" s="382">
        <v>13</v>
      </c>
      <c r="K50" s="384">
        <v>116.83</v>
      </c>
      <c r="L50" s="384">
        <v>112.8</v>
      </c>
      <c r="M50" s="384">
        <v>6.39</v>
      </c>
      <c r="N50" s="384">
        <v>120.49</v>
      </c>
      <c r="O50" s="385">
        <v>4098</v>
      </c>
      <c r="P50" s="382">
        <v>101.95</v>
      </c>
      <c r="Q50" s="382">
        <v>97.31</v>
      </c>
      <c r="R50" s="382">
        <v>32.340000000000003</v>
      </c>
      <c r="S50" s="382">
        <v>134.05000000000001</v>
      </c>
      <c r="T50" s="382">
        <v>528</v>
      </c>
      <c r="U50" s="382">
        <v>160.93</v>
      </c>
      <c r="V50" s="382">
        <v>584</v>
      </c>
      <c r="W50" s="382">
        <v>0</v>
      </c>
      <c r="X50" s="382">
        <v>0</v>
      </c>
      <c r="Y50" s="382">
        <v>0</v>
      </c>
      <c r="Z50" s="382">
        <v>9</v>
      </c>
      <c r="AA50" s="382">
        <v>0</v>
      </c>
      <c r="AB50" s="382">
        <v>9</v>
      </c>
      <c r="AC50" s="382">
        <v>17</v>
      </c>
      <c r="AD50" s="386">
        <v>4715</v>
      </c>
      <c r="AE50" s="386">
        <v>19</v>
      </c>
      <c r="AF50" s="386">
        <v>30</v>
      </c>
      <c r="AG50" s="386">
        <v>49</v>
      </c>
    </row>
    <row r="51" spans="1:33" x14ac:dyDescent="0.25">
      <c r="A51" s="381" t="s">
        <v>164</v>
      </c>
      <c r="B51" s="387" t="s">
        <v>165</v>
      </c>
      <c r="C51" s="383">
        <v>1062</v>
      </c>
      <c r="D51" s="383">
        <v>0</v>
      </c>
      <c r="E51" s="383">
        <v>104</v>
      </c>
      <c r="F51" s="383">
        <v>108</v>
      </c>
      <c r="G51" s="383">
        <v>75</v>
      </c>
      <c r="H51" s="383">
        <v>1349</v>
      </c>
      <c r="I51" s="382">
        <v>1274</v>
      </c>
      <c r="J51" s="382">
        <v>2</v>
      </c>
      <c r="K51" s="384">
        <v>81.23</v>
      </c>
      <c r="L51" s="384">
        <v>80.05</v>
      </c>
      <c r="M51" s="384">
        <v>7.19</v>
      </c>
      <c r="N51" s="384">
        <v>87.23</v>
      </c>
      <c r="O51" s="385">
        <v>925</v>
      </c>
      <c r="P51" s="382">
        <v>92.03</v>
      </c>
      <c r="Q51" s="382">
        <v>70.97</v>
      </c>
      <c r="R51" s="382">
        <v>36.6</v>
      </c>
      <c r="S51" s="382">
        <v>125.74</v>
      </c>
      <c r="T51" s="382">
        <v>152</v>
      </c>
      <c r="U51" s="382">
        <v>96.98</v>
      </c>
      <c r="V51" s="382">
        <v>122</v>
      </c>
      <c r="W51" s="382">
        <v>189.8</v>
      </c>
      <c r="X51" s="382">
        <v>27</v>
      </c>
      <c r="Y51" s="382">
        <v>0</v>
      </c>
      <c r="Z51" s="382">
        <v>1</v>
      </c>
      <c r="AA51" s="382">
        <v>0</v>
      </c>
      <c r="AB51" s="382">
        <v>5</v>
      </c>
      <c r="AC51" s="382">
        <v>1</v>
      </c>
      <c r="AD51" s="386">
        <v>1062</v>
      </c>
      <c r="AE51" s="386">
        <v>2</v>
      </c>
      <c r="AF51" s="386">
        <v>2</v>
      </c>
      <c r="AG51" s="386">
        <v>4</v>
      </c>
    </row>
    <row r="52" spans="1:33" x14ac:dyDescent="0.25">
      <c r="A52" s="381" t="s">
        <v>779</v>
      </c>
      <c r="B52" s="387" t="s">
        <v>774</v>
      </c>
      <c r="C52" s="383">
        <v>24142</v>
      </c>
      <c r="D52" s="383">
        <v>27</v>
      </c>
      <c r="E52" s="383">
        <v>927</v>
      </c>
      <c r="F52" s="383">
        <v>3263</v>
      </c>
      <c r="G52" s="383">
        <v>2048</v>
      </c>
      <c r="H52" s="383">
        <v>30407</v>
      </c>
      <c r="I52" s="382">
        <v>28359</v>
      </c>
      <c r="J52" s="382">
        <v>173</v>
      </c>
      <c r="K52" s="384">
        <v>111.78</v>
      </c>
      <c r="L52" s="384">
        <v>111.11</v>
      </c>
      <c r="M52" s="384">
        <v>4.59</v>
      </c>
      <c r="N52" s="384">
        <v>114.72</v>
      </c>
      <c r="O52" s="385">
        <v>21379</v>
      </c>
      <c r="P52" s="382">
        <v>102.28</v>
      </c>
      <c r="Q52" s="382">
        <v>100.79</v>
      </c>
      <c r="R52" s="382">
        <v>26.33</v>
      </c>
      <c r="S52" s="382">
        <v>126.35</v>
      </c>
      <c r="T52" s="382">
        <v>3861</v>
      </c>
      <c r="U52" s="382">
        <v>155.62</v>
      </c>
      <c r="V52" s="382">
        <v>2375</v>
      </c>
      <c r="W52" s="382">
        <v>151.13999999999999</v>
      </c>
      <c r="X52" s="382">
        <v>44</v>
      </c>
      <c r="Y52" s="382">
        <v>15</v>
      </c>
      <c r="Z52" s="382">
        <v>79</v>
      </c>
      <c r="AA52" s="382">
        <v>10</v>
      </c>
      <c r="AB52" s="382">
        <v>134</v>
      </c>
      <c r="AC52" s="382">
        <v>76</v>
      </c>
      <c r="AD52" s="386">
        <v>23802</v>
      </c>
      <c r="AE52" s="386">
        <v>82</v>
      </c>
      <c r="AF52" s="386">
        <v>178</v>
      </c>
      <c r="AG52" s="386">
        <v>260</v>
      </c>
    </row>
    <row r="53" spans="1:33" x14ac:dyDescent="0.25">
      <c r="A53" s="381" t="s">
        <v>166</v>
      </c>
      <c r="B53" s="387" t="s">
        <v>167</v>
      </c>
      <c r="C53" s="383">
        <v>4269</v>
      </c>
      <c r="D53" s="383">
        <v>0</v>
      </c>
      <c r="E53" s="383">
        <v>215</v>
      </c>
      <c r="F53" s="383">
        <v>1470</v>
      </c>
      <c r="G53" s="383">
        <v>12</v>
      </c>
      <c r="H53" s="383">
        <v>5966</v>
      </c>
      <c r="I53" s="382">
        <v>5954</v>
      </c>
      <c r="J53" s="382">
        <v>23</v>
      </c>
      <c r="K53" s="384">
        <v>81.66</v>
      </c>
      <c r="L53" s="384">
        <v>78.58</v>
      </c>
      <c r="M53" s="384">
        <v>2.35</v>
      </c>
      <c r="N53" s="384">
        <v>83.8</v>
      </c>
      <c r="O53" s="385">
        <v>3945</v>
      </c>
      <c r="P53" s="382">
        <v>80.78</v>
      </c>
      <c r="Q53" s="382">
        <v>70.61</v>
      </c>
      <c r="R53" s="382">
        <v>18.87</v>
      </c>
      <c r="S53" s="382">
        <v>99.19</v>
      </c>
      <c r="T53" s="382">
        <v>1566</v>
      </c>
      <c r="U53" s="382">
        <v>96.27</v>
      </c>
      <c r="V53" s="382">
        <v>311</v>
      </c>
      <c r="W53" s="382">
        <v>115.34</v>
      </c>
      <c r="X53" s="382">
        <v>14</v>
      </c>
      <c r="Y53" s="382">
        <v>0</v>
      </c>
      <c r="Z53" s="382">
        <v>15</v>
      </c>
      <c r="AA53" s="382">
        <v>0</v>
      </c>
      <c r="AB53" s="382">
        <v>0</v>
      </c>
      <c r="AC53" s="382">
        <v>0</v>
      </c>
      <c r="AD53" s="386">
        <v>4269</v>
      </c>
      <c r="AE53" s="386">
        <v>67</v>
      </c>
      <c r="AF53" s="386">
        <v>11</v>
      </c>
      <c r="AG53" s="386">
        <v>78</v>
      </c>
    </row>
    <row r="54" spans="1:33" x14ac:dyDescent="0.25">
      <c r="A54" s="381" t="s">
        <v>168</v>
      </c>
      <c r="B54" s="387" t="s">
        <v>169</v>
      </c>
      <c r="C54" s="383">
        <v>3819</v>
      </c>
      <c r="D54" s="383">
        <v>0</v>
      </c>
      <c r="E54" s="383">
        <v>370</v>
      </c>
      <c r="F54" s="383">
        <v>557</v>
      </c>
      <c r="G54" s="383">
        <v>139</v>
      </c>
      <c r="H54" s="383">
        <v>4885</v>
      </c>
      <c r="I54" s="382">
        <v>4746</v>
      </c>
      <c r="J54" s="382">
        <v>0</v>
      </c>
      <c r="K54" s="384">
        <v>82.65</v>
      </c>
      <c r="L54" s="384">
        <v>82.35</v>
      </c>
      <c r="M54" s="384">
        <v>6.19</v>
      </c>
      <c r="N54" s="384">
        <v>86.34</v>
      </c>
      <c r="O54" s="385">
        <v>3168</v>
      </c>
      <c r="P54" s="382">
        <v>89.32</v>
      </c>
      <c r="Q54" s="382">
        <v>77.47</v>
      </c>
      <c r="R54" s="382">
        <v>36.06</v>
      </c>
      <c r="S54" s="382">
        <v>122.31</v>
      </c>
      <c r="T54" s="382">
        <v>716</v>
      </c>
      <c r="U54" s="382">
        <v>104.47</v>
      </c>
      <c r="V54" s="382">
        <v>371</v>
      </c>
      <c r="W54" s="382">
        <v>126.87</v>
      </c>
      <c r="X54" s="382">
        <v>17</v>
      </c>
      <c r="Y54" s="382">
        <v>13</v>
      </c>
      <c r="Z54" s="382">
        <v>5</v>
      </c>
      <c r="AA54" s="382">
        <v>18</v>
      </c>
      <c r="AB54" s="382">
        <v>3</v>
      </c>
      <c r="AC54" s="382">
        <v>9</v>
      </c>
      <c r="AD54" s="386">
        <v>3506</v>
      </c>
      <c r="AE54" s="386">
        <v>22</v>
      </c>
      <c r="AF54" s="386">
        <v>22</v>
      </c>
      <c r="AG54" s="386">
        <v>44</v>
      </c>
    </row>
    <row r="55" spans="1:33" x14ac:dyDescent="0.25">
      <c r="A55" s="381" t="s">
        <v>170</v>
      </c>
      <c r="B55" s="387" t="s">
        <v>171</v>
      </c>
      <c r="C55" s="383">
        <v>13025</v>
      </c>
      <c r="D55" s="383">
        <v>2</v>
      </c>
      <c r="E55" s="383">
        <v>202</v>
      </c>
      <c r="F55" s="383">
        <v>921</v>
      </c>
      <c r="G55" s="383">
        <v>167</v>
      </c>
      <c r="H55" s="383">
        <v>14317</v>
      </c>
      <c r="I55" s="382">
        <v>14150</v>
      </c>
      <c r="J55" s="382">
        <v>71</v>
      </c>
      <c r="K55" s="384">
        <v>78.45</v>
      </c>
      <c r="L55" s="384">
        <v>80.650000000000006</v>
      </c>
      <c r="M55" s="384">
        <v>7.44</v>
      </c>
      <c r="N55" s="384">
        <v>85.55</v>
      </c>
      <c r="O55" s="385">
        <v>12489</v>
      </c>
      <c r="P55" s="382">
        <v>84.18</v>
      </c>
      <c r="Q55" s="382">
        <v>78.760000000000005</v>
      </c>
      <c r="R55" s="382">
        <v>34</v>
      </c>
      <c r="S55" s="382">
        <v>117.89</v>
      </c>
      <c r="T55" s="382">
        <v>1039</v>
      </c>
      <c r="U55" s="382">
        <v>97.57</v>
      </c>
      <c r="V55" s="382">
        <v>458</v>
      </c>
      <c r="W55" s="382">
        <v>0</v>
      </c>
      <c r="X55" s="382">
        <v>0</v>
      </c>
      <c r="Y55" s="382">
        <v>0</v>
      </c>
      <c r="Z55" s="382">
        <v>49</v>
      </c>
      <c r="AA55" s="382">
        <v>4</v>
      </c>
      <c r="AB55" s="382">
        <v>0</v>
      </c>
      <c r="AC55" s="382">
        <v>8</v>
      </c>
      <c r="AD55" s="386">
        <v>13001</v>
      </c>
      <c r="AE55" s="386">
        <v>343</v>
      </c>
      <c r="AF55" s="386">
        <v>176</v>
      </c>
      <c r="AG55" s="386">
        <v>519</v>
      </c>
    </row>
    <row r="56" spans="1:33" x14ac:dyDescent="0.25">
      <c r="A56" s="381" t="s">
        <v>172</v>
      </c>
      <c r="B56" s="387" t="s">
        <v>173</v>
      </c>
      <c r="C56" s="383">
        <v>3409</v>
      </c>
      <c r="D56" s="383">
        <v>607</v>
      </c>
      <c r="E56" s="383">
        <v>497</v>
      </c>
      <c r="F56" s="383">
        <v>478</v>
      </c>
      <c r="G56" s="383">
        <v>478</v>
      </c>
      <c r="H56" s="383">
        <v>5469</v>
      </c>
      <c r="I56" s="382">
        <v>4991</v>
      </c>
      <c r="J56" s="382">
        <v>1</v>
      </c>
      <c r="K56" s="384">
        <v>110.52</v>
      </c>
      <c r="L56" s="384">
        <v>105.6</v>
      </c>
      <c r="M56" s="384">
        <v>7.21</v>
      </c>
      <c r="N56" s="384">
        <v>115.11</v>
      </c>
      <c r="O56" s="385">
        <v>2458</v>
      </c>
      <c r="P56" s="382">
        <v>94.56</v>
      </c>
      <c r="Q56" s="382">
        <v>94.1</v>
      </c>
      <c r="R56" s="382">
        <v>57.54</v>
      </c>
      <c r="S56" s="382">
        <v>149.25</v>
      </c>
      <c r="T56" s="382">
        <v>827</v>
      </c>
      <c r="U56" s="382">
        <v>148.34</v>
      </c>
      <c r="V56" s="382">
        <v>530</v>
      </c>
      <c r="W56" s="382">
        <v>130.22</v>
      </c>
      <c r="X56" s="382">
        <v>2</v>
      </c>
      <c r="Y56" s="382">
        <v>0</v>
      </c>
      <c r="Z56" s="382">
        <v>0</v>
      </c>
      <c r="AA56" s="382">
        <v>0</v>
      </c>
      <c r="AB56" s="382">
        <v>86</v>
      </c>
      <c r="AC56" s="382">
        <v>30</v>
      </c>
      <c r="AD56" s="386">
        <v>3135</v>
      </c>
      <c r="AE56" s="386">
        <v>24</v>
      </c>
      <c r="AF56" s="386">
        <v>4</v>
      </c>
      <c r="AG56" s="386">
        <v>28</v>
      </c>
    </row>
    <row r="57" spans="1:33" x14ac:dyDescent="0.25">
      <c r="A57" s="381" t="s">
        <v>174</v>
      </c>
      <c r="B57" s="387" t="s">
        <v>175</v>
      </c>
      <c r="C57" s="383">
        <v>7955</v>
      </c>
      <c r="D57" s="383">
        <v>730</v>
      </c>
      <c r="E57" s="383">
        <v>1565</v>
      </c>
      <c r="F57" s="383">
        <v>968</v>
      </c>
      <c r="G57" s="383">
        <v>491</v>
      </c>
      <c r="H57" s="383">
        <v>11709</v>
      </c>
      <c r="I57" s="382">
        <v>11218</v>
      </c>
      <c r="J57" s="382">
        <v>173</v>
      </c>
      <c r="K57" s="384">
        <v>135.57</v>
      </c>
      <c r="L57" s="384">
        <v>129.63999999999999</v>
      </c>
      <c r="M57" s="384">
        <v>11.77</v>
      </c>
      <c r="N57" s="384">
        <v>145.69999999999999</v>
      </c>
      <c r="O57" s="385">
        <v>6166</v>
      </c>
      <c r="P57" s="382">
        <v>116.27</v>
      </c>
      <c r="Q57" s="382">
        <v>111.02</v>
      </c>
      <c r="R57" s="382">
        <v>62.21</v>
      </c>
      <c r="S57" s="382">
        <v>168.91</v>
      </c>
      <c r="T57" s="382">
        <v>2374</v>
      </c>
      <c r="U57" s="382">
        <v>215.62</v>
      </c>
      <c r="V57" s="382">
        <v>266</v>
      </c>
      <c r="W57" s="382">
        <v>0</v>
      </c>
      <c r="X57" s="382">
        <v>0</v>
      </c>
      <c r="Y57" s="382">
        <v>12</v>
      </c>
      <c r="Z57" s="382">
        <v>2</v>
      </c>
      <c r="AA57" s="382">
        <v>5</v>
      </c>
      <c r="AB57" s="382">
        <v>20</v>
      </c>
      <c r="AC57" s="382">
        <v>94</v>
      </c>
      <c r="AD57" s="386">
        <v>6571</v>
      </c>
      <c r="AE57" s="386">
        <v>43</v>
      </c>
      <c r="AF57" s="386">
        <v>39</v>
      </c>
      <c r="AG57" s="386">
        <v>82</v>
      </c>
    </row>
    <row r="58" spans="1:33" x14ac:dyDescent="0.25">
      <c r="A58" s="381" t="s">
        <v>176</v>
      </c>
      <c r="B58" s="387" t="s">
        <v>177</v>
      </c>
      <c r="C58" s="383">
        <v>1370</v>
      </c>
      <c r="D58" s="383">
        <v>3</v>
      </c>
      <c r="E58" s="383">
        <v>219</v>
      </c>
      <c r="F58" s="383">
        <v>270</v>
      </c>
      <c r="G58" s="383">
        <v>255</v>
      </c>
      <c r="H58" s="383">
        <v>2117</v>
      </c>
      <c r="I58" s="382">
        <v>1862</v>
      </c>
      <c r="J58" s="382">
        <v>0</v>
      </c>
      <c r="K58" s="384">
        <v>91.56</v>
      </c>
      <c r="L58" s="384">
        <v>91.37</v>
      </c>
      <c r="M58" s="384">
        <v>5.01</v>
      </c>
      <c r="N58" s="384">
        <v>94.73</v>
      </c>
      <c r="O58" s="385">
        <v>1209</v>
      </c>
      <c r="P58" s="382">
        <v>87.4</v>
      </c>
      <c r="Q58" s="382">
        <v>86.7</v>
      </c>
      <c r="R58" s="382">
        <v>55.73</v>
      </c>
      <c r="S58" s="382">
        <v>142.31</v>
      </c>
      <c r="T58" s="382">
        <v>340</v>
      </c>
      <c r="U58" s="382">
        <v>110.83</v>
      </c>
      <c r="V58" s="382">
        <v>123</v>
      </c>
      <c r="W58" s="382">
        <v>157.52000000000001</v>
      </c>
      <c r="X58" s="382">
        <v>77</v>
      </c>
      <c r="Y58" s="382">
        <v>0</v>
      </c>
      <c r="Z58" s="382">
        <v>3</v>
      </c>
      <c r="AA58" s="382">
        <v>0</v>
      </c>
      <c r="AB58" s="382">
        <v>14</v>
      </c>
      <c r="AC58" s="382">
        <v>3</v>
      </c>
      <c r="AD58" s="386">
        <v>1351</v>
      </c>
      <c r="AE58" s="386">
        <v>8</v>
      </c>
      <c r="AF58" s="386">
        <v>3</v>
      </c>
      <c r="AG58" s="386">
        <v>11</v>
      </c>
    </row>
    <row r="59" spans="1:33" x14ac:dyDescent="0.25">
      <c r="A59" s="381" t="s">
        <v>178</v>
      </c>
      <c r="B59" s="387" t="s">
        <v>179</v>
      </c>
      <c r="C59" s="383">
        <v>1930</v>
      </c>
      <c r="D59" s="383">
        <v>0</v>
      </c>
      <c r="E59" s="383">
        <v>139</v>
      </c>
      <c r="F59" s="383">
        <v>380</v>
      </c>
      <c r="G59" s="383">
        <v>447</v>
      </c>
      <c r="H59" s="383">
        <v>2896</v>
      </c>
      <c r="I59" s="382">
        <v>2449</v>
      </c>
      <c r="J59" s="382">
        <v>7</v>
      </c>
      <c r="K59" s="384">
        <v>104.11</v>
      </c>
      <c r="L59" s="384">
        <v>103.77</v>
      </c>
      <c r="M59" s="384">
        <v>7.68</v>
      </c>
      <c r="N59" s="384">
        <v>110.45</v>
      </c>
      <c r="O59" s="385">
        <v>1371</v>
      </c>
      <c r="P59" s="382">
        <v>85.54</v>
      </c>
      <c r="Q59" s="382">
        <v>84.51</v>
      </c>
      <c r="R59" s="382">
        <v>45.5</v>
      </c>
      <c r="S59" s="382">
        <v>129.52000000000001</v>
      </c>
      <c r="T59" s="382">
        <v>509</v>
      </c>
      <c r="U59" s="382">
        <v>146.12</v>
      </c>
      <c r="V59" s="382">
        <v>277</v>
      </c>
      <c r="W59" s="382">
        <v>0</v>
      </c>
      <c r="X59" s="382">
        <v>0</v>
      </c>
      <c r="Y59" s="382">
        <v>0</v>
      </c>
      <c r="Z59" s="382">
        <v>2</v>
      </c>
      <c r="AA59" s="382">
        <v>0</v>
      </c>
      <c r="AB59" s="382">
        <v>12</v>
      </c>
      <c r="AC59" s="382">
        <v>9</v>
      </c>
      <c r="AD59" s="386">
        <v>1745</v>
      </c>
      <c r="AE59" s="386">
        <v>1</v>
      </c>
      <c r="AF59" s="386">
        <v>3</v>
      </c>
      <c r="AG59" s="386">
        <v>4</v>
      </c>
    </row>
    <row r="60" spans="1:33" x14ac:dyDescent="0.25">
      <c r="A60" s="381" t="s">
        <v>180</v>
      </c>
      <c r="B60" s="387" t="s">
        <v>181</v>
      </c>
      <c r="C60" s="383">
        <v>7023</v>
      </c>
      <c r="D60" s="383">
        <v>11</v>
      </c>
      <c r="E60" s="383">
        <v>249</v>
      </c>
      <c r="F60" s="383">
        <v>376</v>
      </c>
      <c r="G60" s="383">
        <v>349</v>
      </c>
      <c r="H60" s="383">
        <v>8008</v>
      </c>
      <c r="I60" s="382">
        <v>7659</v>
      </c>
      <c r="J60" s="382">
        <v>2</v>
      </c>
      <c r="K60" s="384">
        <v>82.81</v>
      </c>
      <c r="L60" s="384">
        <v>79.97</v>
      </c>
      <c r="M60" s="384">
        <v>3.38</v>
      </c>
      <c r="N60" s="384">
        <v>85.26</v>
      </c>
      <c r="O60" s="385">
        <v>6030</v>
      </c>
      <c r="P60" s="382">
        <v>89.24</v>
      </c>
      <c r="Q60" s="382">
        <v>77.290000000000006</v>
      </c>
      <c r="R60" s="382">
        <v>29.43</v>
      </c>
      <c r="S60" s="382">
        <v>114.52</v>
      </c>
      <c r="T60" s="382">
        <v>574</v>
      </c>
      <c r="U60" s="382">
        <v>92.41</v>
      </c>
      <c r="V60" s="382">
        <v>974</v>
      </c>
      <c r="W60" s="382">
        <v>0</v>
      </c>
      <c r="X60" s="382">
        <v>0</v>
      </c>
      <c r="Y60" s="382">
        <v>32</v>
      </c>
      <c r="Z60" s="382">
        <v>18</v>
      </c>
      <c r="AA60" s="382">
        <v>16</v>
      </c>
      <c r="AB60" s="382">
        <v>0</v>
      </c>
      <c r="AC60" s="382">
        <v>4</v>
      </c>
      <c r="AD60" s="386">
        <v>7007</v>
      </c>
      <c r="AE60" s="386">
        <v>100</v>
      </c>
      <c r="AF60" s="386">
        <v>28</v>
      </c>
      <c r="AG60" s="386">
        <v>128</v>
      </c>
    </row>
    <row r="61" spans="1:33" x14ac:dyDescent="0.25">
      <c r="A61" s="381" t="s">
        <v>182</v>
      </c>
      <c r="B61" s="387" t="s">
        <v>183</v>
      </c>
      <c r="C61" s="383">
        <v>452</v>
      </c>
      <c r="D61" s="383">
        <v>0</v>
      </c>
      <c r="E61" s="383">
        <v>52</v>
      </c>
      <c r="F61" s="383">
        <v>73</v>
      </c>
      <c r="G61" s="383">
        <v>72</v>
      </c>
      <c r="H61" s="383">
        <v>649</v>
      </c>
      <c r="I61" s="382">
        <v>577</v>
      </c>
      <c r="J61" s="382">
        <v>0</v>
      </c>
      <c r="K61" s="384">
        <v>108.98</v>
      </c>
      <c r="L61" s="384">
        <v>108.6</v>
      </c>
      <c r="M61" s="384">
        <v>6.33</v>
      </c>
      <c r="N61" s="384">
        <v>112.66</v>
      </c>
      <c r="O61" s="385">
        <v>381</v>
      </c>
      <c r="P61" s="382">
        <v>89.83</v>
      </c>
      <c r="Q61" s="382">
        <v>85.59</v>
      </c>
      <c r="R61" s="382">
        <v>56.88</v>
      </c>
      <c r="S61" s="382">
        <v>145.68</v>
      </c>
      <c r="T61" s="382">
        <v>110</v>
      </c>
      <c r="U61" s="382">
        <v>146.6</v>
      </c>
      <c r="V61" s="382">
        <v>60</v>
      </c>
      <c r="W61" s="382">
        <v>0</v>
      </c>
      <c r="X61" s="382">
        <v>0</v>
      </c>
      <c r="Y61" s="382">
        <v>0</v>
      </c>
      <c r="Z61" s="382">
        <v>0</v>
      </c>
      <c r="AA61" s="382">
        <v>1</v>
      </c>
      <c r="AB61" s="382">
        <v>5</v>
      </c>
      <c r="AC61" s="382">
        <v>4</v>
      </c>
      <c r="AD61" s="386">
        <v>452</v>
      </c>
      <c r="AE61" s="386">
        <v>3</v>
      </c>
      <c r="AF61" s="386">
        <v>2</v>
      </c>
      <c r="AG61" s="386">
        <v>5</v>
      </c>
    </row>
    <row r="62" spans="1:33" x14ac:dyDescent="0.25">
      <c r="A62" s="381" t="s">
        <v>184</v>
      </c>
      <c r="B62" s="387" t="s">
        <v>185</v>
      </c>
      <c r="C62" s="383">
        <v>8335</v>
      </c>
      <c r="D62" s="383">
        <v>0</v>
      </c>
      <c r="E62" s="383">
        <v>272</v>
      </c>
      <c r="F62" s="383">
        <v>1643</v>
      </c>
      <c r="G62" s="383">
        <v>1298</v>
      </c>
      <c r="H62" s="383">
        <v>11548</v>
      </c>
      <c r="I62" s="382">
        <v>10250</v>
      </c>
      <c r="J62" s="382">
        <v>16</v>
      </c>
      <c r="K62" s="384">
        <v>104.99</v>
      </c>
      <c r="L62" s="384">
        <v>105.82</v>
      </c>
      <c r="M62" s="384">
        <v>4.6399999999999997</v>
      </c>
      <c r="N62" s="384">
        <v>106.43</v>
      </c>
      <c r="O62" s="385">
        <v>7518</v>
      </c>
      <c r="P62" s="382">
        <v>92.13</v>
      </c>
      <c r="Q62" s="382">
        <v>89.48</v>
      </c>
      <c r="R62" s="382">
        <v>26.57</v>
      </c>
      <c r="S62" s="382">
        <v>105.4</v>
      </c>
      <c r="T62" s="382">
        <v>1819</v>
      </c>
      <c r="U62" s="382">
        <v>136.72999999999999</v>
      </c>
      <c r="V62" s="382">
        <v>664</v>
      </c>
      <c r="W62" s="382">
        <v>121.78</v>
      </c>
      <c r="X62" s="382">
        <v>50</v>
      </c>
      <c r="Y62" s="382">
        <v>0</v>
      </c>
      <c r="Z62" s="382">
        <v>11</v>
      </c>
      <c r="AA62" s="382">
        <v>0</v>
      </c>
      <c r="AB62" s="382">
        <v>91</v>
      </c>
      <c r="AC62" s="382">
        <v>37</v>
      </c>
      <c r="AD62" s="386">
        <v>8259</v>
      </c>
      <c r="AE62" s="386">
        <v>19</v>
      </c>
      <c r="AF62" s="386">
        <v>13</v>
      </c>
      <c r="AG62" s="386">
        <v>32</v>
      </c>
    </row>
    <row r="63" spans="1:33" x14ac:dyDescent="0.25">
      <c r="A63" s="381" t="s">
        <v>186</v>
      </c>
      <c r="B63" s="387" t="s">
        <v>187</v>
      </c>
      <c r="C63" s="383">
        <v>2719</v>
      </c>
      <c r="D63" s="383">
        <v>0</v>
      </c>
      <c r="E63" s="383">
        <v>273</v>
      </c>
      <c r="F63" s="383">
        <v>265</v>
      </c>
      <c r="G63" s="383">
        <v>553</v>
      </c>
      <c r="H63" s="383">
        <v>3810</v>
      </c>
      <c r="I63" s="382">
        <v>3257</v>
      </c>
      <c r="J63" s="382">
        <v>4</v>
      </c>
      <c r="K63" s="384">
        <v>93.47</v>
      </c>
      <c r="L63" s="384">
        <v>91.47</v>
      </c>
      <c r="M63" s="384">
        <v>6.38</v>
      </c>
      <c r="N63" s="384">
        <v>98.37</v>
      </c>
      <c r="O63" s="385">
        <v>2276</v>
      </c>
      <c r="P63" s="382">
        <v>87.89</v>
      </c>
      <c r="Q63" s="382">
        <v>83.52</v>
      </c>
      <c r="R63" s="382">
        <v>51.66</v>
      </c>
      <c r="S63" s="382">
        <v>138.87</v>
      </c>
      <c r="T63" s="382">
        <v>457</v>
      </c>
      <c r="U63" s="382">
        <v>104.91</v>
      </c>
      <c r="V63" s="382">
        <v>380</v>
      </c>
      <c r="W63" s="382">
        <v>0</v>
      </c>
      <c r="X63" s="382">
        <v>0</v>
      </c>
      <c r="Y63" s="382">
        <v>146</v>
      </c>
      <c r="Z63" s="382">
        <v>7</v>
      </c>
      <c r="AA63" s="382">
        <v>10</v>
      </c>
      <c r="AB63" s="382">
        <v>55</v>
      </c>
      <c r="AC63" s="382">
        <v>17</v>
      </c>
      <c r="AD63" s="386">
        <v>2719</v>
      </c>
      <c r="AE63" s="386">
        <v>12</v>
      </c>
      <c r="AF63" s="386">
        <v>18</v>
      </c>
      <c r="AG63" s="386">
        <v>30</v>
      </c>
    </row>
    <row r="64" spans="1:33" x14ac:dyDescent="0.25">
      <c r="A64" s="381" t="s">
        <v>188</v>
      </c>
      <c r="B64" s="387" t="s">
        <v>189</v>
      </c>
      <c r="C64" s="383">
        <v>7207</v>
      </c>
      <c r="D64" s="383">
        <v>250</v>
      </c>
      <c r="E64" s="383">
        <v>1205</v>
      </c>
      <c r="F64" s="383">
        <v>1519</v>
      </c>
      <c r="G64" s="383">
        <v>483</v>
      </c>
      <c r="H64" s="383">
        <v>10664</v>
      </c>
      <c r="I64" s="382">
        <v>10181</v>
      </c>
      <c r="J64" s="382">
        <v>1</v>
      </c>
      <c r="K64" s="384">
        <v>105.39</v>
      </c>
      <c r="L64" s="384">
        <v>105.4</v>
      </c>
      <c r="M64" s="384">
        <v>6.98</v>
      </c>
      <c r="N64" s="384">
        <v>108.47</v>
      </c>
      <c r="O64" s="385">
        <v>6501</v>
      </c>
      <c r="P64" s="382">
        <v>91.44</v>
      </c>
      <c r="Q64" s="382">
        <v>91.17</v>
      </c>
      <c r="R64" s="382">
        <v>24.99</v>
      </c>
      <c r="S64" s="382">
        <v>109.5</v>
      </c>
      <c r="T64" s="382">
        <v>2636</v>
      </c>
      <c r="U64" s="382">
        <v>132.87</v>
      </c>
      <c r="V64" s="382">
        <v>553</v>
      </c>
      <c r="W64" s="382">
        <v>0</v>
      </c>
      <c r="X64" s="382">
        <v>0</v>
      </c>
      <c r="Y64" s="382">
        <v>0</v>
      </c>
      <c r="Z64" s="382">
        <v>15</v>
      </c>
      <c r="AA64" s="382">
        <v>12</v>
      </c>
      <c r="AB64" s="382">
        <v>64</v>
      </c>
      <c r="AC64" s="382">
        <v>6</v>
      </c>
      <c r="AD64" s="386">
        <v>7199</v>
      </c>
      <c r="AE64" s="386">
        <v>32</v>
      </c>
      <c r="AF64" s="386">
        <v>20</v>
      </c>
      <c r="AG64" s="386">
        <v>52</v>
      </c>
    </row>
    <row r="65" spans="1:33" x14ac:dyDescent="0.25">
      <c r="A65" s="381" t="s">
        <v>190</v>
      </c>
      <c r="B65" s="387" t="s">
        <v>191</v>
      </c>
      <c r="C65" s="383">
        <v>1736</v>
      </c>
      <c r="D65" s="383">
        <v>3</v>
      </c>
      <c r="E65" s="383">
        <v>389</v>
      </c>
      <c r="F65" s="383">
        <v>215</v>
      </c>
      <c r="G65" s="383">
        <v>309</v>
      </c>
      <c r="H65" s="383">
        <v>2652</v>
      </c>
      <c r="I65" s="382">
        <v>2343</v>
      </c>
      <c r="J65" s="382">
        <v>0</v>
      </c>
      <c r="K65" s="384">
        <v>96.09</v>
      </c>
      <c r="L65" s="384">
        <v>93.65</v>
      </c>
      <c r="M65" s="384">
        <v>5.25</v>
      </c>
      <c r="N65" s="384">
        <v>100.54</v>
      </c>
      <c r="O65" s="385">
        <v>1467</v>
      </c>
      <c r="P65" s="382">
        <v>87.69</v>
      </c>
      <c r="Q65" s="382">
        <v>84.91</v>
      </c>
      <c r="R65" s="382">
        <v>52.49</v>
      </c>
      <c r="S65" s="382">
        <v>136.30000000000001</v>
      </c>
      <c r="T65" s="382">
        <v>460</v>
      </c>
      <c r="U65" s="382">
        <v>132.74</v>
      </c>
      <c r="V65" s="382">
        <v>176</v>
      </c>
      <c r="W65" s="382">
        <v>202.73</v>
      </c>
      <c r="X65" s="382">
        <v>110</v>
      </c>
      <c r="Y65" s="382">
        <v>0</v>
      </c>
      <c r="Z65" s="382">
        <v>1</v>
      </c>
      <c r="AA65" s="382">
        <v>12</v>
      </c>
      <c r="AB65" s="382">
        <v>2</v>
      </c>
      <c r="AC65" s="382">
        <v>12</v>
      </c>
      <c r="AD65" s="386">
        <v>1613</v>
      </c>
      <c r="AE65" s="386">
        <v>6</v>
      </c>
      <c r="AF65" s="386">
        <v>4</v>
      </c>
      <c r="AG65" s="386">
        <v>10</v>
      </c>
    </row>
    <row r="66" spans="1:33" x14ac:dyDescent="0.25">
      <c r="A66" s="381" t="s">
        <v>192</v>
      </c>
      <c r="B66" s="387" t="s">
        <v>193</v>
      </c>
      <c r="C66" s="383">
        <v>6048</v>
      </c>
      <c r="D66" s="383">
        <v>10</v>
      </c>
      <c r="E66" s="383">
        <v>199</v>
      </c>
      <c r="F66" s="383">
        <v>1487</v>
      </c>
      <c r="G66" s="383">
        <v>538</v>
      </c>
      <c r="H66" s="383">
        <v>8282</v>
      </c>
      <c r="I66" s="382">
        <v>7744</v>
      </c>
      <c r="J66" s="382">
        <v>10</v>
      </c>
      <c r="K66" s="384">
        <v>106.72</v>
      </c>
      <c r="L66" s="384">
        <v>101.97</v>
      </c>
      <c r="M66" s="384">
        <v>5.89</v>
      </c>
      <c r="N66" s="384">
        <v>108.56</v>
      </c>
      <c r="O66" s="385">
        <v>5081</v>
      </c>
      <c r="P66" s="382">
        <v>95.42</v>
      </c>
      <c r="Q66" s="382">
        <v>93.11</v>
      </c>
      <c r="R66" s="382">
        <v>21.78</v>
      </c>
      <c r="S66" s="382">
        <v>116.4</v>
      </c>
      <c r="T66" s="382">
        <v>1562</v>
      </c>
      <c r="U66" s="382">
        <v>154.02000000000001</v>
      </c>
      <c r="V66" s="382">
        <v>898</v>
      </c>
      <c r="W66" s="382">
        <v>201.52</v>
      </c>
      <c r="X66" s="382">
        <v>95</v>
      </c>
      <c r="Y66" s="382">
        <v>0</v>
      </c>
      <c r="Z66" s="382">
        <v>15</v>
      </c>
      <c r="AA66" s="382">
        <v>13</v>
      </c>
      <c r="AB66" s="382">
        <v>80</v>
      </c>
      <c r="AC66" s="382">
        <v>17</v>
      </c>
      <c r="AD66" s="386">
        <v>6000</v>
      </c>
      <c r="AE66" s="386">
        <v>11</v>
      </c>
      <c r="AF66" s="386">
        <v>11</v>
      </c>
      <c r="AG66" s="386">
        <v>22</v>
      </c>
    </row>
    <row r="67" spans="1:33" x14ac:dyDescent="0.25">
      <c r="A67" s="381" t="s">
        <v>194</v>
      </c>
      <c r="B67" s="387" t="s">
        <v>195</v>
      </c>
      <c r="C67" s="383">
        <v>15370</v>
      </c>
      <c r="D67" s="383">
        <v>4</v>
      </c>
      <c r="E67" s="383">
        <v>819</v>
      </c>
      <c r="F67" s="383">
        <v>3963</v>
      </c>
      <c r="G67" s="383">
        <v>785</v>
      </c>
      <c r="H67" s="383">
        <v>20941</v>
      </c>
      <c r="I67" s="382">
        <v>20156</v>
      </c>
      <c r="J67" s="382">
        <v>92</v>
      </c>
      <c r="K67" s="384">
        <v>90.28</v>
      </c>
      <c r="L67" s="384">
        <v>90.42</v>
      </c>
      <c r="M67" s="384">
        <v>6.28</v>
      </c>
      <c r="N67" s="384">
        <v>92.52</v>
      </c>
      <c r="O67" s="385">
        <v>12352</v>
      </c>
      <c r="P67" s="382">
        <v>88.62</v>
      </c>
      <c r="Q67" s="382">
        <v>86.73</v>
      </c>
      <c r="R67" s="382">
        <v>21.02</v>
      </c>
      <c r="S67" s="382">
        <v>106.71</v>
      </c>
      <c r="T67" s="382">
        <v>4424</v>
      </c>
      <c r="U67" s="382">
        <v>109.95</v>
      </c>
      <c r="V67" s="382">
        <v>2959</v>
      </c>
      <c r="W67" s="382">
        <v>108.05</v>
      </c>
      <c r="X67" s="382">
        <v>140</v>
      </c>
      <c r="Y67" s="382">
        <v>4</v>
      </c>
      <c r="Z67" s="382">
        <v>41</v>
      </c>
      <c r="AA67" s="382">
        <v>0</v>
      </c>
      <c r="AB67" s="382">
        <v>65</v>
      </c>
      <c r="AC67" s="382">
        <v>16</v>
      </c>
      <c r="AD67" s="386">
        <v>15362</v>
      </c>
      <c r="AE67" s="386">
        <v>62</v>
      </c>
      <c r="AF67" s="386">
        <v>49</v>
      </c>
      <c r="AG67" s="386">
        <v>111</v>
      </c>
    </row>
    <row r="68" spans="1:33" x14ac:dyDescent="0.25">
      <c r="A68" s="381" t="s">
        <v>196</v>
      </c>
      <c r="B68" s="387" t="s">
        <v>197</v>
      </c>
      <c r="C68" s="382">
        <v>13900</v>
      </c>
      <c r="D68" s="382">
        <v>12</v>
      </c>
      <c r="E68" s="382">
        <v>526</v>
      </c>
      <c r="F68" s="382">
        <v>3305</v>
      </c>
      <c r="G68" s="382">
        <v>1298</v>
      </c>
      <c r="H68" s="382">
        <v>19041</v>
      </c>
      <c r="I68" s="382">
        <v>17743</v>
      </c>
      <c r="J68" s="382">
        <v>1</v>
      </c>
      <c r="K68" s="382">
        <v>93.33</v>
      </c>
      <c r="L68" s="382">
        <v>94.1</v>
      </c>
      <c r="M68" s="382">
        <v>4.55</v>
      </c>
      <c r="N68" s="382">
        <v>94.84</v>
      </c>
      <c r="O68" s="385">
        <v>12020</v>
      </c>
      <c r="P68" s="382">
        <v>89.27</v>
      </c>
      <c r="Q68" s="382">
        <v>85.82</v>
      </c>
      <c r="R68" s="382">
        <v>26.88</v>
      </c>
      <c r="S68" s="382">
        <v>108.47</v>
      </c>
      <c r="T68" s="382">
        <v>3230</v>
      </c>
      <c r="U68" s="382">
        <v>112.8</v>
      </c>
      <c r="V68" s="382">
        <v>1633</v>
      </c>
      <c r="W68" s="382">
        <v>148.65</v>
      </c>
      <c r="X68" s="382">
        <v>388</v>
      </c>
      <c r="Y68" s="382">
        <v>4</v>
      </c>
      <c r="Z68" s="382">
        <v>51</v>
      </c>
      <c r="AA68" s="382">
        <v>7</v>
      </c>
      <c r="AB68" s="382">
        <v>119</v>
      </c>
      <c r="AC68" s="382">
        <v>14</v>
      </c>
      <c r="AD68" s="382">
        <v>13760</v>
      </c>
      <c r="AE68" s="382">
        <v>49</v>
      </c>
      <c r="AF68" s="382">
        <v>36</v>
      </c>
      <c r="AG68" s="382">
        <v>85</v>
      </c>
    </row>
    <row r="69" spans="1:33" x14ac:dyDescent="0.25">
      <c r="A69" s="381" t="s">
        <v>198</v>
      </c>
      <c r="B69" s="387" t="s">
        <v>199</v>
      </c>
      <c r="C69" s="382">
        <v>825</v>
      </c>
      <c r="D69" s="382">
        <v>0</v>
      </c>
      <c r="E69" s="382">
        <v>122</v>
      </c>
      <c r="F69" s="382">
        <v>492</v>
      </c>
      <c r="G69" s="382">
        <v>87</v>
      </c>
      <c r="H69" s="382">
        <v>1526</v>
      </c>
      <c r="I69" s="382">
        <v>1439</v>
      </c>
      <c r="J69" s="382">
        <v>0</v>
      </c>
      <c r="K69" s="382">
        <v>88.25</v>
      </c>
      <c r="L69" s="384">
        <v>86.81</v>
      </c>
      <c r="M69" s="384">
        <v>6.4</v>
      </c>
      <c r="N69" s="384">
        <v>90.96</v>
      </c>
      <c r="O69" s="385">
        <v>654</v>
      </c>
      <c r="P69" s="382">
        <v>88.18</v>
      </c>
      <c r="Q69" s="382">
        <v>82.55</v>
      </c>
      <c r="R69" s="382">
        <v>24.84</v>
      </c>
      <c r="S69" s="382">
        <v>112.08</v>
      </c>
      <c r="T69" s="382">
        <v>578</v>
      </c>
      <c r="U69" s="382">
        <v>94.33</v>
      </c>
      <c r="V69" s="382">
        <v>59</v>
      </c>
      <c r="W69" s="382">
        <v>0</v>
      </c>
      <c r="X69" s="382">
        <v>0</v>
      </c>
      <c r="Y69" s="382">
        <v>0</v>
      </c>
      <c r="Z69" s="382">
        <v>0</v>
      </c>
      <c r="AA69" s="382">
        <v>0</v>
      </c>
      <c r="AB69" s="382">
        <v>0</v>
      </c>
      <c r="AC69" s="382">
        <v>3</v>
      </c>
      <c r="AD69" s="382">
        <v>711</v>
      </c>
      <c r="AE69" s="382">
        <v>4</v>
      </c>
      <c r="AF69" s="382">
        <v>4</v>
      </c>
      <c r="AG69" s="382">
        <v>8</v>
      </c>
    </row>
    <row r="70" spans="1:33" ht="14.5" x14ac:dyDescent="0.35">
      <c r="A70" s="388" t="s">
        <v>200</v>
      </c>
      <c r="B70" s="388" t="s">
        <v>201</v>
      </c>
      <c r="C70" s="382">
        <v>7073</v>
      </c>
      <c r="D70" s="382">
        <v>0</v>
      </c>
      <c r="E70" s="382">
        <v>183</v>
      </c>
      <c r="F70" s="382">
        <v>731</v>
      </c>
      <c r="G70" s="382">
        <v>503</v>
      </c>
      <c r="H70" s="382">
        <v>8490</v>
      </c>
      <c r="I70" s="382">
        <v>7987</v>
      </c>
      <c r="J70" s="382">
        <v>98</v>
      </c>
      <c r="K70" s="389">
        <v>101.87</v>
      </c>
      <c r="L70" s="389">
        <v>108.1</v>
      </c>
      <c r="M70" s="389">
        <v>5.87</v>
      </c>
      <c r="N70" s="389">
        <v>104.66</v>
      </c>
      <c r="O70" s="382">
        <v>6312</v>
      </c>
      <c r="P70" s="389">
        <v>95.44</v>
      </c>
      <c r="Q70" s="389">
        <v>95.97</v>
      </c>
      <c r="R70" s="389">
        <v>30.32</v>
      </c>
      <c r="S70" s="389">
        <v>124.78</v>
      </c>
      <c r="T70" s="382">
        <v>714</v>
      </c>
      <c r="U70" s="389">
        <v>152.1</v>
      </c>
      <c r="V70" s="382">
        <v>712</v>
      </c>
      <c r="W70" s="389">
        <v>0</v>
      </c>
      <c r="X70" s="382">
        <v>0</v>
      </c>
      <c r="Y70" s="382">
        <v>38</v>
      </c>
      <c r="Z70" s="382">
        <v>4</v>
      </c>
      <c r="AA70" s="382">
        <v>1</v>
      </c>
      <c r="AB70" s="382">
        <v>64</v>
      </c>
      <c r="AC70" s="382">
        <v>16</v>
      </c>
      <c r="AD70" s="382">
        <v>7009</v>
      </c>
      <c r="AE70" s="382">
        <v>58</v>
      </c>
      <c r="AF70" s="382">
        <v>24</v>
      </c>
      <c r="AG70" s="382">
        <v>82</v>
      </c>
    </row>
    <row r="71" spans="1:33" x14ac:dyDescent="0.25">
      <c r="A71" s="381" t="s">
        <v>202</v>
      </c>
      <c r="B71" s="387" t="s">
        <v>203</v>
      </c>
      <c r="C71" s="383">
        <v>5818</v>
      </c>
      <c r="D71" s="383">
        <v>2</v>
      </c>
      <c r="E71" s="383">
        <v>309</v>
      </c>
      <c r="F71" s="383">
        <v>529</v>
      </c>
      <c r="G71" s="383">
        <v>147</v>
      </c>
      <c r="H71" s="383">
        <v>6805</v>
      </c>
      <c r="I71" s="382">
        <v>6658</v>
      </c>
      <c r="J71" s="382">
        <v>41</v>
      </c>
      <c r="K71" s="384">
        <v>80.260000000000005</v>
      </c>
      <c r="L71" s="384">
        <v>78.61</v>
      </c>
      <c r="M71" s="384">
        <v>5.68</v>
      </c>
      <c r="N71" s="384">
        <v>84.11</v>
      </c>
      <c r="O71" s="385">
        <v>5285</v>
      </c>
      <c r="P71" s="382">
        <v>88.86</v>
      </c>
      <c r="Q71" s="382">
        <v>71.13</v>
      </c>
      <c r="R71" s="382">
        <v>25.95</v>
      </c>
      <c r="S71" s="382">
        <v>114.67</v>
      </c>
      <c r="T71" s="382">
        <v>767</v>
      </c>
      <c r="U71" s="382">
        <v>102.15</v>
      </c>
      <c r="V71" s="382">
        <v>490</v>
      </c>
      <c r="W71" s="382">
        <v>0</v>
      </c>
      <c r="X71" s="382">
        <v>0</v>
      </c>
      <c r="Y71" s="382">
        <v>46</v>
      </c>
      <c r="Z71" s="382">
        <v>15</v>
      </c>
      <c r="AA71" s="382">
        <v>0</v>
      </c>
      <c r="AB71" s="382">
        <v>30</v>
      </c>
      <c r="AC71" s="382">
        <v>1</v>
      </c>
      <c r="AD71" s="386">
        <v>5793</v>
      </c>
      <c r="AE71" s="386">
        <v>15</v>
      </c>
      <c r="AF71" s="386">
        <v>15</v>
      </c>
      <c r="AG71" s="386">
        <v>30</v>
      </c>
    </row>
    <row r="72" spans="1:33" x14ac:dyDescent="0.25">
      <c r="A72" s="381" t="s">
        <v>204</v>
      </c>
      <c r="B72" s="387" t="s">
        <v>205</v>
      </c>
      <c r="C72" s="383">
        <v>194</v>
      </c>
      <c r="D72" s="383">
        <v>0</v>
      </c>
      <c r="E72" s="383">
        <v>0</v>
      </c>
      <c r="F72" s="383">
        <v>18</v>
      </c>
      <c r="G72" s="383">
        <v>0</v>
      </c>
      <c r="H72" s="383">
        <v>212</v>
      </c>
      <c r="I72" s="382">
        <v>212</v>
      </c>
      <c r="J72" s="382">
        <v>0</v>
      </c>
      <c r="K72" s="384">
        <v>126.93</v>
      </c>
      <c r="L72" s="384">
        <v>129.47999999999999</v>
      </c>
      <c r="M72" s="384">
        <v>12.04</v>
      </c>
      <c r="N72" s="384">
        <v>138.76</v>
      </c>
      <c r="O72" s="385">
        <v>170</v>
      </c>
      <c r="P72" s="382">
        <v>109.98</v>
      </c>
      <c r="Q72" s="382">
        <v>121.63</v>
      </c>
      <c r="R72" s="382">
        <v>34.76</v>
      </c>
      <c r="S72" s="382">
        <v>144.74</v>
      </c>
      <c r="T72" s="382">
        <v>18</v>
      </c>
      <c r="U72" s="382">
        <v>218.67</v>
      </c>
      <c r="V72" s="382">
        <v>24</v>
      </c>
      <c r="W72" s="382">
        <v>0</v>
      </c>
      <c r="X72" s="382">
        <v>0</v>
      </c>
      <c r="Y72" s="382">
        <v>0</v>
      </c>
      <c r="Z72" s="382">
        <v>0</v>
      </c>
      <c r="AA72" s="382">
        <v>0</v>
      </c>
      <c r="AB72" s="382">
        <v>0</v>
      </c>
      <c r="AC72" s="382">
        <v>0</v>
      </c>
      <c r="AD72" s="386">
        <v>194</v>
      </c>
      <c r="AE72" s="386">
        <v>2</v>
      </c>
      <c r="AF72" s="386">
        <v>5</v>
      </c>
      <c r="AG72" s="386">
        <v>7</v>
      </c>
    </row>
    <row r="73" spans="1:33" x14ac:dyDescent="0.25">
      <c r="A73" s="381" t="s">
        <v>206</v>
      </c>
      <c r="B73" s="387" t="s">
        <v>207</v>
      </c>
      <c r="C73" s="383">
        <v>3885</v>
      </c>
      <c r="D73" s="383">
        <v>184</v>
      </c>
      <c r="E73" s="383">
        <v>588</v>
      </c>
      <c r="F73" s="383">
        <v>355</v>
      </c>
      <c r="G73" s="383">
        <v>266</v>
      </c>
      <c r="H73" s="383">
        <v>5278</v>
      </c>
      <c r="I73" s="382">
        <v>5012</v>
      </c>
      <c r="J73" s="382">
        <v>18</v>
      </c>
      <c r="K73" s="384">
        <v>104.22</v>
      </c>
      <c r="L73" s="384">
        <v>103.73</v>
      </c>
      <c r="M73" s="384">
        <v>5.62</v>
      </c>
      <c r="N73" s="384">
        <v>108.77</v>
      </c>
      <c r="O73" s="385">
        <v>2827</v>
      </c>
      <c r="P73" s="382">
        <v>98.45</v>
      </c>
      <c r="Q73" s="382">
        <v>86.9</v>
      </c>
      <c r="R73" s="382">
        <v>43.38</v>
      </c>
      <c r="S73" s="382">
        <v>135.35</v>
      </c>
      <c r="T73" s="382">
        <v>642</v>
      </c>
      <c r="U73" s="382">
        <v>131.15</v>
      </c>
      <c r="V73" s="382">
        <v>775</v>
      </c>
      <c r="W73" s="382">
        <v>112.77</v>
      </c>
      <c r="X73" s="382">
        <v>34</v>
      </c>
      <c r="Y73" s="382">
        <v>43</v>
      </c>
      <c r="Z73" s="382">
        <v>1</v>
      </c>
      <c r="AA73" s="382">
        <v>3</v>
      </c>
      <c r="AB73" s="382">
        <v>13</v>
      </c>
      <c r="AC73" s="382">
        <v>9</v>
      </c>
      <c r="AD73" s="386">
        <v>3824</v>
      </c>
      <c r="AE73" s="386">
        <v>18</v>
      </c>
      <c r="AF73" s="386">
        <v>24</v>
      </c>
      <c r="AG73" s="386">
        <v>42</v>
      </c>
    </row>
    <row r="74" spans="1:33" x14ac:dyDescent="0.25">
      <c r="A74" s="381" t="s">
        <v>208</v>
      </c>
      <c r="B74" s="387" t="s">
        <v>209</v>
      </c>
      <c r="C74" s="383">
        <v>5673</v>
      </c>
      <c r="D74" s="383">
        <v>33</v>
      </c>
      <c r="E74" s="383">
        <v>61</v>
      </c>
      <c r="F74" s="383">
        <v>307</v>
      </c>
      <c r="G74" s="383">
        <v>46</v>
      </c>
      <c r="H74" s="383">
        <v>6120</v>
      </c>
      <c r="I74" s="382">
        <v>6074</v>
      </c>
      <c r="J74" s="382">
        <v>6</v>
      </c>
      <c r="K74" s="384">
        <v>86.25</v>
      </c>
      <c r="L74" s="384">
        <v>87.51</v>
      </c>
      <c r="M74" s="384">
        <v>1.2</v>
      </c>
      <c r="N74" s="384">
        <v>87.32</v>
      </c>
      <c r="O74" s="385">
        <v>5503</v>
      </c>
      <c r="P74" s="382">
        <v>79.42</v>
      </c>
      <c r="Q74" s="382">
        <v>77.88</v>
      </c>
      <c r="R74" s="382">
        <v>36.69</v>
      </c>
      <c r="S74" s="382">
        <v>115.7</v>
      </c>
      <c r="T74" s="382">
        <v>361</v>
      </c>
      <c r="U74" s="382">
        <v>94.59</v>
      </c>
      <c r="V74" s="382">
        <v>171</v>
      </c>
      <c r="W74" s="382">
        <v>0</v>
      </c>
      <c r="X74" s="382">
        <v>0</v>
      </c>
      <c r="Y74" s="382">
        <v>0</v>
      </c>
      <c r="Z74" s="382">
        <v>1</v>
      </c>
      <c r="AA74" s="382">
        <v>0</v>
      </c>
      <c r="AB74" s="382">
        <v>0</v>
      </c>
      <c r="AC74" s="382">
        <v>1</v>
      </c>
      <c r="AD74" s="386">
        <v>5641</v>
      </c>
      <c r="AE74" s="386">
        <v>87</v>
      </c>
      <c r="AF74" s="386">
        <v>68</v>
      </c>
      <c r="AG74" s="386">
        <v>155</v>
      </c>
    </row>
    <row r="75" spans="1:33" x14ac:dyDescent="0.25">
      <c r="A75" s="381" t="s">
        <v>210</v>
      </c>
      <c r="B75" s="387" t="s">
        <v>211</v>
      </c>
      <c r="C75" s="383">
        <v>18246</v>
      </c>
      <c r="D75" s="383">
        <v>14</v>
      </c>
      <c r="E75" s="383">
        <v>910</v>
      </c>
      <c r="F75" s="383">
        <v>2010</v>
      </c>
      <c r="G75" s="383">
        <v>1853</v>
      </c>
      <c r="H75" s="383">
        <v>23033</v>
      </c>
      <c r="I75" s="382">
        <v>21180</v>
      </c>
      <c r="J75" s="382">
        <v>12</v>
      </c>
      <c r="K75" s="384">
        <v>85.16</v>
      </c>
      <c r="L75" s="384">
        <v>80.680000000000007</v>
      </c>
      <c r="M75" s="384">
        <v>3.71</v>
      </c>
      <c r="N75" s="384">
        <v>88.25</v>
      </c>
      <c r="O75" s="385">
        <v>14915</v>
      </c>
      <c r="P75" s="382">
        <v>79.94</v>
      </c>
      <c r="Q75" s="382">
        <v>71.63</v>
      </c>
      <c r="R75" s="382">
        <v>40.35</v>
      </c>
      <c r="S75" s="382">
        <v>118.12</v>
      </c>
      <c r="T75" s="382">
        <v>2689</v>
      </c>
      <c r="U75" s="382">
        <v>118.21</v>
      </c>
      <c r="V75" s="382">
        <v>2278</v>
      </c>
      <c r="W75" s="382">
        <v>129.81</v>
      </c>
      <c r="X75" s="382">
        <v>62</v>
      </c>
      <c r="Y75" s="382">
        <v>10</v>
      </c>
      <c r="Z75" s="382">
        <v>26</v>
      </c>
      <c r="AA75" s="382">
        <v>0</v>
      </c>
      <c r="AB75" s="382">
        <v>186</v>
      </c>
      <c r="AC75" s="382">
        <v>23</v>
      </c>
      <c r="AD75" s="386">
        <v>17841</v>
      </c>
      <c r="AE75" s="386">
        <v>26</v>
      </c>
      <c r="AF75" s="386">
        <v>17</v>
      </c>
      <c r="AG75" s="386">
        <v>43</v>
      </c>
    </row>
    <row r="76" spans="1:33" x14ac:dyDescent="0.25">
      <c r="A76" s="381" t="s">
        <v>212</v>
      </c>
      <c r="B76" s="387" t="s">
        <v>213</v>
      </c>
      <c r="C76" s="383">
        <v>5173</v>
      </c>
      <c r="D76" s="383">
        <v>2</v>
      </c>
      <c r="E76" s="383">
        <v>57</v>
      </c>
      <c r="F76" s="383">
        <v>577</v>
      </c>
      <c r="G76" s="383">
        <v>583</v>
      </c>
      <c r="H76" s="383">
        <v>6392</v>
      </c>
      <c r="I76" s="382">
        <v>5809</v>
      </c>
      <c r="J76" s="382">
        <v>0</v>
      </c>
      <c r="K76" s="384">
        <v>105.08</v>
      </c>
      <c r="L76" s="384">
        <v>104.63</v>
      </c>
      <c r="M76" s="384">
        <v>4.3</v>
      </c>
      <c r="N76" s="384">
        <v>106.61</v>
      </c>
      <c r="O76" s="385">
        <v>4410</v>
      </c>
      <c r="P76" s="382">
        <v>97.43</v>
      </c>
      <c r="Q76" s="382">
        <v>96.91</v>
      </c>
      <c r="R76" s="382">
        <v>22.49</v>
      </c>
      <c r="S76" s="382">
        <v>118.99</v>
      </c>
      <c r="T76" s="382">
        <v>556</v>
      </c>
      <c r="U76" s="382">
        <v>136.47</v>
      </c>
      <c r="V76" s="382">
        <v>546</v>
      </c>
      <c r="W76" s="382">
        <v>175.69</v>
      </c>
      <c r="X76" s="382">
        <v>48</v>
      </c>
      <c r="Y76" s="382">
        <v>0</v>
      </c>
      <c r="Z76" s="382">
        <v>5</v>
      </c>
      <c r="AA76" s="382">
        <v>16</v>
      </c>
      <c r="AB76" s="382">
        <v>58</v>
      </c>
      <c r="AC76" s="382">
        <v>15</v>
      </c>
      <c r="AD76" s="386">
        <v>4947</v>
      </c>
      <c r="AE76" s="386">
        <v>19</v>
      </c>
      <c r="AF76" s="386">
        <v>33</v>
      </c>
      <c r="AG76" s="386">
        <v>52</v>
      </c>
    </row>
    <row r="77" spans="1:33" x14ac:dyDescent="0.25">
      <c r="A77" s="381" t="s">
        <v>214</v>
      </c>
      <c r="B77" s="387" t="s">
        <v>215</v>
      </c>
      <c r="C77" s="383">
        <v>45408</v>
      </c>
      <c r="D77" s="383">
        <v>106</v>
      </c>
      <c r="E77" s="383">
        <v>825</v>
      </c>
      <c r="F77" s="383">
        <v>1423</v>
      </c>
      <c r="G77" s="383">
        <v>211</v>
      </c>
      <c r="H77" s="383">
        <v>47973</v>
      </c>
      <c r="I77" s="382">
        <v>47762</v>
      </c>
      <c r="J77" s="382">
        <v>130</v>
      </c>
      <c r="K77" s="384">
        <v>73.25</v>
      </c>
      <c r="L77" s="384">
        <v>73.900000000000006</v>
      </c>
      <c r="M77" s="384">
        <v>8.69</v>
      </c>
      <c r="N77" s="384">
        <v>74.55</v>
      </c>
      <c r="O77" s="385">
        <v>41947</v>
      </c>
      <c r="P77" s="382">
        <v>94.55</v>
      </c>
      <c r="Q77" s="382">
        <v>78.47</v>
      </c>
      <c r="R77" s="382">
        <v>51.17</v>
      </c>
      <c r="S77" s="382">
        <v>143.18</v>
      </c>
      <c r="T77" s="382">
        <v>1942</v>
      </c>
      <c r="U77" s="382">
        <v>90.4</v>
      </c>
      <c r="V77" s="382">
        <v>2854</v>
      </c>
      <c r="W77" s="382">
        <v>143.36000000000001</v>
      </c>
      <c r="X77" s="382">
        <v>153</v>
      </c>
      <c r="Y77" s="382">
        <v>0</v>
      </c>
      <c r="Z77" s="382">
        <v>231</v>
      </c>
      <c r="AA77" s="382">
        <v>115</v>
      </c>
      <c r="AB77" s="382">
        <v>9</v>
      </c>
      <c r="AC77" s="382">
        <v>14</v>
      </c>
      <c r="AD77" s="386">
        <v>44544</v>
      </c>
      <c r="AE77" s="386">
        <v>366</v>
      </c>
      <c r="AF77" s="386">
        <v>402</v>
      </c>
      <c r="AG77" s="386">
        <v>768</v>
      </c>
    </row>
    <row r="78" spans="1:33" x14ac:dyDescent="0.25">
      <c r="A78" s="381" t="s">
        <v>216</v>
      </c>
      <c r="B78" s="387" t="s">
        <v>217</v>
      </c>
      <c r="C78" s="383">
        <v>22230</v>
      </c>
      <c r="D78" s="383">
        <v>1</v>
      </c>
      <c r="E78" s="383">
        <v>704</v>
      </c>
      <c r="F78" s="383">
        <v>1851</v>
      </c>
      <c r="G78" s="383">
        <v>588</v>
      </c>
      <c r="H78" s="383">
        <v>25374</v>
      </c>
      <c r="I78" s="382">
        <v>24786</v>
      </c>
      <c r="J78" s="382">
        <v>41</v>
      </c>
      <c r="K78" s="384">
        <v>86.35</v>
      </c>
      <c r="L78" s="384">
        <v>86.1</v>
      </c>
      <c r="M78" s="384">
        <v>5.25</v>
      </c>
      <c r="N78" s="384">
        <v>91.21</v>
      </c>
      <c r="O78" s="385">
        <v>20007</v>
      </c>
      <c r="P78" s="382">
        <v>88.64</v>
      </c>
      <c r="Q78" s="382">
        <v>87.78</v>
      </c>
      <c r="R78" s="382">
        <v>46.05</v>
      </c>
      <c r="S78" s="382">
        <v>132.79</v>
      </c>
      <c r="T78" s="382">
        <v>2254</v>
      </c>
      <c r="U78" s="382">
        <v>108</v>
      </c>
      <c r="V78" s="382">
        <v>1724</v>
      </c>
      <c r="W78" s="382">
        <v>0</v>
      </c>
      <c r="X78" s="382">
        <v>0</v>
      </c>
      <c r="Y78" s="382">
        <v>0</v>
      </c>
      <c r="Z78" s="382">
        <v>90</v>
      </c>
      <c r="AA78" s="382">
        <v>1</v>
      </c>
      <c r="AB78" s="382">
        <v>8</v>
      </c>
      <c r="AC78" s="382">
        <v>29</v>
      </c>
      <c r="AD78" s="386">
        <v>21941</v>
      </c>
      <c r="AE78" s="386">
        <v>96</v>
      </c>
      <c r="AF78" s="386">
        <v>123</v>
      </c>
      <c r="AG78" s="386">
        <v>219</v>
      </c>
    </row>
    <row r="79" spans="1:33" x14ac:dyDescent="0.25">
      <c r="A79" s="381" t="s">
        <v>218</v>
      </c>
      <c r="B79" s="387" t="s">
        <v>219</v>
      </c>
      <c r="C79" s="383">
        <v>2225</v>
      </c>
      <c r="D79" s="383">
        <v>22</v>
      </c>
      <c r="E79" s="383">
        <v>37</v>
      </c>
      <c r="F79" s="383">
        <v>206</v>
      </c>
      <c r="G79" s="383">
        <v>44</v>
      </c>
      <c r="H79" s="383">
        <v>2534</v>
      </c>
      <c r="I79" s="382">
        <v>2490</v>
      </c>
      <c r="J79" s="382">
        <v>5</v>
      </c>
      <c r="K79" s="384">
        <v>86.86</v>
      </c>
      <c r="L79" s="384">
        <v>83.6</v>
      </c>
      <c r="M79" s="384">
        <v>8.1</v>
      </c>
      <c r="N79" s="384">
        <v>91.97</v>
      </c>
      <c r="O79" s="385">
        <v>1611</v>
      </c>
      <c r="P79" s="382">
        <v>80.16</v>
      </c>
      <c r="Q79" s="382">
        <v>68.78</v>
      </c>
      <c r="R79" s="382">
        <v>45.06</v>
      </c>
      <c r="S79" s="382">
        <v>122.73</v>
      </c>
      <c r="T79" s="382">
        <v>199</v>
      </c>
      <c r="U79" s="382">
        <v>97.54</v>
      </c>
      <c r="V79" s="382">
        <v>584</v>
      </c>
      <c r="W79" s="382">
        <v>155.22</v>
      </c>
      <c r="X79" s="382">
        <v>34</v>
      </c>
      <c r="Y79" s="382">
        <v>0</v>
      </c>
      <c r="Z79" s="382">
        <v>4</v>
      </c>
      <c r="AA79" s="382">
        <v>0</v>
      </c>
      <c r="AB79" s="382">
        <v>0</v>
      </c>
      <c r="AC79" s="382">
        <v>0</v>
      </c>
      <c r="AD79" s="386">
        <v>2209</v>
      </c>
      <c r="AE79" s="386">
        <v>6</v>
      </c>
      <c r="AF79" s="386">
        <v>5</v>
      </c>
      <c r="AG79" s="386">
        <v>11</v>
      </c>
    </row>
    <row r="80" spans="1:33" x14ac:dyDescent="0.25">
      <c r="A80" s="381" t="s">
        <v>220</v>
      </c>
      <c r="B80" s="387" t="s">
        <v>221</v>
      </c>
      <c r="C80" s="383">
        <v>2025</v>
      </c>
      <c r="D80" s="383">
        <v>0</v>
      </c>
      <c r="E80" s="383">
        <v>186</v>
      </c>
      <c r="F80" s="383">
        <v>285</v>
      </c>
      <c r="G80" s="383">
        <v>377</v>
      </c>
      <c r="H80" s="383">
        <v>2873</v>
      </c>
      <c r="I80" s="382">
        <v>2496</v>
      </c>
      <c r="J80" s="382">
        <v>1</v>
      </c>
      <c r="K80" s="384">
        <v>108.65</v>
      </c>
      <c r="L80" s="384">
        <v>106.98</v>
      </c>
      <c r="M80" s="384">
        <v>8.81</v>
      </c>
      <c r="N80" s="384">
        <v>116.75</v>
      </c>
      <c r="O80" s="385">
        <v>1555</v>
      </c>
      <c r="P80" s="382">
        <v>103.43</v>
      </c>
      <c r="Q80" s="382">
        <v>97.36</v>
      </c>
      <c r="R80" s="382">
        <v>30.44</v>
      </c>
      <c r="S80" s="382">
        <v>132.58000000000001</v>
      </c>
      <c r="T80" s="382">
        <v>211</v>
      </c>
      <c r="U80" s="382">
        <v>154.51</v>
      </c>
      <c r="V80" s="382">
        <v>361</v>
      </c>
      <c r="W80" s="382">
        <v>221.01</v>
      </c>
      <c r="X80" s="382">
        <v>49</v>
      </c>
      <c r="Y80" s="382">
        <v>0</v>
      </c>
      <c r="Z80" s="382">
        <v>1</v>
      </c>
      <c r="AA80" s="382">
        <v>0</v>
      </c>
      <c r="AB80" s="382">
        <v>15</v>
      </c>
      <c r="AC80" s="382">
        <v>16</v>
      </c>
      <c r="AD80" s="386">
        <v>1996</v>
      </c>
      <c r="AE80" s="386">
        <v>10</v>
      </c>
      <c r="AF80" s="386">
        <v>6</v>
      </c>
      <c r="AG80" s="386">
        <v>16</v>
      </c>
    </row>
    <row r="81" spans="1:33" x14ac:dyDescent="0.25">
      <c r="A81" s="381" t="s">
        <v>222</v>
      </c>
      <c r="B81" s="387" t="s">
        <v>223</v>
      </c>
      <c r="C81" s="383">
        <v>10879</v>
      </c>
      <c r="D81" s="383">
        <v>56</v>
      </c>
      <c r="E81" s="383">
        <v>1020</v>
      </c>
      <c r="F81" s="383">
        <v>799</v>
      </c>
      <c r="G81" s="383">
        <v>1814</v>
      </c>
      <c r="H81" s="383">
        <v>14568</v>
      </c>
      <c r="I81" s="382">
        <v>12754</v>
      </c>
      <c r="J81" s="382">
        <v>39</v>
      </c>
      <c r="K81" s="384">
        <v>124.37</v>
      </c>
      <c r="L81" s="384">
        <v>124.24</v>
      </c>
      <c r="M81" s="384">
        <v>8.11</v>
      </c>
      <c r="N81" s="384">
        <v>129.91</v>
      </c>
      <c r="O81" s="385">
        <v>8942</v>
      </c>
      <c r="P81" s="382">
        <v>102.1</v>
      </c>
      <c r="Q81" s="382">
        <v>98.06</v>
      </c>
      <c r="R81" s="382">
        <v>53.74</v>
      </c>
      <c r="S81" s="382">
        <v>152.96</v>
      </c>
      <c r="T81" s="382">
        <v>1157</v>
      </c>
      <c r="U81" s="382">
        <v>182.81</v>
      </c>
      <c r="V81" s="382">
        <v>1537</v>
      </c>
      <c r="W81" s="382">
        <v>216.99</v>
      </c>
      <c r="X81" s="382">
        <v>21</v>
      </c>
      <c r="Y81" s="382">
        <v>0</v>
      </c>
      <c r="Z81" s="382">
        <v>2</v>
      </c>
      <c r="AA81" s="382">
        <v>9</v>
      </c>
      <c r="AB81" s="382">
        <v>94</v>
      </c>
      <c r="AC81" s="382">
        <v>54</v>
      </c>
      <c r="AD81" s="386">
        <v>10658</v>
      </c>
      <c r="AE81" s="386">
        <v>39</v>
      </c>
      <c r="AF81" s="386">
        <v>52</v>
      </c>
      <c r="AG81" s="386">
        <v>91</v>
      </c>
    </row>
    <row r="82" spans="1:33" x14ac:dyDescent="0.25">
      <c r="A82" s="381" t="s">
        <v>224</v>
      </c>
      <c r="B82" s="387" t="s">
        <v>225</v>
      </c>
      <c r="C82" s="383">
        <v>2562</v>
      </c>
      <c r="D82" s="383">
        <v>0</v>
      </c>
      <c r="E82" s="383">
        <v>261</v>
      </c>
      <c r="F82" s="383">
        <v>275</v>
      </c>
      <c r="G82" s="383">
        <v>335</v>
      </c>
      <c r="H82" s="383">
        <v>3433</v>
      </c>
      <c r="I82" s="382">
        <v>3098</v>
      </c>
      <c r="J82" s="382">
        <v>14</v>
      </c>
      <c r="K82" s="384">
        <v>117.96</v>
      </c>
      <c r="L82" s="384">
        <v>116.46</v>
      </c>
      <c r="M82" s="384">
        <v>6.69</v>
      </c>
      <c r="N82" s="384">
        <v>123.66</v>
      </c>
      <c r="O82" s="385">
        <v>1965</v>
      </c>
      <c r="P82" s="382">
        <v>113.78</v>
      </c>
      <c r="Q82" s="382">
        <v>97.95</v>
      </c>
      <c r="R82" s="382">
        <v>32.130000000000003</v>
      </c>
      <c r="S82" s="382">
        <v>144.94</v>
      </c>
      <c r="T82" s="382">
        <v>432</v>
      </c>
      <c r="U82" s="382">
        <v>160.96</v>
      </c>
      <c r="V82" s="382">
        <v>459</v>
      </c>
      <c r="W82" s="382">
        <v>156.91999999999999</v>
      </c>
      <c r="X82" s="382">
        <v>8</v>
      </c>
      <c r="Y82" s="382">
        <v>0</v>
      </c>
      <c r="Z82" s="382">
        <v>1</v>
      </c>
      <c r="AA82" s="382">
        <v>2</v>
      </c>
      <c r="AB82" s="382">
        <v>18</v>
      </c>
      <c r="AC82" s="382">
        <v>15</v>
      </c>
      <c r="AD82" s="386">
        <v>2529</v>
      </c>
      <c r="AE82" s="386">
        <v>7</v>
      </c>
      <c r="AF82" s="386">
        <v>2</v>
      </c>
      <c r="AG82" s="386">
        <v>9</v>
      </c>
    </row>
    <row r="83" spans="1:33" x14ac:dyDescent="0.25">
      <c r="A83" s="381" t="s">
        <v>226</v>
      </c>
      <c r="B83" s="387" t="s">
        <v>227</v>
      </c>
      <c r="C83" s="383">
        <v>1808</v>
      </c>
      <c r="D83" s="383">
        <v>39</v>
      </c>
      <c r="E83" s="383">
        <v>286</v>
      </c>
      <c r="F83" s="383">
        <v>505</v>
      </c>
      <c r="G83" s="383">
        <v>116</v>
      </c>
      <c r="H83" s="383">
        <v>2754</v>
      </c>
      <c r="I83" s="382">
        <v>2638</v>
      </c>
      <c r="J83" s="382">
        <v>59</v>
      </c>
      <c r="K83" s="384">
        <v>80.87</v>
      </c>
      <c r="L83" s="384">
        <v>79.34</v>
      </c>
      <c r="M83" s="384">
        <v>5.23</v>
      </c>
      <c r="N83" s="384">
        <v>84.23</v>
      </c>
      <c r="O83" s="385">
        <v>1199</v>
      </c>
      <c r="P83" s="382">
        <v>87.54</v>
      </c>
      <c r="Q83" s="382">
        <v>74.819999999999993</v>
      </c>
      <c r="R83" s="382">
        <v>43.72</v>
      </c>
      <c r="S83" s="382">
        <v>131.26</v>
      </c>
      <c r="T83" s="382">
        <v>557</v>
      </c>
      <c r="U83" s="382">
        <v>94.12</v>
      </c>
      <c r="V83" s="382">
        <v>318</v>
      </c>
      <c r="W83" s="382">
        <v>91.37</v>
      </c>
      <c r="X83" s="382">
        <v>10</v>
      </c>
      <c r="Y83" s="382">
        <v>2</v>
      </c>
      <c r="Z83" s="382">
        <v>1</v>
      </c>
      <c r="AA83" s="382">
        <v>0</v>
      </c>
      <c r="AB83" s="382">
        <v>19</v>
      </c>
      <c r="AC83" s="382">
        <v>2</v>
      </c>
      <c r="AD83" s="386">
        <v>1591</v>
      </c>
      <c r="AE83" s="386">
        <v>20</v>
      </c>
      <c r="AF83" s="386">
        <v>4</v>
      </c>
      <c r="AG83" s="386">
        <v>24</v>
      </c>
    </row>
    <row r="84" spans="1:33" x14ac:dyDescent="0.25">
      <c r="A84" s="381" t="s">
        <v>228</v>
      </c>
      <c r="B84" s="387" t="s">
        <v>229</v>
      </c>
      <c r="C84" s="383">
        <v>1582</v>
      </c>
      <c r="D84" s="383">
        <v>12</v>
      </c>
      <c r="E84" s="383">
        <v>148</v>
      </c>
      <c r="F84" s="383">
        <v>107</v>
      </c>
      <c r="G84" s="383">
        <v>654</v>
      </c>
      <c r="H84" s="383">
        <v>2503</v>
      </c>
      <c r="I84" s="382">
        <v>1849</v>
      </c>
      <c r="J84" s="382">
        <v>3</v>
      </c>
      <c r="K84" s="384">
        <v>109.67</v>
      </c>
      <c r="L84" s="384">
        <v>107.91</v>
      </c>
      <c r="M84" s="384">
        <v>5.81</v>
      </c>
      <c r="N84" s="384">
        <v>114.97</v>
      </c>
      <c r="O84" s="385">
        <v>858</v>
      </c>
      <c r="P84" s="382">
        <v>123.63</v>
      </c>
      <c r="Q84" s="382">
        <v>88.69</v>
      </c>
      <c r="R84" s="382">
        <v>38.61</v>
      </c>
      <c r="S84" s="382">
        <v>161.68</v>
      </c>
      <c r="T84" s="382">
        <v>139</v>
      </c>
      <c r="U84" s="382">
        <v>151.71</v>
      </c>
      <c r="V84" s="382">
        <v>287</v>
      </c>
      <c r="W84" s="382">
        <v>0</v>
      </c>
      <c r="X84" s="382">
        <v>0</v>
      </c>
      <c r="Y84" s="382">
        <v>1</v>
      </c>
      <c r="Z84" s="382">
        <v>1</v>
      </c>
      <c r="AA84" s="382">
        <v>0</v>
      </c>
      <c r="AB84" s="382">
        <v>103</v>
      </c>
      <c r="AC84" s="382">
        <v>22</v>
      </c>
      <c r="AD84" s="386">
        <v>1203</v>
      </c>
      <c r="AE84" s="386">
        <v>2</v>
      </c>
      <c r="AF84" s="386">
        <v>7</v>
      </c>
      <c r="AG84" s="386">
        <v>9</v>
      </c>
    </row>
    <row r="85" spans="1:33" x14ac:dyDescent="0.25">
      <c r="A85" s="381" t="s">
        <v>230</v>
      </c>
      <c r="B85" s="387" t="s">
        <v>231</v>
      </c>
      <c r="C85" s="383">
        <v>5922</v>
      </c>
      <c r="D85" s="383">
        <v>18</v>
      </c>
      <c r="E85" s="383">
        <v>531</v>
      </c>
      <c r="F85" s="383">
        <v>1319</v>
      </c>
      <c r="G85" s="383">
        <v>539</v>
      </c>
      <c r="H85" s="383">
        <v>8329</v>
      </c>
      <c r="I85" s="382">
        <v>7790</v>
      </c>
      <c r="J85" s="382">
        <v>7</v>
      </c>
      <c r="K85" s="384">
        <v>89.15</v>
      </c>
      <c r="L85" s="384">
        <v>88.01</v>
      </c>
      <c r="M85" s="384">
        <v>6.02</v>
      </c>
      <c r="N85" s="384">
        <v>93.38</v>
      </c>
      <c r="O85" s="385">
        <v>5425</v>
      </c>
      <c r="P85" s="382">
        <v>81.75</v>
      </c>
      <c r="Q85" s="382">
        <v>82.34</v>
      </c>
      <c r="R85" s="382">
        <v>45.11</v>
      </c>
      <c r="S85" s="382">
        <v>124.49</v>
      </c>
      <c r="T85" s="382">
        <v>1426</v>
      </c>
      <c r="U85" s="382">
        <v>100.03</v>
      </c>
      <c r="V85" s="382">
        <v>286</v>
      </c>
      <c r="W85" s="382">
        <v>155.82</v>
      </c>
      <c r="X85" s="382">
        <v>101</v>
      </c>
      <c r="Y85" s="382">
        <v>0</v>
      </c>
      <c r="Z85" s="382">
        <v>0</v>
      </c>
      <c r="AA85" s="382">
        <v>0</v>
      </c>
      <c r="AB85" s="382">
        <v>5</v>
      </c>
      <c r="AC85" s="382">
        <v>24</v>
      </c>
      <c r="AD85" s="386">
        <v>5777</v>
      </c>
      <c r="AE85" s="386">
        <v>35</v>
      </c>
      <c r="AF85" s="386">
        <v>33</v>
      </c>
      <c r="AG85" s="386">
        <v>68</v>
      </c>
    </row>
    <row r="86" spans="1:33" x14ac:dyDescent="0.25">
      <c r="A86" s="381" t="s">
        <v>232</v>
      </c>
      <c r="B86" s="387" t="s">
        <v>233</v>
      </c>
      <c r="C86" s="383">
        <v>2971</v>
      </c>
      <c r="D86" s="383">
        <v>0</v>
      </c>
      <c r="E86" s="383">
        <v>61</v>
      </c>
      <c r="F86" s="383">
        <v>979</v>
      </c>
      <c r="G86" s="383">
        <v>166</v>
      </c>
      <c r="H86" s="383">
        <v>4177</v>
      </c>
      <c r="I86" s="382">
        <v>4011</v>
      </c>
      <c r="J86" s="382">
        <v>0</v>
      </c>
      <c r="K86" s="384">
        <v>95.13</v>
      </c>
      <c r="L86" s="384">
        <v>94.59</v>
      </c>
      <c r="M86" s="384">
        <v>2.39</v>
      </c>
      <c r="N86" s="384">
        <v>97.16</v>
      </c>
      <c r="O86" s="385">
        <v>2704</v>
      </c>
      <c r="P86" s="382">
        <v>85.34</v>
      </c>
      <c r="Q86" s="382">
        <v>84.46</v>
      </c>
      <c r="R86" s="382">
        <v>10.25</v>
      </c>
      <c r="S86" s="382">
        <v>95.2</v>
      </c>
      <c r="T86" s="382">
        <v>1028</v>
      </c>
      <c r="U86" s="382">
        <v>114.1</v>
      </c>
      <c r="V86" s="382">
        <v>159</v>
      </c>
      <c r="W86" s="382">
        <v>199.42</v>
      </c>
      <c r="X86" s="382">
        <v>2</v>
      </c>
      <c r="Y86" s="382">
        <v>0</v>
      </c>
      <c r="Z86" s="382">
        <v>15</v>
      </c>
      <c r="AA86" s="382">
        <v>0</v>
      </c>
      <c r="AB86" s="382">
        <v>12</v>
      </c>
      <c r="AC86" s="382">
        <v>2</v>
      </c>
      <c r="AD86" s="386">
        <v>2856</v>
      </c>
      <c r="AE86" s="386">
        <v>18</v>
      </c>
      <c r="AF86" s="386">
        <v>31</v>
      </c>
      <c r="AG86" s="386">
        <v>49</v>
      </c>
    </row>
    <row r="87" spans="1:33" x14ac:dyDescent="0.25">
      <c r="A87" s="381" t="s">
        <v>234</v>
      </c>
      <c r="B87" s="387" t="s">
        <v>235</v>
      </c>
      <c r="C87" s="383">
        <v>2255</v>
      </c>
      <c r="D87" s="383">
        <v>0</v>
      </c>
      <c r="E87" s="383">
        <v>694</v>
      </c>
      <c r="F87" s="383">
        <v>892</v>
      </c>
      <c r="G87" s="383">
        <v>224</v>
      </c>
      <c r="H87" s="383">
        <v>4065</v>
      </c>
      <c r="I87" s="382">
        <v>3841</v>
      </c>
      <c r="J87" s="382">
        <v>0</v>
      </c>
      <c r="K87" s="384">
        <v>82.77</v>
      </c>
      <c r="L87" s="384">
        <v>80.86</v>
      </c>
      <c r="M87" s="384">
        <v>5.73</v>
      </c>
      <c r="N87" s="384">
        <v>86.17</v>
      </c>
      <c r="O87" s="385">
        <v>1737</v>
      </c>
      <c r="P87" s="382">
        <v>98.34</v>
      </c>
      <c r="Q87" s="382">
        <v>77.83</v>
      </c>
      <c r="R87" s="382">
        <v>30.91</v>
      </c>
      <c r="S87" s="382">
        <v>128.25</v>
      </c>
      <c r="T87" s="382">
        <v>1289</v>
      </c>
      <c r="U87" s="382">
        <v>92.44</v>
      </c>
      <c r="V87" s="382">
        <v>398</v>
      </c>
      <c r="W87" s="382">
        <v>141.54</v>
      </c>
      <c r="X87" s="382">
        <v>89</v>
      </c>
      <c r="Y87" s="382">
        <v>0</v>
      </c>
      <c r="Z87" s="382">
        <v>0</v>
      </c>
      <c r="AA87" s="382">
        <v>0</v>
      </c>
      <c r="AB87" s="382">
        <v>11</v>
      </c>
      <c r="AC87" s="382">
        <v>5</v>
      </c>
      <c r="AD87" s="386">
        <v>2197</v>
      </c>
      <c r="AE87" s="386">
        <v>20</v>
      </c>
      <c r="AF87" s="386">
        <v>12</v>
      </c>
      <c r="AG87" s="386">
        <v>32</v>
      </c>
    </row>
    <row r="88" spans="1:33" x14ac:dyDescent="0.25">
      <c r="A88" s="381" t="s">
        <v>236</v>
      </c>
      <c r="B88" s="387" t="s">
        <v>237</v>
      </c>
      <c r="C88" s="383">
        <v>15868</v>
      </c>
      <c r="D88" s="383">
        <v>39</v>
      </c>
      <c r="E88" s="383">
        <v>697</v>
      </c>
      <c r="F88" s="383">
        <v>4130</v>
      </c>
      <c r="G88" s="383">
        <v>970</v>
      </c>
      <c r="H88" s="383">
        <v>21704</v>
      </c>
      <c r="I88" s="382">
        <v>20734</v>
      </c>
      <c r="J88" s="382">
        <v>3</v>
      </c>
      <c r="K88" s="384">
        <v>100.71</v>
      </c>
      <c r="L88" s="384">
        <v>100.44</v>
      </c>
      <c r="M88" s="384">
        <v>3.66</v>
      </c>
      <c r="N88" s="384">
        <v>103.06</v>
      </c>
      <c r="O88" s="385">
        <v>14534</v>
      </c>
      <c r="P88" s="382">
        <v>89.58</v>
      </c>
      <c r="Q88" s="382">
        <v>89.6</v>
      </c>
      <c r="R88" s="382">
        <v>19.88</v>
      </c>
      <c r="S88" s="382">
        <v>109.11</v>
      </c>
      <c r="T88" s="382">
        <v>4257</v>
      </c>
      <c r="U88" s="382">
        <v>136</v>
      </c>
      <c r="V88" s="382">
        <v>1242</v>
      </c>
      <c r="W88" s="382">
        <v>151.79</v>
      </c>
      <c r="X88" s="382">
        <v>37</v>
      </c>
      <c r="Y88" s="382">
        <v>14</v>
      </c>
      <c r="Z88" s="382">
        <v>20</v>
      </c>
      <c r="AA88" s="382">
        <v>0</v>
      </c>
      <c r="AB88" s="382">
        <v>84</v>
      </c>
      <c r="AC88" s="382">
        <v>9</v>
      </c>
      <c r="AD88" s="386">
        <v>15758</v>
      </c>
      <c r="AE88" s="386">
        <v>35</v>
      </c>
      <c r="AF88" s="386">
        <v>46</v>
      </c>
      <c r="AG88" s="386">
        <v>81</v>
      </c>
    </row>
    <row r="89" spans="1:33" x14ac:dyDescent="0.25">
      <c r="A89" s="381" t="s">
        <v>238</v>
      </c>
      <c r="B89" s="387" t="s">
        <v>239</v>
      </c>
      <c r="C89" s="383">
        <v>2101</v>
      </c>
      <c r="D89" s="383">
        <v>5</v>
      </c>
      <c r="E89" s="383">
        <v>115</v>
      </c>
      <c r="F89" s="383">
        <v>458</v>
      </c>
      <c r="G89" s="383">
        <v>207</v>
      </c>
      <c r="H89" s="383">
        <v>2886</v>
      </c>
      <c r="I89" s="382">
        <v>2679</v>
      </c>
      <c r="J89" s="382">
        <v>0</v>
      </c>
      <c r="K89" s="384">
        <v>90.72</v>
      </c>
      <c r="L89" s="384">
        <v>89.63</v>
      </c>
      <c r="M89" s="384">
        <v>6.47</v>
      </c>
      <c r="N89" s="384">
        <v>95.59</v>
      </c>
      <c r="O89" s="385">
        <v>1799</v>
      </c>
      <c r="P89" s="382">
        <v>103.41</v>
      </c>
      <c r="Q89" s="382">
        <v>89.89</v>
      </c>
      <c r="R89" s="382">
        <v>39.29</v>
      </c>
      <c r="S89" s="382">
        <v>141.77000000000001</v>
      </c>
      <c r="T89" s="382">
        <v>555</v>
      </c>
      <c r="U89" s="382">
        <v>117.32</v>
      </c>
      <c r="V89" s="382">
        <v>190</v>
      </c>
      <c r="W89" s="382">
        <v>0</v>
      </c>
      <c r="X89" s="382">
        <v>0</v>
      </c>
      <c r="Y89" s="382">
        <v>0</v>
      </c>
      <c r="Z89" s="382">
        <v>0</v>
      </c>
      <c r="AA89" s="382">
        <v>0</v>
      </c>
      <c r="AB89" s="382">
        <v>26</v>
      </c>
      <c r="AC89" s="382">
        <v>0</v>
      </c>
      <c r="AD89" s="386">
        <v>2022</v>
      </c>
      <c r="AE89" s="386">
        <v>3</v>
      </c>
      <c r="AF89" s="386">
        <v>8</v>
      </c>
      <c r="AG89" s="386">
        <v>11</v>
      </c>
    </row>
    <row r="90" spans="1:33" x14ac:dyDescent="0.25">
      <c r="A90" s="381" t="s">
        <v>240</v>
      </c>
      <c r="B90" s="387" t="s">
        <v>241</v>
      </c>
      <c r="C90" s="383">
        <v>3551</v>
      </c>
      <c r="D90" s="383">
        <v>0</v>
      </c>
      <c r="E90" s="383">
        <v>417</v>
      </c>
      <c r="F90" s="383">
        <v>819</v>
      </c>
      <c r="G90" s="383">
        <v>707</v>
      </c>
      <c r="H90" s="383">
        <v>5494</v>
      </c>
      <c r="I90" s="382">
        <v>4787</v>
      </c>
      <c r="J90" s="382">
        <v>3</v>
      </c>
      <c r="K90" s="384">
        <v>94.87</v>
      </c>
      <c r="L90" s="384">
        <v>93.83</v>
      </c>
      <c r="M90" s="384">
        <v>6.46</v>
      </c>
      <c r="N90" s="384">
        <v>100.16</v>
      </c>
      <c r="O90" s="385">
        <v>3255</v>
      </c>
      <c r="P90" s="382">
        <v>96.19</v>
      </c>
      <c r="Q90" s="382">
        <v>94.51</v>
      </c>
      <c r="R90" s="382">
        <v>44.15</v>
      </c>
      <c r="S90" s="382">
        <v>139.33000000000001</v>
      </c>
      <c r="T90" s="382">
        <v>829</v>
      </c>
      <c r="U90" s="382">
        <v>109.19</v>
      </c>
      <c r="V90" s="382">
        <v>216</v>
      </c>
      <c r="W90" s="382">
        <v>181.27</v>
      </c>
      <c r="X90" s="382">
        <v>158</v>
      </c>
      <c r="Y90" s="382">
        <v>0</v>
      </c>
      <c r="Z90" s="382">
        <v>4</v>
      </c>
      <c r="AA90" s="382">
        <v>1</v>
      </c>
      <c r="AB90" s="382">
        <v>3</v>
      </c>
      <c r="AC90" s="382">
        <v>17</v>
      </c>
      <c r="AD90" s="386">
        <v>3551</v>
      </c>
      <c r="AE90" s="386">
        <v>19</v>
      </c>
      <c r="AF90" s="386">
        <v>12</v>
      </c>
      <c r="AG90" s="386">
        <v>31</v>
      </c>
    </row>
    <row r="91" spans="1:33" x14ac:dyDescent="0.25">
      <c r="A91" s="381" t="s">
        <v>242</v>
      </c>
      <c r="B91" s="387" t="s">
        <v>243</v>
      </c>
      <c r="C91" s="383">
        <v>9484</v>
      </c>
      <c r="D91" s="383">
        <v>309</v>
      </c>
      <c r="E91" s="383">
        <v>878</v>
      </c>
      <c r="F91" s="383">
        <v>786</v>
      </c>
      <c r="G91" s="383">
        <v>2037</v>
      </c>
      <c r="H91" s="383">
        <v>13494</v>
      </c>
      <c r="I91" s="382">
        <v>11457</v>
      </c>
      <c r="J91" s="382">
        <v>90</v>
      </c>
      <c r="K91" s="384">
        <v>132.16</v>
      </c>
      <c r="L91" s="384">
        <v>128.91999999999999</v>
      </c>
      <c r="M91" s="384">
        <v>9.91</v>
      </c>
      <c r="N91" s="384">
        <v>139.19</v>
      </c>
      <c r="O91" s="385">
        <v>8343</v>
      </c>
      <c r="P91" s="382">
        <v>118.73</v>
      </c>
      <c r="Q91" s="382">
        <v>112.36</v>
      </c>
      <c r="R91" s="382">
        <v>43.44</v>
      </c>
      <c r="S91" s="382">
        <v>157.1</v>
      </c>
      <c r="T91" s="382">
        <v>1096</v>
      </c>
      <c r="U91" s="382">
        <v>195.11</v>
      </c>
      <c r="V91" s="382">
        <v>698</v>
      </c>
      <c r="W91" s="382">
        <v>199.64</v>
      </c>
      <c r="X91" s="382">
        <v>34</v>
      </c>
      <c r="Y91" s="382">
        <v>1</v>
      </c>
      <c r="Z91" s="382">
        <v>2</v>
      </c>
      <c r="AA91" s="382">
        <v>5</v>
      </c>
      <c r="AB91" s="382">
        <v>37</v>
      </c>
      <c r="AC91" s="382">
        <v>88</v>
      </c>
      <c r="AD91" s="386">
        <v>9189</v>
      </c>
      <c r="AE91" s="386">
        <v>37</v>
      </c>
      <c r="AF91" s="386">
        <v>48</v>
      </c>
      <c r="AG91" s="386">
        <v>85</v>
      </c>
    </row>
    <row r="92" spans="1:33" x14ac:dyDescent="0.25">
      <c r="A92" s="381" t="s">
        <v>244</v>
      </c>
      <c r="B92" s="387" t="s">
        <v>245</v>
      </c>
      <c r="C92" s="383">
        <v>4035</v>
      </c>
      <c r="D92" s="383">
        <v>5</v>
      </c>
      <c r="E92" s="383">
        <v>111</v>
      </c>
      <c r="F92" s="383">
        <v>1030</v>
      </c>
      <c r="G92" s="383">
        <v>393</v>
      </c>
      <c r="H92" s="383">
        <v>5574</v>
      </c>
      <c r="I92" s="382">
        <v>5181</v>
      </c>
      <c r="J92" s="382">
        <v>3</v>
      </c>
      <c r="K92" s="384">
        <v>103.34</v>
      </c>
      <c r="L92" s="384">
        <v>96.64</v>
      </c>
      <c r="M92" s="384">
        <v>3.02</v>
      </c>
      <c r="N92" s="384">
        <v>104.49</v>
      </c>
      <c r="O92" s="385">
        <v>3666</v>
      </c>
      <c r="P92" s="382">
        <v>96.05</v>
      </c>
      <c r="Q92" s="382">
        <v>91.18</v>
      </c>
      <c r="R92" s="382">
        <v>19.66</v>
      </c>
      <c r="S92" s="382">
        <v>115.66</v>
      </c>
      <c r="T92" s="382">
        <v>1130</v>
      </c>
      <c r="U92" s="382">
        <v>123.78</v>
      </c>
      <c r="V92" s="382">
        <v>326</v>
      </c>
      <c r="W92" s="382">
        <v>0</v>
      </c>
      <c r="X92" s="382">
        <v>0</v>
      </c>
      <c r="Y92" s="382">
        <v>0</v>
      </c>
      <c r="Z92" s="382">
        <v>4</v>
      </c>
      <c r="AA92" s="382">
        <v>0</v>
      </c>
      <c r="AB92" s="382">
        <v>5</v>
      </c>
      <c r="AC92" s="382">
        <v>11</v>
      </c>
      <c r="AD92" s="386">
        <v>4027</v>
      </c>
      <c r="AE92" s="386">
        <v>1</v>
      </c>
      <c r="AF92" s="386">
        <v>9</v>
      </c>
      <c r="AG92" s="386">
        <v>10</v>
      </c>
    </row>
    <row r="93" spans="1:33" x14ac:dyDescent="0.25">
      <c r="A93" s="381" t="s">
        <v>246</v>
      </c>
      <c r="B93" s="387" t="s">
        <v>247</v>
      </c>
      <c r="C93" s="383">
        <v>2010</v>
      </c>
      <c r="D93" s="383">
        <v>0</v>
      </c>
      <c r="E93" s="383">
        <v>143</v>
      </c>
      <c r="F93" s="383">
        <v>168</v>
      </c>
      <c r="G93" s="383">
        <v>445</v>
      </c>
      <c r="H93" s="383">
        <v>2766</v>
      </c>
      <c r="I93" s="382">
        <v>2321</v>
      </c>
      <c r="J93" s="382">
        <v>9</v>
      </c>
      <c r="K93" s="384">
        <v>95.24</v>
      </c>
      <c r="L93" s="384">
        <v>92.83</v>
      </c>
      <c r="M93" s="384">
        <v>3.73</v>
      </c>
      <c r="N93" s="384">
        <v>98.03</v>
      </c>
      <c r="O93" s="385">
        <v>1411</v>
      </c>
      <c r="P93" s="382">
        <v>96.52</v>
      </c>
      <c r="Q93" s="382">
        <v>74.17</v>
      </c>
      <c r="R93" s="382">
        <v>48.02</v>
      </c>
      <c r="S93" s="382">
        <v>138.27000000000001</v>
      </c>
      <c r="T93" s="382">
        <v>222</v>
      </c>
      <c r="U93" s="382">
        <v>127.44</v>
      </c>
      <c r="V93" s="382">
        <v>441</v>
      </c>
      <c r="W93" s="382">
        <v>0</v>
      </c>
      <c r="X93" s="382">
        <v>0</v>
      </c>
      <c r="Y93" s="382">
        <v>0</v>
      </c>
      <c r="Z93" s="382">
        <v>0</v>
      </c>
      <c r="AA93" s="382">
        <v>0</v>
      </c>
      <c r="AB93" s="382">
        <v>34</v>
      </c>
      <c r="AC93" s="382">
        <v>5</v>
      </c>
      <c r="AD93" s="386">
        <v>1943</v>
      </c>
      <c r="AE93" s="386">
        <v>3</v>
      </c>
      <c r="AF93" s="386">
        <v>4</v>
      </c>
      <c r="AG93" s="386">
        <v>7</v>
      </c>
    </row>
    <row r="94" spans="1:33" x14ac:dyDescent="0.25">
      <c r="A94" s="381" t="s">
        <v>248</v>
      </c>
      <c r="B94" s="387" t="s">
        <v>249</v>
      </c>
      <c r="C94" s="383">
        <v>5281</v>
      </c>
      <c r="D94" s="383">
        <v>18</v>
      </c>
      <c r="E94" s="383">
        <v>97</v>
      </c>
      <c r="F94" s="383">
        <v>820</v>
      </c>
      <c r="G94" s="383">
        <v>420</v>
      </c>
      <c r="H94" s="383">
        <v>6636</v>
      </c>
      <c r="I94" s="382">
        <v>6216</v>
      </c>
      <c r="J94" s="382">
        <v>0</v>
      </c>
      <c r="K94" s="384">
        <v>116.9</v>
      </c>
      <c r="L94" s="384">
        <v>115</v>
      </c>
      <c r="M94" s="384">
        <v>4.55</v>
      </c>
      <c r="N94" s="384">
        <v>118.3</v>
      </c>
      <c r="O94" s="385">
        <v>4241</v>
      </c>
      <c r="P94" s="382">
        <v>96.71</v>
      </c>
      <c r="Q94" s="382">
        <v>94.52</v>
      </c>
      <c r="R94" s="382">
        <v>14.4</v>
      </c>
      <c r="S94" s="382">
        <v>110.64</v>
      </c>
      <c r="T94" s="382">
        <v>881</v>
      </c>
      <c r="U94" s="382">
        <v>145.96</v>
      </c>
      <c r="V94" s="382">
        <v>657</v>
      </c>
      <c r="W94" s="382">
        <v>144.36000000000001</v>
      </c>
      <c r="X94" s="382">
        <v>1</v>
      </c>
      <c r="Y94" s="382">
        <v>223</v>
      </c>
      <c r="Z94" s="382">
        <v>3</v>
      </c>
      <c r="AA94" s="382">
        <v>0</v>
      </c>
      <c r="AB94" s="382">
        <v>31</v>
      </c>
      <c r="AC94" s="382">
        <v>21</v>
      </c>
      <c r="AD94" s="386">
        <v>5000</v>
      </c>
      <c r="AE94" s="386">
        <v>17</v>
      </c>
      <c r="AF94" s="386">
        <v>8</v>
      </c>
      <c r="AG94" s="386">
        <v>25</v>
      </c>
    </row>
    <row r="95" spans="1:33" x14ac:dyDescent="0.25">
      <c r="A95" s="381" t="s">
        <v>250</v>
      </c>
      <c r="B95" s="387" t="s">
        <v>251</v>
      </c>
      <c r="C95" s="383">
        <v>6649</v>
      </c>
      <c r="D95" s="383">
        <v>6</v>
      </c>
      <c r="E95" s="383">
        <v>196</v>
      </c>
      <c r="F95" s="383">
        <v>1060</v>
      </c>
      <c r="G95" s="383">
        <v>572</v>
      </c>
      <c r="H95" s="383">
        <v>8483</v>
      </c>
      <c r="I95" s="382">
        <v>7911</v>
      </c>
      <c r="J95" s="382">
        <v>11</v>
      </c>
      <c r="K95" s="384">
        <v>117.71</v>
      </c>
      <c r="L95" s="384">
        <v>117.32</v>
      </c>
      <c r="M95" s="384">
        <v>5.2</v>
      </c>
      <c r="N95" s="384">
        <v>119.53</v>
      </c>
      <c r="O95" s="385">
        <v>5213</v>
      </c>
      <c r="P95" s="382">
        <v>104.57</v>
      </c>
      <c r="Q95" s="382">
        <v>103.5</v>
      </c>
      <c r="R95" s="382">
        <v>26.44</v>
      </c>
      <c r="S95" s="382">
        <v>129.82</v>
      </c>
      <c r="T95" s="382">
        <v>785</v>
      </c>
      <c r="U95" s="382">
        <v>157.41</v>
      </c>
      <c r="V95" s="382">
        <v>1322</v>
      </c>
      <c r="W95" s="382">
        <v>0</v>
      </c>
      <c r="X95" s="382">
        <v>0</v>
      </c>
      <c r="Y95" s="382">
        <v>0</v>
      </c>
      <c r="Z95" s="382">
        <v>19</v>
      </c>
      <c r="AA95" s="382">
        <v>0</v>
      </c>
      <c r="AB95" s="382">
        <v>58</v>
      </c>
      <c r="AC95" s="382">
        <v>12</v>
      </c>
      <c r="AD95" s="386">
        <v>6649</v>
      </c>
      <c r="AE95" s="386">
        <v>41</v>
      </c>
      <c r="AF95" s="386">
        <v>9</v>
      </c>
      <c r="AG95" s="386">
        <v>50</v>
      </c>
    </row>
    <row r="96" spans="1:33" x14ac:dyDescent="0.25">
      <c r="A96" s="381" t="s">
        <v>252</v>
      </c>
      <c r="B96" s="387" t="s">
        <v>253</v>
      </c>
      <c r="C96" s="383">
        <v>6329</v>
      </c>
      <c r="D96" s="383">
        <v>11</v>
      </c>
      <c r="E96" s="383">
        <v>207</v>
      </c>
      <c r="F96" s="383">
        <v>826</v>
      </c>
      <c r="G96" s="383">
        <v>480</v>
      </c>
      <c r="H96" s="383">
        <v>7853</v>
      </c>
      <c r="I96" s="382">
        <v>7373</v>
      </c>
      <c r="J96" s="382">
        <v>0</v>
      </c>
      <c r="K96" s="384">
        <v>84.26</v>
      </c>
      <c r="L96" s="384">
        <v>84.35</v>
      </c>
      <c r="M96" s="384">
        <v>2.2200000000000002</v>
      </c>
      <c r="N96" s="384">
        <v>86.06</v>
      </c>
      <c r="O96" s="385">
        <v>5068</v>
      </c>
      <c r="P96" s="382">
        <v>81.91</v>
      </c>
      <c r="Q96" s="382">
        <v>78.040000000000006</v>
      </c>
      <c r="R96" s="382">
        <v>23.97</v>
      </c>
      <c r="S96" s="382">
        <v>105.06</v>
      </c>
      <c r="T96" s="382">
        <v>987</v>
      </c>
      <c r="U96" s="382">
        <v>92.69</v>
      </c>
      <c r="V96" s="382">
        <v>1079</v>
      </c>
      <c r="W96" s="382">
        <v>145.65</v>
      </c>
      <c r="X96" s="382">
        <v>40</v>
      </c>
      <c r="Y96" s="382">
        <v>0</v>
      </c>
      <c r="Z96" s="382">
        <v>11</v>
      </c>
      <c r="AA96" s="382">
        <v>0</v>
      </c>
      <c r="AB96" s="382">
        <v>57</v>
      </c>
      <c r="AC96" s="382">
        <v>3</v>
      </c>
      <c r="AD96" s="386">
        <v>6202</v>
      </c>
      <c r="AE96" s="386">
        <v>30</v>
      </c>
      <c r="AF96" s="386">
        <v>10</v>
      </c>
      <c r="AG96" s="386">
        <v>40</v>
      </c>
    </row>
    <row r="97" spans="1:33" x14ac:dyDescent="0.25">
      <c r="A97" s="381" t="s">
        <v>254</v>
      </c>
      <c r="B97" s="387" t="s">
        <v>255</v>
      </c>
      <c r="C97" s="383">
        <v>1821</v>
      </c>
      <c r="D97" s="383">
        <v>1</v>
      </c>
      <c r="E97" s="383">
        <v>230</v>
      </c>
      <c r="F97" s="383">
        <v>633</v>
      </c>
      <c r="G97" s="383">
        <v>117</v>
      </c>
      <c r="H97" s="383">
        <v>2802</v>
      </c>
      <c r="I97" s="382">
        <v>2685</v>
      </c>
      <c r="J97" s="382">
        <v>8</v>
      </c>
      <c r="K97" s="384">
        <v>90.5</v>
      </c>
      <c r="L97" s="384">
        <v>90.14</v>
      </c>
      <c r="M97" s="384">
        <v>4.1399999999999997</v>
      </c>
      <c r="N97" s="384">
        <v>93.19</v>
      </c>
      <c r="O97" s="385">
        <v>1395</v>
      </c>
      <c r="P97" s="382">
        <v>87.26</v>
      </c>
      <c r="Q97" s="382">
        <v>78.92</v>
      </c>
      <c r="R97" s="382">
        <v>34.71</v>
      </c>
      <c r="S97" s="382">
        <v>121.26</v>
      </c>
      <c r="T97" s="382">
        <v>733</v>
      </c>
      <c r="U97" s="382">
        <v>103.44</v>
      </c>
      <c r="V97" s="382">
        <v>161</v>
      </c>
      <c r="W97" s="382">
        <v>121.62</v>
      </c>
      <c r="X97" s="382">
        <v>30</v>
      </c>
      <c r="Y97" s="382">
        <v>20</v>
      </c>
      <c r="Z97" s="382">
        <v>1</v>
      </c>
      <c r="AA97" s="382">
        <v>0</v>
      </c>
      <c r="AB97" s="382">
        <v>9</v>
      </c>
      <c r="AC97" s="382">
        <v>0</v>
      </c>
      <c r="AD97" s="386">
        <v>1682</v>
      </c>
      <c r="AE97" s="386">
        <v>13</v>
      </c>
      <c r="AF97" s="386">
        <v>3</v>
      </c>
      <c r="AG97" s="386">
        <v>16</v>
      </c>
    </row>
    <row r="98" spans="1:33" x14ac:dyDescent="0.25">
      <c r="A98" s="381" t="s">
        <v>256</v>
      </c>
      <c r="B98" s="387" t="s">
        <v>257</v>
      </c>
      <c r="C98" s="383">
        <v>6029</v>
      </c>
      <c r="D98" s="383">
        <v>4</v>
      </c>
      <c r="E98" s="383">
        <v>143</v>
      </c>
      <c r="F98" s="383">
        <v>465</v>
      </c>
      <c r="G98" s="383">
        <v>174</v>
      </c>
      <c r="H98" s="383">
        <v>6815</v>
      </c>
      <c r="I98" s="382">
        <v>6641</v>
      </c>
      <c r="J98" s="382">
        <v>7</v>
      </c>
      <c r="K98" s="384">
        <v>82.89</v>
      </c>
      <c r="L98" s="384">
        <v>79.94</v>
      </c>
      <c r="M98" s="384">
        <v>7.15</v>
      </c>
      <c r="N98" s="384">
        <v>85.66</v>
      </c>
      <c r="O98" s="385">
        <v>4964</v>
      </c>
      <c r="P98" s="382">
        <v>79.12</v>
      </c>
      <c r="Q98" s="382">
        <v>77.8</v>
      </c>
      <c r="R98" s="382">
        <v>43.94</v>
      </c>
      <c r="S98" s="382">
        <v>122.26</v>
      </c>
      <c r="T98" s="382">
        <v>608</v>
      </c>
      <c r="U98" s="382">
        <v>93.91</v>
      </c>
      <c r="V98" s="382">
        <v>1024</v>
      </c>
      <c r="W98" s="382">
        <v>0</v>
      </c>
      <c r="X98" s="382">
        <v>0</v>
      </c>
      <c r="Y98" s="382">
        <v>0</v>
      </c>
      <c r="Z98" s="382">
        <v>32</v>
      </c>
      <c r="AA98" s="382">
        <v>0</v>
      </c>
      <c r="AB98" s="382">
        <v>18</v>
      </c>
      <c r="AC98" s="382">
        <v>3</v>
      </c>
      <c r="AD98" s="386">
        <v>6029</v>
      </c>
      <c r="AE98" s="386">
        <v>29</v>
      </c>
      <c r="AF98" s="386">
        <v>11</v>
      </c>
      <c r="AG98" s="386">
        <v>40</v>
      </c>
    </row>
    <row r="99" spans="1:33" x14ac:dyDescent="0.25">
      <c r="A99" s="381" t="s">
        <v>258</v>
      </c>
      <c r="B99" s="387" t="s">
        <v>259</v>
      </c>
      <c r="C99" s="383">
        <v>7815</v>
      </c>
      <c r="D99" s="383">
        <v>0</v>
      </c>
      <c r="E99" s="383">
        <v>405</v>
      </c>
      <c r="F99" s="383">
        <v>1431</v>
      </c>
      <c r="G99" s="383">
        <v>258</v>
      </c>
      <c r="H99" s="383">
        <v>9909</v>
      </c>
      <c r="I99" s="382">
        <v>9651</v>
      </c>
      <c r="J99" s="382">
        <v>58</v>
      </c>
      <c r="K99" s="384">
        <v>92.12</v>
      </c>
      <c r="L99" s="384">
        <v>92.15</v>
      </c>
      <c r="M99" s="384">
        <v>3.74</v>
      </c>
      <c r="N99" s="384">
        <v>93.6</v>
      </c>
      <c r="O99" s="385">
        <v>6994</v>
      </c>
      <c r="P99" s="382">
        <v>82.03</v>
      </c>
      <c r="Q99" s="382">
        <v>77.239999999999995</v>
      </c>
      <c r="R99" s="382">
        <v>33.89</v>
      </c>
      <c r="S99" s="382">
        <v>114.71</v>
      </c>
      <c r="T99" s="382">
        <v>1710</v>
      </c>
      <c r="U99" s="382">
        <v>102.68</v>
      </c>
      <c r="V99" s="382">
        <v>625</v>
      </c>
      <c r="W99" s="382">
        <v>170.18</v>
      </c>
      <c r="X99" s="382">
        <v>25</v>
      </c>
      <c r="Y99" s="382">
        <v>0</v>
      </c>
      <c r="Z99" s="382">
        <v>10</v>
      </c>
      <c r="AA99" s="382">
        <v>0</v>
      </c>
      <c r="AB99" s="382">
        <v>12</v>
      </c>
      <c r="AC99" s="382">
        <v>10</v>
      </c>
      <c r="AD99" s="386">
        <v>7801</v>
      </c>
      <c r="AE99" s="386">
        <v>41</v>
      </c>
      <c r="AF99" s="386">
        <v>3</v>
      </c>
      <c r="AG99" s="386">
        <v>44</v>
      </c>
    </row>
    <row r="100" spans="1:33" x14ac:dyDescent="0.25">
      <c r="A100" s="381" t="s">
        <v>260</v>
      </c>
      <c r="B100" s="387" t="s">
        <v>261</v>
      </c>
      <c r="C100" s="383">
        <v>1734</v>
      </c>
      <c r="D100" s="383">
        <v>12</v>
      </c>
      <c r="E100" s="383">
        <v>323</v>
      </c>
      <c r="F100" s="383">
        <v>507</v>
      </c>
      <c r="G100" s="383">
        <v>147</v>
      </c>
      <c r="H100" s="383">
        <v>2723</v>
      </c>
      <c r="I100" s="382">
        <v>2576</v>
      </c>
      <c r="J100" s="382">
        <v>5</v>
      </c>
      <c r="K100" s="384">
        <v>94.21</v>
      </c>
      <c r="L100" s="384">
        <v>92.34</v>
      </c>
      <c r="M100" s="384">
        <v>7.66</v>
      </c>
      <c r="N100" s="384">
        <v>100.45</v>
      </c>
      <c r="O100" s="385">
        <v>1512</v>
      </c>
      <c r="P100" s="382">
        <v>79.45</v>
      </c>
      <c r="Q100" s="382">
        <v>76.41</v>
      </c>
      <c r="R100" s="382">
        <v>39.65</v>
      </c>
      <c r="S100" s="382">
        <v>118.74</v>
      </c>
      <c r="T100" s="382">
        <v>669</v>
      </c>
      <c r="U100" s="382">
        <v>134.61000000000001</v>
      </c>
      <c r="V100" s="382">
        <v>220</v>
      </c>
      <c r="W100" s="382">
        <v>130.35</v>
      </c>
      <c r="X100" s="382">
        <v>18</v>
      </c>
      <c r="Y100" s="382">
        <v>19</v>
      </c>
      <c r="Z100" s="382">
        <v>0</v>
      </c>
      <c r="AA100" s="382">
        <v>0</v>
      </c>
      <c r="AB100" s="382">
        <v>8</v>
      </c>
      <c r="AC100" s="382">
        <v>1</v>
      </c>
      <c r="AD100" s="386">
        <v>1734</v>
      </c>
      <c r="AE100" s="386">
        <v>3</v>
      </c>
      <c r="AF100" s="386">
        <v>2</v>
      </c>
      <c r="AG100" s="386">
        <v>5</v>
      </c>
    </row>
    <row r="101" spans="1:33" x14ac:dyDescent="0.25">
      <c r="A101" s="381" t="s">
        <v>262</v>
      </c>
      <c r="B101" s="387" t="s">
        <v>263</v>
      </c>
      <c r="C101" s="383">
        <v>5397</v>
      </c>
      <c r="D101" s="383">
        <v>0</v>
      </c>
      <c r="E101" s="383">
        <v>171</v>
      </c>
      <c r="F101" s="383">
        <v>1189</v>
      </c>
      <c r="G101" s="383">
        <v>558</v>
      </c>
      <c r="H101" s="383">
        <v>7315</v>
      </c>
      <c r="I101" s="382">
        <v>6757</v>
      </c>
      <c r="J101" s="382">
        <v>6</v>
      </c>
      <c r="K101" s="384">
        <v>109.71</v>
      </c>
      <c r="L101" s="384">
        <v>109.28</v>
      </c>
      <c r="M101" s="384">
        <v>4.78</v>
      </c>
      <c r="N101" s="384">
        <v>112.05</v>
      </c>
      <c r="O101" s="385">
        <v>4331</v>
      </c>
      <c r="P101" s="382">
        <v>98.72</v>
      </c>
      <c r="Q101" s="382">
        <v>93.98</v>
      </c>
      <c r="R101" s="382">
        <v>23.06</v>
      </c>
      <c r="S101" s="382">
        <v>118.91</v>
      </c>
      <c r="T101" s="382">
        <v>1111</v>
      </c>
      <c r="U101" s="382">
        <v>145.32</v>
      </c>
      <c r="V101" s="382">
        <v>940</v>
      </c>
      <c r="W101" s="382">
        <v>147.74</v>
      </c>
      <c r="X101" s="382">
        <v>189</v>
      </c>
      <c r="Y101" s="382">
        <v>53</v>
      </c>
      <c r="Z101" s="382">
        <v>13</v>
      </c>
      <c r="AA101" s="382">
        <v>0</v>
      </c>
      <c r="AB101" s="382">
        <v>33</v>
      </c>
      <c r="AC101" s="382">
        <v>31</v>
      </c>
      <c r="AD101" s="386">
        <v>5397</v>
      </c>
      <c r="AE101" s="386">
        <v>8</v>
      </c>
      <c r="AF101" s="386">
        <v>6</v>
      </c>
      <c r="AG101" s="386">
        <v>14</v>
      </c>
    </row>
    <row r="102" spans="1:33" x14ac:dyDescent="0.25">
      <c r="A102" s="381" t="s">
        <v>264</v>
      </c>
      <c r="B102" s="387" t="s">
        <v>265</v>
      </c>
      <c r="C102" s="383">
        <v>2158</v>
      </c>
      <c r="D102" s="383">
        <v>9</v>
      </c>
      <c r="E102" s="383">
        <v>159</v>
      </c>
      <c r="F102" s="383">
        <v>185</v>
      </c>
      <c r="G102" s="383">
        <v>185</v>
      </c>
      <c r="H102" s="383">
        <v>2696</v>
      </c>
      <c r="I102" s="382">
        <v>2511</v>
      </c>
      <c r="J102" s="382">
        <v>32</v>
      </c>
      <c r="K102" s="384">
        <v>97.13</v>
      </c>
      <c r="L102" s="384">
        <v>96.36</v>
      </c>
      <c r="M102" s="384">
        <v>4.7300000000000004</v>
      </c>
      <c r="N102" s="384">
        <v>98.95</v>
      </c>
      <c r="O102" s="385">
        <v>1949</v>
      </c>
      <c r="P102" s="382">
        <v>85.77</v>
      </c>
      <c r="Q102" s="382">
        <v>80.150000000000006</v>
      </c>
      <c r="R102" s="382">
        <v>27.52</v>
      </c>
      <c r="S102" s="382">
        <v>112.24</v>
      </c>
      <c r="T102" s="382">
        <v>341</v>
      </c>
      <c r="U102" s="382">
        <v>106.49</v>
      </c>
      <c r="V102" s="382">
        <v>181</v>
      </c>
      <c r="W102" s="382">
        <v>0</v>
      </c>
      <c r="X102" s="382">
        <v>0</v>
      </c>
      <c r="Y102" s="382">
        <v>0</v>
      </c>
      <c r="Z102" s="382">
        <v>6</v>
      </c>
      <c r="AA102" s="382">
        <v>7</v>
      </c>
      <c r="AB102" s="382">
        <v>0</v>
      </c>
      <c r="AC102" s="382">
        <v>1</v>
      </c>
      <c r="AD102" s="386">
        <v>2121</v>
      </c>
      <c r="AE102" s="386">
        <v>25</v>
      </c>
      <c r="AF102" s="386">
        <v>5</v>
      </c>
      <c r="AG102" s="386">
        <v>30</v>
      </c>
    </row>
    <row r="103" spans="1:33" x14ac:dyDescent="0.25">
      <c r="A103" s="381" t="s">
        <v>266</v>
      </c>
      <c r="B103" s="387" t="s">
        <v>267</v>
      </c>
      <c r="C103" s="383">
        <v>4486</v>
      </c>
      <c r="D103" s="383">
        <v>5</v>
      </c>
      <c r="E103" s="383">
        <v>99</v>
      </c>
      <c r="F103" s="383">
        <v>958</v>
      </c>
      <c r="G103" s="383">
        <v>370</v>
      </c>
      <c r="H103" s="383">
        <v>5918</v>
      </c>
      <c r="I103" s="382">
        <v>5548</v>
      </c>
      <c r="J103" s="382">
        <v>1</v>
      </c>
      <c r="K103" s="384">
        <v>127.68</v>
      </c>
      <c r="L103" s="384">
        <v>130.88</v>
      </c>
      <c r="M103" s="384">
        <v>7.63</v>
      </c>
      <c r="N103" s="384">
        <v>131.52000000000001</v>
      </c>
      <c r="O103" s="385">
        <v>3770</v>
      </c>
      <c r="P103" s="382">
        <v>114.21</v>
      </c>
      <c r="Q103" s="382">
        <v>109.12</v>
      </c>
      <c r="R103" s="382">
        <v>22.06</v>
      </c>
      <c r="S103" s="382">
        <v>135.96</v>
      </c>
      <c r="T103" s="382">
        <v>794</v>
      </c>
      <c r="U103" s="382">
        <v>197.42</v>
      </c>
      <c r="V103" s="382">
        <v>484</v>
      </c>
      <c r="W103" s="382">
        <v>153.68</v>
      </c>
      <c r="X103" s="382">
        <v>9</v>
      </c>
      <c r="Y103" s="382">
        <v>41</v>
      </c>
      <c r="Z103" s="382">
        <v>4</v>
      </c>
      <c r="AA103" s="382">
        <v>2</v>
      </c>
      <c r="AB103" s="382">
        <v>0</v>
      </c>
      <c r="AC103" s="382">
        <v>12</v>
      </c>
      <c r="AD103" s="386">
        <v>4366</v>
      </c>
      <c r="AE103" s="386">
        <v>13</v>
      </c>
      <c r="AF103" s="386">
        <v>34</v>
      </c>
      <c r="AG103" s="386">
        <v>47</v>
      </c>
    </row>
    <row r="104" spans="1:33" x14ac:dyDescent="0.25">
      <c r="A104" s="381" t="s">
        <v>268</v>
      </c>
      <c r="B104" s="387" t="s">
        <v>269</v>
      </c>
      <c r="C104" s="383">
        <v>6825</v>
      </c>
      <c r="D104" s="383">
        <v>318</v>
      </c>
      <c r="E104" s="383">
        <v>592</v>
      </c>
      <c r="F104" s="383">
        <v>700</v>
      </c>
      <c r="G104" s="383">
        <v>1186</v>
      </c>
      <c r="H104" s="383">
        <v>9621</v>
      </c>
      <c r="I104" s="382">
        <v>8435</v>
      </c>
      <c r="J104" s="382">
        <v>30</v>
      </c>
      <c r="K104" s="384">
        <v>125.36</v>
      </c>
      <c r="L104" s="384">
        <v>122.57</v>
      </c>
      <c r="M104" s="384">
        <v>12.71</v>
      </c>
      <c r="N104" s="384">
        <v>134.07</v>
      </c>
      <c r="O104" s="385">
        <v>5827</v>
      </c>
      <c r="P104" s="382">
        <v>112.68</v>
      </c>
      <c r="Q104" s="382">
        <v>105.12</v>
      </c>
      <c r="R104" s="382">
        <v>62.75</v>
      </c>
      <c r="S104" s="382">
        <v>170.37</v>
      </c>
      <c r="T104" s="382">
        <v>1201</v>
      </c>
      <c r="U104" s="382">
        <v>192.87</v>
      </c>
      <c r="V104" s="382">
        <v>588</v>
      </c>
      <c r="W104" s="382">
        <v>0</v>
      </c>
      <c r="X104" s="382">
        <v>0</v>
      </c>
      <c r="Y104" s="382">
        <v>0</v>
      </c>
      <c r="Z104" s="382">
        <v>5</v>
      </c>
      <c r="AA104" s="382">
        <v>23</v>
      </c>
      <c r="AB104" s="382">
        <v>100</v>
      </c>
      <c r="AC104" s="382">
        <v>88</v>
      </c>
      <c r="AD104" s="386">
        <v>6536</v>
      </c>
      <c r="AE104" s="386">
        <v>41</v>
      </c>
      <c r="AF104" s="386">
        <v>26</v>
      </c>
      <c r="AG104" s="386">
        <v>67</v>
      </c>
    </row>
    <row r="105" spans="1:33" x14ac:dyDescent="0.25">
      <c r="A105" s="381" t="s">
        <v>270</v>
      </c>
      <c r="B105" s="387" t="s">
        <v>271</v>
      </c>
      <c r="C105" s="383">
        <v>1376</v>
      </c>
      <c r="D105" s="383">
        <v>0</v>
      </c>
      <c r="E105" s="383">
        <v>188</v>
      </c>
      <c r="F105" s="383">
        <v>188</v>
      </c>
      <c r="G105" s="383">
        <v>245</v>
      </c>
      <c r="H105" s="383">
        <v>1997</v>
      </c>
      <c r="I105" s="382">
        <v>1752</v>
      </c>
      <c r="J105" s="382">
        <v>3</v>
      </c>
      <c r="K105" s="384">
        <v>121.79</v>
      </c>
      <c r="L105" s="384">
        <v>121.36</v>
      </c>
      <c r="M105" s="384">
        <v>4.93</v>
      </c>
      <c r="N105" s="384">
        <v>126.04</v>
      </c>
      <c r="O105" s="385">
        <v>1231</v>
      </c>
      <c r="P105" s="382">
        <v>97.56</v>
      </c>
      <c r="Q105" s="382">
        <v>93.33</v>
      </c>
      <c r="R105" s="382">
        <v>56.48</v>
      </c>
      <c r="S105" s="382">
        <v>153.65</v>
      </c>
      <c r="T105" s="382">
        <v>286</v>
      </c>
      <c r="U105" s="382">
        <v>172.32</v>
      </c>
      <c r="V105" s="382">
        <v>127</v>
      </c>
      <c r="W105" s="382">
        <v>0</v>
      </c>
      <c r="X105" s="382">
        <v>0</v>
      </c>
      <c r="Y105" s="382">
        <v>0</v>
      </c>
      <c r="Z105" s="382">
        <v>0</v>
      </c>
      <c r="AA105" s="382">
        <v>0</v>
      </c>
      <c r="AB105" s="382">
        <v>3</v>
      </c>
      <c r="AC105" s="382">
        <v>6</v>
      </c>
      <c r="AD105" s="386">
        <v>1375</v>
      </c>
      <c r="AE105" s="386">
        <v>2</v>
      </c>
      <c r="AF105" s="386">
        <v>2</v>
      </c>
      <c r="AG105" s="386">
        <v>4</v>
      </c>
    </row>
    <row r="106" spans="1:33" x14ac:dyDescent="0.25">
      <c r="A106" s="381" t="s">
        <v>272</v>
      </c>
      <c r="B106" s="387" t="s">
        <v>273</v>
      </c>
      <c r="C106" s="383">
        <v>2099</v>
      </c>
      <c r="D106" s="383">
        <v>0</v>
      </c>
      <c r="E106" s="383">
        <v>123</v>
      </c>
      <c r="F106" s="383">
        <v>382</v>
      </c>
      <c r="G106" s="383">
        <v>340</v>
      </c>
      <c r="H106" s="383">
        <v>2944</v>
      </c>
      <c r="I106" s="382">
        <v>2604</v>
      </c>
      <c r="J106" s="382">
        <v>33</v>
      </c>
      <c r="K106" s="384">
        <v>119.78</v>
      </c>
      <c r="L106" s="384">
        <v>116.58</v>
      </c>
      <c r="M106" s="384">
        <v>8.3699999999999992</v>
      </c>
      <c r="N106" s="384">
        <v>124.31</v>
      </c>
      <c r="O106" s="385">
        <v>1883</v>
      </c>
      <c r="P106" s="382">
        <v>100.52</v>
      </c>
      <c r="Q106" s="382">
        <v>98.91</v>
      </c>
      <c r="R106" s="382">
        <v>21.51</v>
      </c>
      <c r="S106" s="382">
        <v>121.96</v>
      </c>
      <c r="T106" s="382">
        <v>308</v>
      </c>
      <c r="U106" s="382">
        <v>187.5</v>
      </c>
      <c r="V106" s="382">
        <v>199</v>
      </c>
      <c r="W106" s="382">
        <v>214.14</v>
      </c>
      <c r="X106" s="382">
        <v>47</v>
      </c>
      <c r="Y106" s="382">
        <v>0</v>
      </c>
      <c r="Z106" s="382">
        <v>3</v>
      </c>
      <c r="AA106" s="382">
        <v>0</v>
      </c>
      <c r="AB106" s="382">
        <v>32</v>
      </c>
      <c r="AC106" s="382">
        <v>16</v>
      </c>
      <c r="AD106" s="386">
        <v>2099</v>
      </c>
      <c r="AE106" s="386">
        <v>1</v>
      </c>
      <c r="AF106" s="386">
        <v>7</v>
      </c>
      <c r="AG106" s="386">
        <v>8</v>
      </c>
    </row>
    <row r="107" spans="1:33" x14ac:dyDescent="0.25">
      <c r="A107" s="381" t="s">
        <v>274</v>
      </c>
      <c r="B107" s="387" t="s">
        <v>275</v>
      </c>
      <c r="C107" s="383">
        <v>4579</v>
      </c>
      <c r="D107" s="383">
        <v>0</v>
      </c>
      <c r="E107" s="383">
        <v>66</v>
      </c>
      <c r="F107" s="383">
        <v>1903</v>
      </c>
      <c r="G107" s="383">
        <v>164</v>
      </c>
      <c r="H107" s="383">
        <v>6712</v>
      </c>
      <c r="I107" s="382">
        <v>6548</v>
      </c>
      <c r="J107" s="382">
        <v>0</v>
      </c>
      <c r="K107" s="384">
        <v>89.71</v>
      </c>
      <c r="L107" s="384">
        <v>89.41</v>
      </c>
      <c r="M107" s="384">
        <v>2.96</v>
      </c>
      <c r="N107" s="384">
        <v>91.4</v>
      </c>
      <c r="O107" s="385">
        <v>4397</v>
      </c>
      <c r="P107" s="382">
        <v>80.38</v>
      </c>
      <c r="Q107" s="382">
        <v>80.08</v>
      </c>
      <c r="R107" s="382">
        <v>7.18</v>
      </c>
      <c r="S107" s="382">
        <v>87.23</v>
      </c>
      <c r="T107" s="382">
        <v>1962</v>
      </c>
      <c r="U107" s="382">
        <v>94.46</v>
      </c>
      <c r="V107" s="382">
        <v>130</v>
      </c>
      <c r="W107" s="382">
        <v>0</v>
      </c>
      <c r="X107" s="382">
        <v>0</v>
      </c>
      <c r="Y107" s="382">
        <v>0</v>
      </c>
      <c r="Z107" s="382">
        <v>23</v>
      </c>
      <c r="AA107" s="382">
        <v>0</v>
      </c>
      <c r="AB107" s="382">
        <v>6</v>
      </c>
      <c r="AC107" s="382">
        <v>2</v>
      </c>
      <c r="AD107" s="386">
        <v>4578</v>
      </c>
      <c r="AE107" s="386">
        <v>25</v>
      </c>
      <c r="AF107" s="386">
        <v>12</v>
      </c>
      <c r="AG107" s="386">
        <v>37</v>
      </c>
    </row>
    <row r="108" spans="1:33" x14ac:dyDescent="0.25">
      <c r="A108" s="381" t="s">
        <v>276</v>
      </c>
      <c r="B108" s="387" t="s">
        <v>277</v>
      </c>
      <c r="C108" s="383">
        <v>3396</v>
      </c>
      <c r="D108" s="383">
        <v>0</v>
      </c>
      <c r="E108" s="383">
        <v>570</v>
      </c>
      <c r="F108" s="383">
        <v>381</v>
      </c>
      <c r="G108" s="383">
        <v>415</v>
      </c>
      <c r="H108" s="383">
        <v>4762</v>
      </c>
      <c r="I108" s="382">
        <v>4347</v>
      </c>
      <c r="J108" s="382">
        <v>1</v>
      </c>
      <c r="K108" s="384">
        <v>88.62</v>
      </c>
      <c r="L108" s="384">
        <v>86.97</v>
      </c>
      <c r="M108" s="384">
        <v>6.94</v>
      </c>
      <c r="N108" s="384">
        <v>93.8</v>
      </c>
      <c r="O108" s="385">
        <v>3151</v>
      </c>
      <c r="P108" s="382">
        <v>92.95</v>
      </c>
      <c r="Q108" s="382">
        <v>52.5</v>
      </c>
      <c r="R108" s="382">
        <v>52.25</v>
      </c>
      <c r="S108" s="382">
        <v>137.41999999999999</v>
      </c>
      <c r="T108" s="382">
        <v>423</v>
      </c>
      <c r="U108" s="382">
        <v>122.24</v>
      </c>
      <c r="V108" s="382">
        <v>189</v>
      </c>
      <c r="W108" s="382">
        <v>120.67</v>
      </c>
      <c r="X108" s="382">
        <v>37</v>
      </c>
      <c r="Y108" s="382">
        <v>0</v>
      </c>
      <c r="Z108" s="382">
        <v>0</v>
      </c>
      <c r="AA108" s="382">
        <v>1</v>
      </c>
      <c r="AB108" s="382">
        <v>23</v>
      </c>
      <c r="AC108" s="382">
        <v>9</v>
      </c>
      <c r="AD108" s="386">
        <v>3374</v>
      </c>
      <c r="AE108" s="386">
        <v>7</v>
      </c>
      <c r="AF108" s="386">
        <v>58</v>
      </c>
      <c r="AG108" s="386">
        <v>65</v>
      </c>
    </row>
    <row r="109" spans="1:33" x14ac:dyDescent="0.25">
      <c r="A109" s="381" t="s">
        <v>278</v>
      </c>
      <c r="B109" s="387" t="s">
        <v>279</v>
      </c>
      <c r="C109" s="383">
        <v>1376</v>
      </c>
      <c r="D109" s="383">
        <v>0</v>
      </c>
      <c r="E109" s="383">
        <v>179</v>
      </c>
      <c r="F109" s="383">
        <v>151</v>
      </c>
      <c r="G109" s="383">
        <v>276</v>
      </c>
      <c r="H109" s="383">
        <v>1982</v>
      </c>
      <c r="I109" s="382">
        <v>1706</v>
      </c>
      <c r="J109" s="382">
        <v>7</v>
      </c>
      <c r="K109" s="384">
        <v>108.15</v>
      </c>
      <c r="L109" s="384">
        <v>107.16</v>
      </c>
      <c r="M109" s="384">
        <v>7.83</v>
      </c>
      <c r="N109" s="384">
        <v>113.79</v>
      </c>
      <c r="O109" s="385">
        <v>1034</v>
      </c>
      <c r="P109" s="382">
        <v>94.55</v>
      </c>
      <c r="Q109" s="382">
        <v>91.01</v>
      </c>
      <c r="R109" s="382">
        <v>41.09</v>
      </c>
      <c r="S109" s="382">
        <v>132.55000000000001</v>
      </c>
      <c r="T109" s="382">
        <v>199</v>
      </c>
      <c r="U109" s="382">
        <v>144.44</v>
      </c>
      <c r="V109" s="382">
        <v>237</v>
      </c>
      <c r="W109" s="382">
        <v>0</v>
      </c>
      <c r="X109" s="382">
        <v>0</v>
      </c>
      <c r="Y109" s="382">
        <v>256</v>
      </c>
      <c r="Z109" s="382">
        <v>0</v>
      </c>
      <c r="AA109" s="382">
        <v>1</v>
      </c>
      <c r="AB109" s="382">
        <v>22</v>
      </c>
      <c r="AC109" s="382">
        <v>7</v>
      </c>
      <c r="AD109" s="386">
        <v>1364</v>
      </c>
      <c r="AE109" s="386">
        <v>9</v>
      </c>
      <c r="AF109" s="386">
        <v>2</v>
      </c>
      <c r="AG109" s="386">
        <v>11</v>
      </c>
    </row>
    <row r="110" spans="1:33" x14ac:dyDescent="0.25">
      <c r="A110" s="381" t="s">
        <v>280</v>
      </c>
      <c r="B110" s="387" t="s">
        <v>281</v>
      </c>
      <c r="C110" s="383">
        <v>4767</v>
      </c>
      <c r="D110" s="383">
        <v>0</v>
      </c>
      <c r="E110" s="383">
        <v>207</v>
      </c>
      <c r="F110" s="383">
        <v>680</v>
      </c>
      <c r="G110" s="383">
        <v>162</v>
      </c>
      <c r="H110" s="383">
        <v>5816</v>
      </c>
      <c r="I110" s="382">
        <v>5654</v>
      </c>
      <c r="J110" s="382">
        <v>17</v>
      </c>
      <c r="K110" s="384">
        <v>91.06</v>
      </c>
      <c r="L110" s="384">
        <v>90.66</v>
      </c>
      <c r="M110" s="384">
        <v>4.1100000000000003</v>
      </c>
      <c r="N110" s="384">
        <v>92.36</v>
      </c>
      <c r="O110" s="385">
        <v>4422</v>
      </c>
      <c r="P110" s="382">
        <v>89.05</v>
      </c>
      <c r="Q110" s="382">
        <v>84.58</v>
      </c>
      <c r="R110" s="382">
        <v>37.35</v>
      </c>
      <c r="S110" s="382">
        <v>126.18</v>
      </c>
      <c r="T110" s="382">
        <v>838</v>
      </c>
      <c r="U110" s="382">
        <v>113.3</v>
      </c>
      <c r="V110" s="382">
        <v>329</v>
      </c>
      <c r="W110" s="382">
        <v>0</v>
      </c>
      <c r="X110" s="382">
        <v>0</v>
      </c>
      <c r="Y110" s="382">
        <v>0</v>
      </c>
      <c r="Z110" s="382">
        <v>32</v>
      </c>
      <c r="AA110" s="382">
        <v>0</v>
      </c>
      <c r="AB110" s="382">
        <v>8</v>
      </c>
      <c r="AC110" s="382">
        <v>1</v>
      </c>
      <c r="AD110" s="386">
        <v>4764</v>
      </c>
      <c r="AE110" s="386">
        <v>52</v>
      </c>
      <c r="AF110" s="386">
        <v>29</v>
      </c>
      <c r="AG110" s="386">
        <v>81</v>
      </c>
    </row>
    <row r="111" spans="1:33" x14ac:dyDescent="0.25">
      <c r="A111" s="381" t="s">
        <v>282</v>
      </c>
      <c r="B111" s="387" t="s">
        <v>283</v>
      </c>
      <c r="C111" s="383">
        <v>1526</v>
      </c>
      <c r="D111" s="383">
        <v>0</v>
      </c>
      <c r="E111" s="383">
        <v>111</v>
      </c>
      <c r="F111" s="383">
        <v>293</v>
      </c>
      <c r="G111" s="383">
        <v>235</v>
      </c>
      <c r="H111" s="383">
        <v>2165</v>
      </c>
      <c r="I111" s="382">
        <v>1930</v>
      </c>
      <c r="J111" s="382">
        <v>17</v>
      </c>
      <c r="K111" s="384">
        <v>94.85</v>
      </c>
      <c r="L111" s="384">
        <v>94</v>
      </c>
      <c r="M111" s="384">
        <v>6.64</v>
      </c>
      <c r="N111" s="384">
        <v>99.69</v>
      </c>
      <c r="O111" s="385">
        <v>1222</v>
      </c>
      <c r="P111" s="382">
        <v>97.57</v>
      </c>
      <c r="Q111" s="382">
        <v>85</v>
      </c>
      <c r="R111" s="382">
        <v>38.82</v>
      </c>
      <c r="S111" s="382">
        <v>133.11000000000001</v>
      </c>
      <c r="T111" s="382">
        <v>366</v>
      </c>
      <c r="U111" s="382">
        <v>139.61000000000001</v>
      </c>
      <c r="V111" s="382">
        <v>160</v>
      </c>
      <c r="W111" s="382">
        <v>0</v>
      </c>
      <c r="X111" s="382">
        <v>0</v>
      </c>
      <c r="Y111" s="382">
        <v>0</v>
      </c>
      <c r="Z111" s="382">
        <v>1</v>
      </c>
      <c r="AA111" s="382">
        <v>0</v>
      </c>
      <c r="AB111" s="382">
        <v>26</v>
      </c>
      <c r="AC111" s="382">
        <v>4</v>
      </c>
      <c r="AD111" s="386">
        <v>1394</v>
      </c>
      <c r="AE111" s="386">
        <v>7</v>
      </c>
      <c r="AF111" s="386">
        <v>41</v>
      </c>
      <c r="AG111" s="386">
        <v>48</v>
      </c>
    </row>
    <row r="112" spans="1:33" x14ac:dyDescent="0.25">
      <c r="A112" s="381" t="s">
        <v>284</v>
      </c>
      <c r="B112" s="387" t="s">
        <v>285</v>
      </c>
      <c r="C112" s="383">
        <v>4152</v>
      </c>
      <c r="D112" s="383">
        <v>16</v>
      </c>
      <c r="E112" s="383">
        <v>74</v>
      </c>
      <c r="F112" s="383">
        <v>787</v>
      </c>
      <c r="G112" s="383">
        <v>184</v>
      </c>
      <c r="H112" s="383">
        <v>5213</v>
      </c>
      <c r="I112" s="382">
        <v>5029</v>
      </c>
      <c r="J112" s="382">
        <v>8</v>
      </c>
      <c r="K112" s="384">
        <v>95.33</v>
      </c>
      <c r="L112" s="384">
        <v>92.09</v>
      </c>
      <c r="M112" s="384">
        <v>1.89</v>
      </c>
      <c r="N112" s="384">
        <v>96.95</v>
      </c>
      <c r="O112" s="385">
        <v>3375</v>
      </c>
      <c r="P112" s="382">
        <v>93.2</v>
      </c>
      <c r="Q112" s="382">
        <v>79.989999999999995</v>
      </c>
      <c r="R112" s="382">
        <v>24.64</v>
      </c>
      <c r="S112" s="382">
        <v>117.74</v>
      </c>
      <c r="T112" s="382">
        <v>771</v>
      </c>
      <c r="U112" s="382">
        <v>109.32</v>
      </c>
      <c r="V112" s="382">
        <v>367</v>
      </c>
      <c r="W112" s="382">
        <v>203.72</v>
      </c>
      <c r="X112" s="382">
        <v>68</v>
      </c>
      <c r="Y112" s="382">
        <v>32</v>
      </c>
      <c r="Z112" s="382">
        <v>17</v>
      </c>
      <c r="AA112" s="382">
        <v>0</v>
      </c>
      <c r="AB112" s="382">
        <v>9</v>
      </c>
      <c r="AC112" s="382">
        <v>4</v>
      </c>
      <c r="AD112" s="386">
        <v>3725</v>
      </c>
      <c r="AE112" s="386">
        <v>5</v>
      </c>
      <c r="AF112" s="386">
        <v>8</v>
      </c>
      <c r="AG112" s="386">
        <v>13</v>
      </c>
    </row>
    <row r="113" spans="1:33" x14ac:dyDescent="0.25">
      <c r="A113" s="381" t="s">
        <v>286</v>
      </c>
      <c r="B113" s="387" t="s">
        <v>287</v>
      </c>
      <c r="C113" s="383">
        <v>2009</v>
      </c>
      <c r="D113" s="383">
        <v>2</v>
      </c>
      <c r="E113" s="383">
        <v>130</v>
      </c>
      <c r="F113" s="383">
        <v>543</v>
      </c>
      <c r="G113" s="383">
        <v>62</v>
      </c>
      <c r="H113" s="383">
        <v>2746</v>
      </c>
      <c r="I113" s="382">
        <v>2684</v>
      </c>
      <c r="J113" s="382">
        <v>0</v>
      </c>
      <c r="K113" s="384">
        <v>87.85</v>
      </c>
      <c r="L113" s="384">
        <v>87.68</v>
      </c>
      <c r="M113" s="384">
        <v>3.31</v>
      </c>
      <c r="N113" s="384">
        <v>90.87</v>
      </c>
      <c r="O113" s="385">
        <v>1748</v>
      </c>
      <c r="P113" s="382">
        <v>91.01</v>
      </c>
      <c r="Q113" s="382">
        <v>80.150000000000006</v>
      </c>
      <c r="R113" s="382">
        <v>23.41</v>
      </c>
      <c r="S113" s="382">
        <v>114.35</v>
      </c>
      <c r="T113" s="382">
        <v>638</v>
      </c>
      <c r="U113" s="382">
        <v>108.28</v>
      </c>
      <c r="V113" s="382">
        <v>251</v>
      </c>
      <c r="W113" s="382">
        <v>0</v>
      </c>
      <c r="X113" s="382">
        <v>0</v>
      </c>
      <c r="Y113" s="382">
        <v>0</v>
      </c>
      <c r="Z113" s="382">
        <v>1</v>
      </c>
      <c r="AA113" s="382">
        <v>0</v>
      </c>
      <c r="AB113" s="382">
        <v>3</v>
      </c>
      <c r="AC113" s="382">
        <v>4</v>
      </c>
      <c r="AD113" s="386">
        <v>2009</v>
      </c>
      <c r="AE113" s="386">
        <v>11</v>
      </c>
      <c r="AF113" s="386">
        <v>1</v>
      </c>
      <c r="AG113" s="386">
        <v>12</v>
      </c>
    </row>
    <row r="114" spans="1:33" x14ac:dyDescent="0.25">
      <c r="A114" s="381" t="s">
        <v>288</v>
      </c>
      <c r="B114" s="387" t="s">
        <v>289</v>
      </c>
      <c r="C114" s="383">
        <v>3880</v>
      </c>
      <c r="D114" s="383">
        <v>48</v>
      </c>
      <c r="E114" s="383">
        <v>235</v>
      </c>
      <c r="F114" s="383">
        <v>984</v>
      </c>
      <c r="G114" s="383">
        <v>230</v>
      </c>
      <c r="H114" s="383">
        <v>5377</v>
      </c>
      <c r="I114" s="382">
        <v>5147</v>
      </c>
      <c r="J114" s="382">
        <v>2</v>
      </c>
      <c r="K114" s="384">
        <v>79.150000000000006</v>
      </c>
      <c r="L114" s="384">
        <v>78.03</v>
      </c>
      <c r="M114" s="384">
        <v>7.39</v>
      </c>
      <c r="N114" s="384">
        <v>83.47</v>
      </c>
      <c r="O114" s="385">
        <v>3090</v>
      </c>
      <c r="P114" s="382">
        <v>89.74</v>
      </c>
      <c r="Q114" s="382">
        <v>78.73</v>
      </c>
      <c r="R114" s="382">
        <v>41.24</v>
      </c>
      <c r="S114" s="382">
        <v>128.87</v>
      </c>
      <c r="T114" s="382">
        <v>1015</v>
      </c>
      <c r="U114" s="382">
        <v>94.36</v>
      </c>
      <c r="V114" s="382">
        <v>821</v>
      </c>
      <c r="W114" s="382">
        <v>147.99</v>
      </c>
      <c r="X114" s="382">
        <v>191</v>
      </c>
      <c r="Y114" s="382">
        <v>5</v>
      </c>
      <c r="Z114" s="382">
        <v>4</v>
      </c>
      <c r="AA114" s="382">
        <v>0</v>
      </c>
      <c r="AB114" s="382">
        <v>13</v>
      </c>
      <c r="AC114" s="382">
        <v>19</v>
      </c>
      <c r="AD114" s="386">
        <v>3701</v>
      </c>
      <c r="AE114" s="386">
        <v>45</v>
      </c>
      <c r="AF114" s="386">
        <v>6</v>
      </c>
      <c r="AG114" s="386">
        <v>51</v>
      </c>
    </row>
    <row r="115" spans="1:33" x14ac:dyDescent="0.25">
      <c r="A115" s="381" t="s">
        <v>290</v>
      </c>
      <c r="B115" s="387" t="s">
        <v>291</v>
      </c>
      <c r="C115" s="383">
        <v>3736</v>
      </c>
      <c r="D115" s="383">
        <v>0</v>
      </c>
      <c r="E115" s="383">
        <v>164</v>
      </c>
      <c r="F115" s="383">
        <v>1189</v>
      </c>
      <c r="G115" s="383">
        <v>186</v>
      </c>
      <c r="H115" s="383">
        <v>5275</v>
      </c>
      <c r="I115" s="382">
        <v>5089</v>
      </c>
      <c r="J115" s="382">
        <v>77</v>
      </c>
      <c r="K115" s="384">
        <v>83.89</v>
      </c>
      <c r="L115" s="384">
        <v>82.68</v>
      </c>
      <c r="M115" s="384">
        <v>4.8899999999999997</v>
      </c>
      <c r="N115" s="384">
        <v>85.72</v>
      </c>
      <c r="O115" s="385">
        <v>3604</v>
      </c>
      <c r="P115" s="382">
        <v>82.99</v>
      </c>
      <c r="Q115" s="382">
        <v>71.72</v>
      </c>
      <c r="R115" s="382">
        <v>20.53</v>
      </c>
      <c r="S115" s="382">
        <v>103.28</v>
      </c>
      <c r="T115" s="382">
        <v>1282</v>
      </c>
      <c r="U115" s="382">
        <v>108.4</v>
      </c>
      <c r="V115" s="382">
        <v>115</v>
      </c>
      <c r="W115" s="382">
        <v>178.44</v>
      </c>
      <c r="X115" s="382">
        <v>6</v>
      </c>
      <c r="Y115" s="382">
        <v>1</v>
      </c>
      <c r="Z115" s="382">
        <v>34</v>
      </c>
      <c r="AA115" s="382">
        <v>0</v>
      </c>
      <c r="AB115" s="382">
        <v>5</v>
      </c>
      <c r="AC115" s="382">
        <v>5</v>
      </c>
      <c r="AD115" s="386">
        <v>3736</v>
      </c>
      <c r="AE115" s="386">
        <v>34</v>
      </c>
      <c r="AF115" s="386">
        <v>5</v>
      </c>
      <c r="AG115" s="386">
        <v>39</v>
      </c>
    </row>
    <row r="116" spans="1:33" x14ac:dyDescent="0.25">
      <c r="A116" s="381" t="s">
        <v>292</v>
      </c>
      <c r="B116" s="387" t="s">
        <v>293</v>
      </c>
      <c r="C116" s="383">
        <v>6543</v>
      </c>
      <c r="D116" s="383">
        <v>10</v>
      </c>
      <c r="E116" s="383">
        <v>536</v>
      </c>
      <c r="F116" s="383">
        <v>946</v>
      </c>
      <c r="G116" s="383">
        <v>489</v>
      </c>
      <c r="H116" s="383">
        <v>8524</v>
      </c>
      <c r="I116" s="382">
        <v>8035</v>
      </c>
      <c r="J116" s="382">
        <v>146</v>
      </c>
      <c r="K116" s="384">
        <v>87.15</v>
      </c>
      <c r="L116" s="384">
        <v>85.55</v>
      </c>
      <c r="M116" s="384">
        <v>5.88</v>
      </c>
      <c r="N116" s="384">
        <v>89.8</v>
      </c>
      <c r="O116" s="385">
        <v>6294</v>
      </c>
      <c r="P116" s="382">
        <v>87.1</v>
      </c>
      <c r="Q116" s="382">
        <v>84.1</v>
      </c>
      <c r="R116" s="382">
        <v>43.52</v>
      </c>
      <c r="S116" s="382">
        <v>129.44</v>
      </c>
      <c r="T116" s="382">
        <v>1142</v>
      </c>
      <c r="U116" s="382">
        <v>115.64</v>
      </c>
      <c r="V116" s="382">
        <v>134</v>
      </c>
      <c r="W116" s="382">
        <v>183.57</v>
      </c>
      <c r="X116" s="382">
        <v>31</v>
      </c>
      <c r="Y116" s="382">
        <v>0</v>
      </c>
      <c r="Z116" s="382">
        <v>58</v>
      </c>
      <c r="AA116" s="382">
        <v>0</v>
      </c>
      <c r="AB116" s="382">
        <v>18</v>
      </c>
      <c r="AC116" s="382">
        <v>14</v>
      </c>
      <c r="AD116" s="386">
        <v>6467</v>
      </c>
      <c r="AE116" s="386">
        <v>23</v>
      </c>
      <c r="AF116" s="386">
        <v>4</v>
      </c>
      <c r="AG116" s="386">
        <v>27</v>
      </c>
    </row>
    <row r="117" spans="1:33" x14ac:dyDescent="0.25">
      <c r="A117" s="381" t="s">
        <v>294</v>
      </c>
      <c r="B117" s="387" t="s">
        <v>295</v>
      </c>
      <c r="C117" s="383">
        <v>2505</v>
      </c>
      <c r="D117" s="383">
        <v>13</v>
      </c>
      <c r="E117" s="383">
        <v>69</v>
      </c>
      <c r="F117" s="383">
        <v>389</v>
      </c>
      <c r="G117" s="383">
        <v>398</v>
      </c>
      <c r="H117" s="383">
        <v>3374</v>
      </c>
      <c r="I117" s="382">
        <v>2976</v>
      </c>
      <c r="J117" s="382">
        <v>0</v>
      </c>
      <c r="K117" s="384">
        <v>99.56</v>
      </c>
      <c r="L117" s="384">
        <v>99.21</v>
      </c>
      <c r="M117" s="384">
        <v>10.65</v>
      </c>
      <c r="N117" s="384">
        <v>108.77</v>
      </c>
      <c r="O117" s="385">
        <v>2016</v>
      </c>
      <c r="P117" s="382">
        <v>93.12</v>
      </c>
      <c r="Q117" s="382">
        <v>90.4</v>
      </c>
      <c r="R117" s="382">
        <v>37.6</v>
      </c>
      <c r="S117" s="382">
        <v>128.35</v>
      </c>
      <c r="T117" s="382">
        <v>270</v>
      </c>
      <c r="U117" s="382">
        <v>128</v>
      </c>
      <c r="V117" s="382">
        <v>260</v>
      </c>
      <c r="W117" s="382">
        <v>98.75</v>
      </c>
      <c r="X117" s="382">
        <v>12</v>
      </c>
      <c r="Y117" s="382">
        <v>0</v>
      </c>
      <c r="Z117" s="382">
        <v>0</v>
      </c>
      <c r="AA117" s="382">
        <v>1</v>
      </c>
      <c r="AB117" s="382">
        <v>3</v>
      </c>
      <c r="AC117" s="382">
        <v>6</v>
      </c>
      <c r="AD117" s="386">
        <v>2399</v>
      </c>
      <c r="AE117" s="386">
        <v>8</v>
      </c>
      <c r="AF117" s="386">
        <v>5</v>
      </c>
      <c r="AG117" s="386">
        <v>13</v>
      </c>
    </row>
    <row r="118" spans="1:33" x14ac:dyDescent="0.25">
      <c r="A118" s="381" t="s">
        <v>296</v>
      </c>
      <c r="B118" s="387" t="s">
        <v>297</v>
      </c>
      <c r="C118" s="383">
        <v>1406</v>
      </c>
      <c r="D118" s="383">
        <v>0</v>
      </c>
      <c r="E118" s="383">
        <v>75</v>
      </c>
      <c r="F118" s="383">
        <v>213</v>
      </c>
      <c r="G118" s="383">
        <v>263</v>
      </c>
      <c r="H118" s="383">
        <v>1957</v>
      </c>
      <c r="I118" s="382">
        <v>1694</v>
      </c>
      <c r="J118" s="382">
        <v>0</v>
      </c>
      <c r="K118" s="384">
        <v>107.96</v>
      </c>
      <c r="L118" s="384">
        <v>104.75</v>
      </c>
      <c r="M118" s="384">
        <v>5.85</v>
      </c>
      <c r="N118" s="384">
        <v>112.36</v>
      </c>
      <c r="O118" s="385">
        <v>737</v>
      </c>
      <c r="P118" s="382">
        <v>96.99</v>
      </c>
      <c r="Q118" s="382">
        <v>87.41</v>
      </c>
      <c r="R118" s="382">
        <v>55.43</v>
      </c>
      <c r="S118" s="382">
        <v>151.58000000000001</v>
      </c>
      <c r="T118" s="382">
        <v>67</v>
      </c>
      <c r="U118" s="382">
        <v>140.56</v>
      </c>
      <c r="V118" s="382">
        <v>268</v>
      </c>
      <c r="W118" s="382">
        <v>161.19999999999999</v>
      </c>
      <c r="X118" s="382">
        <v>57</v>
      </c>
      <c r="Y118" s="382">
        <v>0</v>
      </c>
      <c r="Z118" s="382">
        <v>0</v>
      </c>
      <c r="AA118" s="382">
        <v>1</v>
      </c>
      <c r="AB118" s="382">
        <v>18</v>
      </c>
      <c r="AC118" s="382">
        <v>4</v>
      </c>
      <c r="AD118" s="386">
        <v>1005</v>
      </c>
      <c r="AE118" s="386">
        <v>4</v>
      </c>
      <c r="AF118" s="386">
        <v>2</v>
      </c>
      <c r="AG118" s="386">
        <v>6</v>
      </c>
    </row>
    <row r="119" spans="1:33" x14ac:dyDescent="0.25">
      <c r="A119" s="381" t="s">
        <v>298</v>
      </c>
      <c r="B119" s="387" t="s">
        <v>299</v>
      </c>
      <c r="C119" s="383">
        <v>1408</v>
      </c>
      <c r="D119" s="383">
        <v>0</v>
      </c>
      <c r="E119" s="383">
        <v>253</v>
      </c>
      <c r="F119" s="383">
        <v>147</v>
      </c>
      <c r="G119" s="383">
        <v>91</v>
      </c>
      <c r="H119" s="383">
        <v>1899</v>
      </c>
      <c r="I119" s="382">
        <v>1808</v>
      </c>
      <c r="J119" s="382">
        <v>15</v>
      </c>
      <c r="K119" s="384">
        <v>88.13</v>
      </c>
      <c r="L119" s="384">
        <v>87.47</v>
      </c>
      <c r="M119" s="384">
        <v>5.35</v>
      </c>
      <c r="N119" s="384">
        <v>91.35</v>
      </c>
      <c r="O119" s="385">
        <v>1247</v>
      </c>
      <c r="P119" s="382">
        <v>96.9</v>
      </c>
      <c r="Q119" s="382">
        <v>85.35</v>
      </c>
      <c r="R119" s="382">
        <v>56.79</v>
      </c>
      <c r="S119" s="382">
        <v>152.06</v>
      </c>
      <c r="T119" s="382">
        <v>279</v>
      </c>
      <c r="U119" s="382">
        <v>99.13</v>
      </c>
      <c r="V119" s="382">
        <v>144</v>
      </c>
      <c r="W119" s="382">
        <v>0</v>
      </c>
      <c r="X119" s="382">
        <v>0</v>
      </c>
      <c r="Y119" s="382">
        <v>0</v>
      </c>
      <c r="Z119" s="382">
        <v>3</v>
      </c>
      <c r="AA119" s="382">
        <v>2</v>
      </c>
      <c r="AB119" s="382">
        <v>0</v>
      </c>
      <c r="AC119" s="382">
        <v>6</v>
      </c>
      <c r="AD119" s="386">
        <v>1408</v>
      </c>
      <c r="AE119" s="386">
        <v>4</v>
      </c>
      <c r="AF119" s="386">
        <v>7</v>
      </c>
      <c r="AG119" s="386">
        <v>11</v>
      </c>
    </row>
    <row r="120" spans="1:33" x14ac:dyDescent="0.25">
      <c r="A120" s="381" t="s">
        <v>300</v>
      </c>
      <c r="B120" s="387" t="s">
        <v>301</v>
      </c>
      <c r="C120" s="383">
        <v>12641</v>
      </c>
      <c r="D120" s="383">
        <v>156</v>
      </c>
      <c r="E120" s="383">
        <v>428</v>
      </c>
      <c r="F120" s="383">
        <v>949</v>
      </c>
      <c r="G120" s="383">
        <v>2285</v>
      </c>
      <c r="H120" s="383">
        <v>16459</v>
      </c>
      <c r="I120" s="382">
        <v>14174</v>
      </c>
      <c r="J120" s="382">
        <v>36</v>
      </c>
      <c r="K120" s="384">
        <v>118.07</v>
      </c>
      <c r="L120" s="384">
        <v>119.76</v>
      </c>
      <c r="M120" s="384">
        <v>12.12</v>
      </c>
      <c r="N120" s="384">
        <v>127.01</v>
      </c>
      <c r="O120" s="385">
        <v>10854</v>
      </c>
      <c r="P120" s="382">
        <v>112.89</v>
      </c>
      <c r="Q120" s="382">
        <v>110.72</v>
      </c>
      <c r="R120" s="382">
        <v>43.75</v>
      </c>
      <c r="S120" s="382">
        <v>151.34</v>
      </c>
      <c r="T120" s="382">
        <v>1197</v>
      </c>
      <c r="U120" s="382">
        <v>171</v>
      </c>
      <c r="V120" s="382">
        <v>1000</v>
      </c>
      <c r="W120" s="382">
        <v>0</v>
      </c>
      <c r="X120" s="382">
        <v>0</v>
      </c>
      <c r="Y120" s="382">
        <v>0</v>
      </c>
      <c r="Z120" s="382">
        <v>9</v>
      </c>
      <c r="AA120" s="382">
        <v>11</v>
      </c>
      <c r="AB120" s="382">
        <v>206</v>
      </c>
      <c r="AC120" s="382">
        <v>49</v>
      </c>
      <c r="AD120" s="386">
        <v>12328</v>
      </c>
      <c r="AE120" s="386">
        <v>52</v>
      </c>
      <c r="AF120" s="386">
        <v>52</v>
      </c>
      <c r="AG120" s="386">
        <v>104</v>
      </c>
    </row>
    <row r="121" spans="1:33" x14ac:dyDescent="0.25">
      <c r="A121" s="381" t="s">
        <v>302</v>
      </c>
      <c r="B121" s="387" t="s">
        <v>303</v>
      </c>
      <c r="C121" s="383">
        <v>1707</v>
      </c>
      <c r="D121" s="383">
        <v>11</v>
      </c>
      <c r="E121" s="383">
        <v>258</v>
      </c>
      <c r="F121" s="383">
        <v>235</v>
      </c>
      <c r="G121" s="383">
        <v>368</v>
      </c>
      <c r="H121" s="383">
        <v>2579</v>
      </c>
      <c r="I121" s="382">
        <v>2211</v>
      </c>
      <c r="J121" s="382">
        <v>0</v>
      </c>
      <c r="K121" s="384">
        <v>126.46</v>
      </c>
      <c r="L121" s="384">
        <v>125.3</v>
      </c>
      <c r="M121" s="384">
        <v>7.78</v>
      </c>
      <c r="N121" s="384">
        <v>132.88999999999999</v>
      </c>
      <c r="O121" s="385">
        <v>1364</v>
      </c>
      <c r="P121" s="382">
        <v>96.47</v>
      </c>
      <c r="Q121" s="382">
        <v>93.24</v>
      </c>
      <c r="R121" s="382">
        <v>66.47</v>
      </c>
      <c r="S121" s="382">
        <v>162.94</v>
      </c>
      <c r="T121" s="382">
        <v>202</v>
      </c>
      <c r="U121" s="382">
        <v>162.78</v>
      </c>
      <c r="V121" s="382">
        <v>207</v>
      </c>
      <c r="W121" s="382">
        <v>138.21</v>
      </c>
      <c r="X121" s="382">
        <v>8</v>
      </c>
      <c r="Y121" s="382">
        <v>0</v>
      </c>
      <c r="Z121" s="382">
        <v>0</v>
      </c>
      <c r="AA121" s="382">
        <v>0</v>
      </c>
      <c r="AB121" s="382">
        <v>9</v>
      </c>
      <c r="AC121" s="382">
        <v>6</v>
      </c>
      <c r="AD121" s="386">
        <v>1559</v>
      </c>
      <c r="AE121" s="386">
        <v>6</v>
      </c>
      <c r="AF121" s="386">
        <v>1</v>
      </c>
      <c r="AG121" s="386">
        <v>7</v>
      </c>
    </row>
    <row r="122" spans="1:33" x14ac:dyDescent="0.25">
      <c r="A122" s="381" t="s">
        <v>304</v>
      </c>
      <c r="B122" s="387" t="s">
        <v>305</v>
      </c>
      <c r="C122" s="383">
        <v>20195</v>
      </c>
      <c r="D122" s="383">
        <v>532</v>
      </c>
      <c r="E122" s="383">
        <v>1592</v>
      </c>
      <c r="F122" s="383">
        <v>1665</v>
      </c>
      <c r="G122" s="383">
        <v>2597</v>
      </c>
      <c r="H122" s="383">
        <v>26581</v>
      </c>
      <c r="I122" s="382">
        <v>23984</v>
      </c>
      <c r="J122" s="382">
        <v>14</v>
      </c>
      <c r="K122" s="384">
        <v>122.84</v>
      </c>
      <c r="L122" s="384">
        <v>124.57</v>
      </c>
      <c r="M122" s="384">
        <v>11.85</v>
      </c>
      <c r="N122" s="384">
        <v>131.82</v>
      </c>
      <c r="O122" s="385">
        <v>17331</v>
      </c>
      <c r="P122" s="382">
        <v>115.2</v>
      </c>
      <c r="Q122" s="382">
        <v>110.73</v>
      </c>
      <c r="R122" s="382">
        <v>46.15</v>
      </c>
      <c r="S122" s="382">
        <v>160.15</v>
      </c>
      <c r="T122" s="382">
        <v>2762</v>
      </c>
      <c r="U122" s="382">
        <v>204.74</v>
      </c>
      <c r="V122" s="382">
        <v>1028</v>
      </c>
      <c r="W122" s="382">
        <v>206.56</v>
      </c>
      <c r="X122" s="382">
        <v>5</v>
      </c>
      <c r="Y122" s="382">
        <v>1</v>
      </c>
      <c r="Z122" s="382">
        <v>9</v>
      </c>
      <c r="AA122" s="382">
        <v>1</v>
      </c>
      <c r="AB122" s="382">
        <v>132</v>
      </c>
      <c r="AC122" s="382">
        <v>86</v>
      </c>
      <c r="AD122" s="386">
        <v>18687</v>
      </c>
      <c r="AE122" s="386">
        <v>81</v>
      </c>
      <c r="AF122" s="386">
        <v>96</v>
      </c>
      <c r="AG122" s="386">
        <v>177</v>
      </c>
    </row>
    <row r="123" spans="1:33" x14ac:dyDescent="0.25">
      <c r="A123" s="381" t="s">
        <v>306</v>
      </c>
      <c r="B123" s="387" t="s">
        <v>307</v>
      </c>
      <c r="C123" s="383">
        <v>13214</v>
      </c>
      <c r="D123" s="383">
        <v>1</v>
      </c>
      <c r="E123" s="383">
        <v>501</v>
      </c>
      <c r="F123" s="383">
        <v>500</v>
      </c>
      <c r="G123" s="383">
        <v>306</v>
      </c>
      <c r="H123" s="383">
        <v>14522</v>
      </c>
      <c r="I123" s="382">
        <v>14216</v>
      </c>
      <c r="J123" s="382">
        <v>3</v>
      </c>
      <c r="K123" s="384">
        <v>84.2</v>
      </c>
      <c r="L123" s="384">
        <v>84.05</v>
      </c>
      <c r="M123" s="384">
        <v>3.86</v>
      </c>
      <c r="N123" s="384">
        <v>87.89</v>
      </c>
      <c r="O123" s="385">
        <v>11672</v>
      </c>
      <c r="P123" s="382">
        <v>87.53</v>
      </c>
      <c r="Q123" s="382">
        <v>79.08</v>
      </c>
      <c r="R123" s="382">
        <v>30.27</v>
      </c>
      <c r="S123" s="382">
        <v>117.04</v>
      </c>
      <c r="T123" s="382">
        <v>834</v>
      </c>
      <c r="U123" s="382">
        <v>100.46</v>
      </c>
      <c r="V123" s="382">
        <v>1518</v>
      </c>
      <c r="W123" s="382">
        <v>146.66</v>
      </c>
      <c r="X123" s="382">
        <v>82</v>
      </c>
      <c r="Y123" s="382">
        <v>0</v>
      </c>
      <c r="Z123" s="382">
        <v>71</v>
      </c>
      <c r="AA123" s="382">
        <v>13</v>
      </c>
      <c r="AB123" s="382">
        <v>11</v>
      </c>
      <c r="AC123" s="382">
        <v>15</v>
      </c>
      <c r="AD123" s="386">
        <v>13214</v>
      </c>
      <c r="AE123" s="386">
        <v>72</v>
      </c>
      <c r="AF123" s="386">
        <v>43</v>
      </c>
      <c r="AG123" s="386">
        <v>115</v>
      </c>
    </row>
    <row r="124" spans="1:33" x14ac:dyDescent="0.25">
      <c r="A124" s="381" t="s">
        <v>308</v>
      </c>
      <c r="B124" s="387" t="s">
        <v>309</v>
      </c>
      <c r="C124" s="383">
        <v>4989</v>
      </c>
      <c r="D124" s="383">
        <v>0</v>
      </c>
      <c r="E124" s="383">
        <v>376</v>
      </c>
      <c r="F124" s="383">
        <v>123</v>
      </c>
      <c r="G124" s="383">
        <v>122</v>
      </c>
      <c r="H124" s="383">
        <v>5610</v>
      </c>
      <c r="I124" s="382">
        <v>5488</v>
      </c>
      <c r="J124" s="382">
        <v>2</v>
      </c>
      <c r="K124" s="384">
        <v>92.13</v>
      </c>
      <c r="L124" s="384">
        <v>93.64</v>
      </c>
      <c r="M124" s="384">
        <v>1.55</v>
      </c>
      <c r="N124" s="384">
        <v>93.49</v>
      </c>
      <c r="O124" s="385">
        <v>4730</v>
      </c>
      <c r="P124" s="382">
        <v>107.53</v>
      </c>
      <c r="Q124" s="382">
        <v>27.88</v>
      </c>
      <c r="R124" s="382">
        <v>57.74</v>
      </c>
      <c r="S124" s="382">
        <v>164.14</v>
      </c>
      <c r="T124" s="382">
        <v>355</v>
      </c>
      <c r="U124" s="382">
        <v>111.93</v>
      </c>
      <c r="V124" s="382">
        <v>111</v>
      </c>
      <c r="W124" s="382">
        <v>165.96</v>
      </c>
      <c r="X124" s="382">
        <v>101</v>
      </c>
      <c r="Y124" s="382">
        <v>0</v>
      </c>
      <c r="Z124" s="382">
        <v>5</v>
      </c>
      <c r="AA124" s="382">
        <v>1</v>
      </c>
      <c r="AB124" s="382">
        <v>0</v>
      </c>
      <c r="AC124" s="382">
        <v>14</v>
      </c>
      <c r="AD124" s="386">
        <v>4974</v>
      </c>
      <c r="AE124" s="386">
        <v>39</v>
      </c>
      <c r="AF124" s="386">
        <v>31</v>
      </c>
      <c r="AG124" s="386">
        <v>70</v>
      </c>
    </row>
    <row r="125" spans="1:33" x14ac:dyDescent="0.25">
      <c r="A125" s="381" t="s">
        <v>310</v>
      </c>
      <c r="B125" s="387" t="s">
        <v>311</v>
      </c>
      <c r="C125" s="383">
        <v>11659</v>
      </c>
      <c r="D125" s="383">
        <v>38</v>
      </c>
      <c r="E125" s="383">
        <v>1149</v>
      </c>
      <c r="F125" s="383">
        <v>572</v>
      </c>
      <c r="G125" s="383">
        <v>1150</v>
      </c>
      <c r="H125" s="383">
        <v>14568</v>
      </c>
      <c r="I125" s="382">
        <v>13418</v>
      </c>
      <c r="J125" s="382">
        <v>97</v>
      </c>
      <c r="K125" s="384">
        <v>130.06</v>
      </c>
      <c r="L125" s="384">
        <v>137.25</v>
      </c>
      <c r="M125" s="384">
        <v>11.45</v>
      </c>
      <c r="N125" s="384">
        <v>135.72</v>
      </c>
      <c r="O125" s="385">
        <v>10000</v>
      </c>
      <c r="P125" s="382">
        <v>114.49</v>
      </c>
      <c r="Q125" s="382">
        <v>112.55</v>
      </c>
      <c r="R125" s="382">
        <v>49.72</v>
      </c>
      <c r="S125" s="382">
        <v>157.69</v>
      </c>
      <c r="T125" s="382">
        <v>1251</v>
      </c>
      <c r="U125" s="382">
        <v>209.81</v>
      </c>
      <c r="V125" s="382">
        <v>910</v>
      </c>
      <c r="W125" s="382">
        <v>202.52</v>
      </c>
      <c r="X125" s="382">
        <v>72</v>
      </c>
      <c r="Y125" s="382">
        <v>24</v>
      </c>
      <c r="Z125" s="382">
        <v>0</v>
      </c>
      <c r="AA125" s="382">
        <v>11</v>
      </c>
      <c r="AB125" s="382">
        <v>16</v>
      </c>
      <c r="AC125" s="382">
        <v>41</v>
      </c>
      <c r="AD125" s="386">
        <v>11124</v>
      </c>
      <c r="AE125" s="386">
        <v>39</v>
      </c>
      <c r="AF125" s="386">
        <v>155</v>
      </c>
      <c r="AG125" s="386">
        <v>194</v>
      </c>
    </row>
    <row r="126" spans="1:33" x14ac:dyDescent="0.25">
      <c r="A126" s="381" t="s">
        <v>312</v>
      </c>
      <c r="B126" s="387" t="s">
        <v>313</v>
      </c>
      <c r="C126" s="383">
        <v>2222</v>
      </c>
      <c r="D126" s="383">
        <v>0</v>
      </c>
      <c r="E126" s="383">
        <v>76</v>
      </c>
      <c r="F126" s="383">
        <v>828</v>
      </c>
      <c r="G126" s="383">
        <v>432</v>
      </c>
      <c r="H126" s="383">
        <v>3558</v>
      </c>
      <c r="I126" s="382">
        <v>3126</v>
      </c>
      <c r="J126" s="382">
        <v>0</v>
      </c>
      <c r="K126" s="384">
        <v>90.78</v>
      </c>
      <c r="L126" s="384">
        <v>90.56</v>
      </c>
      <c r="M126" s="384">
        <v>3.31</v>
      </c>
      <c r="N126" s="384">
        <v>92.87</v>
      </c>
      <c r="O126" s="385">
        <v>1972</v>
      </c>
      <c r="P126" s="382">
        <v>85.23</v>
      </c>
      <c r="Q126" s="382">
        <v>85.74</v>
      </c>
      <c r="R126" s="382">
        <v>21.73</v>
      </c>
      <c r="S126" s="382">
        <v>106.52</v>
      </c>
      <c r="T126" s="382">
        <v>871</v>
      </c>
      <c r="U126" s="382">
        <v>112.84</v>
      </c>
      <c r="V126" s="382">
        <v>164</v>
      </c>
      <c r="W126" s="382">
        <v>118.72</v>
      </c>
      <c r="X126" s="382">
        <v>12</v>
      </c>
      <c r="Y126" s="382">
        <v>0</v>
      </c>
      <c r="Z126" s="382">
        <v>10</v>
      </c>
      <c r="AA126" s="382">
        <v>0</v>
      </c>
      <c r="AB126" s="382">
        <v>34</v>
      </c>
      <c r="AC126" s="382">
        <v>7</v>
      </c>
      <c r="AD126" s="386">
        <v>2222</v>
      </c>
      <c r="AE126" s="386">
        <v>12</v>
      </c>
      <c r="AF126" s="386">
        <v>7</v>
      </c>
      <c r="AG126" s="386">
        <v>19</v>
      </c>
    </row>
    <row r="127" spans="1:33" x14ac:dyDescent="0.25">
      <c r="A127" s="381" t="s">
        <v>314</v>
      </c>
      <c r="B127" s="387" t="s">
        <v>315</v>
      </c>
      <c r="C127" s="383">
        <v>9995</v>
      </c>
      <c r="D127" s="383">
        <v>52</v>
      </c>
      <c r="E127" s="383">
        <v>895</v>
      </c>
      <c r="F127" s="383">
        <v>928</v>
      </c>
      <c r="G127" s="383">
        <v>1566</v>
      </c>
      <c r="H127" s="383">
        <v>13436</v>
      </c>
      <c r="I127" s="382">
        <v>11870</v>
      </c>
      <c r="J127" s="382">
        <v>17</v>
      </c>
      <c r="K127" s="384">
        <v>120.67</v>
      </c>
      <c r="L127" s="384">
        <v>122.01</v>
      </c>
      <c r="M127" s="384">
        <v>10.130000000000001</v>
      </c>
      <c r="N127" s="384">
        <v>127.02</v>
      </c>
      <c r="O127" s="385">
        <v>7936</v>
      </c>
      <c r="P127" s="382">
        <v>118.62</v>
      </c>
      <c r="Q127" s="382">
        <v>102.81</v>
      </c>
      <c r="R127" s="382">
        <v>53.96</v>
      </c>
      <c r="S127" s="382">
        <v>168.04</v>
      </c>
      <c r="T127" s="382">
        <v>1248</v>
      </c>
      <c r="U127" s="382">
        <v>168.81</v>
      </c>
      <c r="V127" s="382">
        <v>514</v>
      </c>
      <c r="W127" s="382">
        <v>188.71</v>
      </c>
      <c r="X127" s="382">
        <v>4</v>
      </c>
      <c r="Y127" s="382">
        <v>0</v>
      </c>
      <c r="Z127" s="382">
        <v>6</v>
      </c>
      <c r="AA127" s="382">
        <v>8</v>
      </c>
      <c r="AB127" s="382">
        <v>37</v>
      </c>
      <c r="AC127" s="382">
        <v>81</v>
      </c>
      <c r="AD127" s="386">
        <v>8919</v>
      </c>
      <c r="AE127" s="386">
        <v>38</v>
      </c>
      <c r="AF127" s="386">
        <v>38</v>
      </c>
      <c r="AG127" s="386">
        <v>76</v>
      </c>
    </row>
    <row r="128" spans="1:33" x14ac:dyDescent="0.25">
      <c r="A128" s="381" t="s">
        <v>316</v>
      </c>
      <c r="B128" s="387" t="s">
        <v>317</v>
      </c>
      <c r="C128" s="383">
        <v>1423</v>
      </c>
      <c r="D128" s="383">
        <v>64</v>
      </c>
      <c r="E128" s="383">
        <v>234</v>
      </c>
      <c r="F128" s="383">
        <v>259</v>
      </c>
      <c r="G128" s="383">
        <v>318</v>
      </c>
      <c r="H128" s="383">
        <v>2298</v>
      </c>
      <c r="I128" s="382">
        <v>1980</v>
      </c>
      <c r="J128" s="382">
        <v>1</v>
      </c>
      <c r="K128" s="384">
        <v>103.27</v>
      </c>
      <c r="L128" s="384">
        <v>98.65</v>
      </c>
      <c r="M128" s="384">
        <v>7.84</v>
      </c>
      <c r="N128" s="384">
        <v>109.84</v>
      </c>
      <c r="O128" s="385">
        <v>1030</v>
      </c>
      <c r="P128" s="382">
        <v>93.73</v>
      </c>
      <c r="Q128" s="382">
        <v>91.44</v>
      </c>
      <c r="R128" s="382">
        <v>48.96</v>
      </c>
      <c r="S128" s="382">
        <v>142.06</v>
      </c>
      <c r="T128" s="382">
        <v>461</v>
      </c>
      <c r="U128" s="382">
        <v>149.43</v>
      </c>
      <c r="V128" s="382">
        <v>186</v>
      </c>
      <c r="W128" s="382">
        <v>0</v>
      </c>
      <c r="X128" s="382">
        <v>0</v>
      </c>
      <c r="Y128" s="382">
        <v>0</v>
      </c>
      <c r="Z128" s="382">
        <v>1</v>
      </c>
      <c r="AA128" s="382">
        <v>0</v>
      </c>
      <c r="AB128" s="382">
        <v>1</v>
      </c>
      <c r="AC128" s="382">
        <v>7</v>
      </c>
      <c r="AD128" s="386">
        <v>1420</v>
      </c>
      <c r="AE128" s="386">
        <v>4</v>
      </c>
      <c r="AF128" s="386">
        <v>2</v>
      </c>
      <c r="AG128" s="386">
        <v>6</v>
      </c>
    </row>
    <row r="129" spans="1:33" x14ac:dyDescent="0.25">
      <c r="A129" s="381" t="s">
        <v>318</v>
      </c>
      <c r="B129" s="387" t="s">
        <v>319</v>
      </c>
      <c r="C129" s="383">
        <v>2129</v>
      </c>
      <c r="D129" s="383">
        <v>27</v>
      </c>
      <c r="E129" s="383">
        <v>252</v>
      </c>
      <c r="F129" s="383">
        <v>354</v>
      </c>
      <c r="G129" s="383">
        <v>256</v>
      </c>
      <c r="H129" s="383">
        <v>3018</v>
      </c>
      <c r="I129" s="382">
        <v>2762</v>
      </c>
      <c r="J129" s="382">
        <v>2</v>
      </c>
      <c r="K129" s="384">
        <v>95.67</v>
      </c>
      <c r="L129" s="384">
        <v>95.17</v>
      </c>
      <c r="M129" s="384">
        <v>6.86</v>
      </c>
      <c r="N129" s="384">
        <v>100.14</v>
      </c>
      <c r="O129" s="385">
        <v>1590</v>
      </c>
      <c r="P129" s="382">
        <v>101.06</v>
      </c>
      <c r="Q129" s="382">
        <v>82.58</v>
      </c>
      <c r="R129" s="382">
        <v>41.43</v>
      </c>
      <c r="S129" s="382">
        <v>142.01</v>
      </c>
      <c r="T129" s="382">
        <v>435</v>
      </c>
      <c r="U129" s="382">
        <v>113.74</v>
      </c>
      <c r="V129" s="382">
        <v>388</v>
      </c>
      <c r="W129" s="382">
        <v>118.48</v>
      </c>
      <c r="X129" s="382">
        <v>9</v>
      </c>
      <c r="Y129" s="382">
        <v>0</v>
      </c>
      <c r="Z129" s="382">
        <v>0</v>
      </c>
      <c r="AA129" s="382">
        <v>0</v>
      </c>
      <c r="AB129" s="382">
        <v>0</v>
      </c>
      <c r="AC129" s="382">
        <v>2</v>
      </c>
      <c r="AD129" s="386">
        <v>1913</v>
      </c>
      <c r="AE129" s="386">
        <v>18</v>
      </c>
      <c r="AF129" s="386">
        <v>3</v>
      </c>
      <c r="AG129" s="386">
        <v>21</v>
      </c>
    </row>
    <row r="130" spans="1:33" x14ac:dyDescent="0.25">
      <c r="A130" s="381" t="s">
        <v>320</v>
      </c>
      <c r="B130" s="387" t="s">
        <v>321</v>
      </c>
      <c r="C130" s="383">
        <v>3355</v>
      </c>
      <c r="D130" s="383">
        <v>2</v>
      </c>
      <c r="E130" s="383">
        <v>289</v>
      </c>
      <c r="F130" s="383">
        <v>577</v>
      </c>
      <c r="G130" s="383">
        <v>980</v>
      </c>
      <c r="H130" s="383">
        <v>5203</v>
      </c>
      <c r="I130" s="382">
        <v>4223</v>
      </c>
      <c r="J130" s="382">
        <v>32</v>
      </c>
      <c r="K130" s="384">
        <v>134.13</v>
      </c>
      <c r="L130" s="384">
        <v>134.6</v>
      </c>
      <c r="M130" s="384">
        <v>9.82</v>
      </c>
      <c r="N130" s="384">
        <v>140.08000000000001</v>
      </c>
      <c r="O130" s="385">
        <v>2839</v>
      </c>
      <c r="P130" s="382">
        <v>96.96</v>
      </c>
      <c r="Q130" s="382">
        <v>95.12</v>
      </c>
      <c r="R130" s="382">
        <v>35.43</v>
      </c>
      <c r="S130" s="382">
        <v>124.96</v>
      </c>
      <c r="T130" s="382">
        <v>401</v>
      </c>
      <c r="U130" s="382">
        <v>181.38</v>
      </c>
      <c r="V130" s="382">
        <v>281</v>
      </c>
      <c r="W130" s="382">
        <v>186.55</v>
      </c>
      <c r="X130" s="382">
        <v>28</v>
      </c>
      <c r="Y130" s="382">
        <v>0</v>
      </c>
      <c r="Z130" s="382">
        <v>1</v>
      </c>
      <c r="AA130" s="382">
        <v>8</v>
      </c>
      <c r="AB130" s="382">
        <v>14</v>
      </c>
      <c r="AC130" s="382">
        <v>75</v>
      </c>
      <c r="AD130" s="386">
        <v>3286</v>
      </c>
      <c r="AE130" s="386">
        <v>13</v>
      </c>
      <c r="AF130" s="386">
        <v>13</v>
      </c>
      <c r="AG130" s="386">
        <v>26</v>
      </c>
    </row>
    <row r="131" spans="1:33" x14ac:dyDescent="0.25">
      <c r="A131" s="381" t="s">
        <v>322</v>
      </c>
      <c r="B131" s="387" t="s">
        <v>323</v>
      </c>
      <c r="C131" s="383">
        <v>2766</v>
      </c>
      <c r="D131" s="383">
        <v>0</v>
      </c>
      <c r="E131" s="383">
        <v>46</v>
      </c>
      <c r="F131" s="383">
        <v>321</v>
      </c>
      <c r="G131" s="383">
        <v>541</v>
      </c>
      <c r="H131" s="383">
        <v>3674</v>
      </c>
      <c r="I131" s="382">
        <v>3133</v>
      </c>
      <c r="J131" s="382">
        <v>1</v>
      </c>
      <c r="K131" s="384">
        <v>118.33</v>
      </c>
      <c r="L131" s="384">
        <v>117.76</v>
      </c>
      <c r="M131" s="384">
        <v>5.67</v>
      </c>
      <c r="N131" s="384">
        <v>120.63</v>
      </c>
      <c r="O131" s="385">
        <v>2403</v>
      </c>
      <c r="P131" s="382">
        <v>103.01</v>
      </c>
      <c r="Q131" s="382">
        <v>99.49</v>
      </c>
      <c r="R131" s="382">
        <v>27.85</v>
      </c>
      <c r="S131" s="382">
        <v>130.15</v>
      </c>
      <c r="T131" s="382">
        <v>313</v>
      </c>
      <c r="U131" s="382">
        <v>160.6</v>
      </c>
      <c r="V131" s="382">
        <v>327</v>
      </c>
      <c r="W131" s="382">
        <v>176.56</v>
      </c>
      <c r="X131" s="382">
        <v>1</v>
      </c>
      <c r="Y131" s="382">
        <v>121</v>
      </c>
      <c r="Z131" s="382">
        <v>3</v>
      </c>
      <c r="AA131" s="382">
        <v>0</v>
      </c>
      <c r="AB131" s="382">
        <v>60</v>
      </c>
      <c r="AC131" s="382">
        <v>56</v>
      </c>
      <c r="AD131" s="386">
        <v>2766</v>
      </c>
      <c r="AE131" s="386">
        <v>27</v>
      </c>
      <c r="AF131" s="386">
        <v>9</v>
      </c>
      <c r="AG131" s="386">
        <v>36</v>
      </c>
    </row>
    <row r="132" spans="1:33" x14ac:dyDescent="0.25">
      <c r="A132" s="381" t="s">
        <v>324</v>
      </c>
      <c r="B132" s="387" t="s">
        <v>325</v>
      </c>
      <c r="C132" s="383">
        <v>7811</v>
      </c>
      <c r="D132" s="383">
        <v>0</v>
      </c>
      <c r="E132" s="383">
        <v>142</v>
      </c>
      <c r="F132" s="383">
        <v>1979</v>
      </c>
      <c r="G132" s="383">
        <v>224</v>
      </c>
      <c r="H132" s="383">
        <v>10156</v>
      </c>
      <c r="I132" s="382">
        <v>9932</v>
      </c>
      <c r="J132" s="382">
        <v>18</v>
      </c>
      <c r="K132" s="384">
        <v>82.6</v>
      </c>
      <c r="L132" s="384">
        <v>82.09</v>
      </c>
      <c r="M132" s="384">
        <v>5.56</v>
      </c>
      <c r="N132" s="384">
        <v>84.84</v>
      </c>
      <c r="O132" s="385">
        <v>6737</v>
      </c>
      <c r="P132" s="382">
        <v>82.45</v>
      </c>
      <c r="Q132" s="382">
        <v>84.26</v>
      </c>
      <c r="R132" s="382">
        <v>36.03</v>
      </c>
      <c r="S132" s="382">
        <v>103.55</v>
      </c>
      <c r="T132" s="382">
        <v>2051</v>
      </c>
      <c r="U132" s="382">
        <v>93.02</v>
      </c>
      <c r="V132" s="382">
        <v>1024</v>
      </c>
      <c r="W132" s="382">
        <v>105.9</v>
      </c>
      <c r="X132" s="382">
        <v>60</v>
      </c>
      <c r="Y132" s="382">
        <v>0</v>
      </c>
      <c r="Z132" s="382">
        <v>21</v>
      </c>
      <c r="AA132" s="382">
        <v>2</v>
      </c>
      <c r="AB132" s="382">
        <v>1</v>
      </c>
      <c r="AC132" s="382">
        <v>0</v>
      </c>
      <c r="AD132" s="386">
        <v>7785</v>
      </c>
      <c r="AE132" s="386">
        <v>122</v>
      </c>
      <c r="AF132" s="386">
        <v>48</v>
      </c>
      <c r="AG132" s="386">
        <v>170</v>
      </c>
    </row>
    <row r="133" spans="1:33" x14ac:dyDescent="0.25">
      <c r="A133" s="381" t="s">
        <v>326</v>
      </c>
      <c r="B133" s="387" t="s">
        <v>327</v>
      </c>
      <c r="C133" s="383">
        <v>5023</v>
      </c>
      <c r="D133" s="383">
        <v>0</v>
      </c>
      <c r="E133" s="383">
        <v>286</v>
      </c>
      <c r="F133" s="383">
        <v>713</v>
      </c>
      <c r="G133" s="383">
        <v>187</v>
      </c>
      <c r="H133" s="383">
        <v>6209</v>
      </c>
      <c r="I133" s="382">
        <v>6022</v>
      </c>
      <c r="J133" s="382">
        <v>22</v>
      </c>
      <c r="K133" s="384">
        <v>88.79</v>
      </c>
      <c r="L133" s="384">
        <v>87.59</v>
      </c>
      <c r="M133" s="384">
        <v>6.68</v>
      </c>
      <c r="N133" s="384">
        <v>94.4</v>
      </c>
      <c r="O133" s="385">
        <v>4323</v>
      </c>
      <c r="P133" s="382">
        <v>74.95</v>
      </c>
      <c r="Q133" s="382">
        <v>72.2</v>
      </c>
      <c r="R133" s="382">
        <v>35.86</v>
      </c>
      <c r="S133" s="382">
        <v>110.67</v>
      </c>
      <c r="T133" s="382">
        <v>785</v>
      </c>
      <c r="U133" s="382">
        <v>113.63</v>
      </c>
      <c r="V133" s="382">
        <v>628</v>
      </c>
      <c r="W133" s="382">
        <v>93.57</v>
      </c>
      <c r="X133" s="382">
        <v>29</v>
      </c>
      <c r="Y133" s="382">
        <v>0</v>
      </c>
      <c r="Z133" s="382">
        <v>7</v>
      </c>
      <c r="AA133" s="382">
        <v>0</v>
      </c>
      <c r="AB133" s="382">
        <v>0</v>
      </c>
      <c r="AC133" s="382">
        <v>4</v>
      </c>
      <c r="AD133" s="386">
        <v>4954</v>
      </c>
      <c r="AE133" s="386">
        <v>4</v>
      </c>
      <c r="AF133" s="386">
        <v>12</v>
      </c>
      <c r="AG133" s="386">
        <v>16</v>
      </c>
    </row>
    <row r="134" spans="1:33" x14ac:dyDescent="0.25">
      <c r="A134" s="381" t="s">
        <v>328</v>
      </c>
      <c r="B134" s="387" t="s">
        <v>329</v>
      </c>
      <c r="C134" s="383">
        <v>4343</v>
      </c>
      <c r="D134" s="383">
        <v>0</v>
      </c>
      <c r="E134" s="383">
        <v>218</v>
      </c>
      <c r="F134" s="383">
        <v>993</v>
      </c>
      <c r="G134" s="383">
        <v>415</v>
      </c>
      <c r="H134" s="383">
        <v>5969</v>
      </c>
      <c r="I134" s="382">
        <v>5554</v>
      </c>
      <c r="J134" s="382">
        <v>0</v>
      </c>
      <c r="K134" s="384">
        <v>107.24</v>
      </c>
      <c r="L134" s="384">
        <v>103.4</v>
      </c>
      <c r="M134" s="384">
        <v>9.2899999999999991</v>
      </c>
      <c r="N134" s="384">
        <v>111.63</v>
      </c>
      <c r="O134" s="385">
        <v>3579</v>
      </c>
      <c r="P134" s="382">
        <v>98.2</v>
      </c>
      <c r="Q134" s="382">
        <v>89.53</v>
      </c>
      <c r="R134" s="382">
        <v>20.22</v>
      </c>
      <c r="S134" s="382">
        <v>116.41</v>
      </c>
      <c r="T134" s="382">
        <v>1081</v>
      </c>
      <c r="U134" s="382">
        <v>142.68</v>
      </c>
      <c r="V134" s="382">
        <v>617</v>
      </c>
      <c r="W134" s="382">
        <v>156.88999999999999</v>
      </c>
      <c r="X134" s="382">
        <v>15</v>
      </c>
      <c r="Y134" s="382">
        <v>20</v>
      </c>
      <c r="Z134" s="382">
        <v>10</v>
      </c>
      <c r="AA134" s="382">
        <v>0</v>
      </c>
      <c r="AB134" s="382">
        <v>24</v>
      </c>
      <c r="AC134" s="382">
        <v>6</v>
      </c>
      <c r="AD134" s="386">
        <v>4299</v>
      </c>
      <c r="AE134" s="386">
        <v>7</v>
      </c>
      <c r="AF134" s="386">
        <v>6</v>
      </c>
      <c r="AG134" s="386">
        <v>13</v>
      </c>
    </row>
    <row r="135" spans="1:33" x14ac:dyDescent="0.25">
      <c r="A135" s="381" t="s">
        <v>330</v>
      </c>
      <c r="B135" s="387" t="s">
        <v>331</v>
      </c>
      <c r="C135" s="383">
        <v>3583</v>
      </c>
      <c r="D135" s="383">
        <v>354</v>
      </c>
      <c r="E135" s="383">
        <v>163</v>
      </c>
      <c r="F135" s="383">
        <v>497</v>
      </c>
      <c r="G135" s="383">
        <v>806</v>
      </c>
      <c r="H135" s="383">
        <v>5403</v>
      </c>
      <c r="I135" s="382">
        <v>4597</v>
      </c>
      <c r="J135" s="382">
        <v>1</v>
      </c>
      <c r="K135" s="384">
        <v>120.93</v>
      </c>
      <c r="L135" s="384">
        <v>117.64</v>
      </c>
      <c r="M135" s="384">
        <v>10.08</v>
      </c>
      <c r="N135" s="384">
        <v>128.86000000000001</v>
      </c>
      <c r="O135" s="385">
        <v>2522</v>
      </c>
      <c r="P135" s="382">
        <v>105.19</v>
      </c>
      <c r="Q135" s="382">
        <v>101.36</v>
      </c>
      <c r="R135" s="382">
        <v>35.49</v>
      </c>
      <c r="S135" s="382">
        <v>140.05000000000001</v>
      </c>
      <c r="T135" s="382">
        <v>615</v>
      </c>
      <c r="U135" s="382">
        <v>179.9</v>
      </c>
      <c r="V135" s="382">
        <v>923</v>
      </c>
      <c r="W135" s="382">
        <v>202.03</v>
      </c>
      <c r="X135" s="382">
        <v>34</v>
      </c>
      <c r="Y135" s="382">
        <v>0</v>
      </c>
      <c r="Z135" s="382">
        <v>1</v>
      </c>
      <c r="AA135" s="382">
        <v>50</v>
      </c>
      <c r="AB135" s="382">
        <v>34</v>
      </c>
      <c r="AC135" s="382">
        <v>25</v>
      </c>
      <c r="AD135" s="386">
        <v>3555</v>
      </c>
      <c r="AE135" s="386">
        <v>11</v>
      </c>
      <c r="AF135" s="386">
        <v>55</v>
      </c>
      <c r="AG135" s="386">
        <v>66</v>
      </c>
    </row>
    <row r="136" spans="1:33" x14ac:dyDescent="0.25">
      <c r="A136" s="381" t="s">
        <v>332</v>
      </c>
      <c r="B136" s="387" t="s">
        <v>333</v>
      </c>
      <c r="C136" s="383">
        <v>9053</v>
      </c>
      <c r="D136" s="383">
        <v>0</v>
      </c>
      <c r="E136" s="383">
        <v>319</v>
      </c>
      <c r="F136" s="383">
        <v>1772</v>
      </c>
      <c r="G136" s="383">
        <v>709</v>
      </c>
      <c r="H136" s="383">
        <v>11853</v>
      </c>
      <c r="I136" s="382">
        <v>11144</v>
      </c>
      <c r="J136" s="382">
        <v>29</v>
      </c>
      <c r="K136" s="384">
        <v>90.83</v>
      </c>
      <c r="L136" s="384">
        <v>90.09</v>
      </c>
      <c r="M136" s="384">
        <v>3.81</v>
      </c>
      <c r="N136" s="384">
        <v>92.75</v>
      </c>
      <c r="O136" s="385">
        <v>8374</v>
      </c>
      <c r="P136" s="382">
        <v>83.62</v>
      </c>
      <c r="Q136" s="382">
        <v>83.1</v>
      </c>
      <c r="R136" s="382">
        <v>31.95</v>
      </c>
      <c r="S136" s="382">
        <v>108.1</v>
      </c>
      <c r="T136" s="382">
        <v>1977</v>
      </c>
      <c r="U136" s="382">
        <v>103.52</v>
      </c>
      <c r="V136" s="382">
        <v>582</v>
      </c>
      <c r="W136" s="382">
        <v>180.08</v>
      </c>
      <c r="X136" s="382">
        <v>40</v>
      </c>
      <c r="Y136" s="382">
        <v>3</v>
      </c>
      <c r="Z136" s="382">
        <v>22</v>
      </c>
      <c r="AA136" s="382">
        <v>1</v>
      </c>
      <c r="AB136" s="382">
        <v>17</v>
      </c>
      <c r="AC136" s="382">
        <v>10</v>
      </c>
      <c r="AD136" s="386">
        <v>9025</v>
      </c>
      <c r="AE136" s="386">
        <v>44</v>
      </c>
      <c r="AF136" s="386">
        <v>68</v>
      </c>
      <c r="AG136" s="386">
        <v>112</v>
      </c>
    </row>
    <row r="137" spans="1:33" x14ac:dyDescent="0.25">
      <c r="A137" s="381" t="s">
        <v>334</v>
      </c>
      <c r="B137" s="387" t="s">
        <v>335</v>
      </c>
      <c r="C137" s="383">
        <v>6256</v>
      </c>
      <c r="D137" s="383">
        <v>24</v>
      </c>
      <c r="E137" s="383">
        <v>147</v>
      </c>
      <c r="F137" s="383">
        <v>864</v>
      </c>
      <c r="G137" s="383">
        <v>433</v>
      </c>
      <c r="H137" s="383">
        <v>7724</v>
      </c>
      <c r="I137" s="382">
        <v>7291</v>
      </c>
      <c r="J137" s="382">
        <v>4</v>
      </c>
      <c r="K137" s="384">
        <v>121.8</v>
      </c>
      <c r="L137" s="384">
        <v>124.57</v>
      </c>
      <c r="M137" s="384">
        <v>8.01</v>
      </c>
      <c r="N137" s="384">
        <v>125.62</v>
      </c>
      <c r="O137" s="385">
        <v>5412</v>
      </c>
      <c r="P137" s="382">
        <v>113.05</v>
      </c>
      <c r="Q137" s="382">
        <v>111.6</v>
      </c>
      <c r="R137" s="382">
        <v>34.18</v>
      </c>
      <c r="S137" s="382">
        <v>145.75</v>
      </c>
      <c r="T137" s="382">
        <v>970</v>
      </c>
      <c r="U137" s="382">
        <v>179.13</v>
      </c>
      <c r="V137" s="382">
        <v>683</v>
      </c>
      <c r="W137" s="382">
        <v>0</v>
      </c>
      <c r="X137" s="382">
        <v>0</v>
      </c>
      <c r="Y137" s="382">
        <v>0</v>
      </c>
      <c r="Z137" s="382">
        <v>3</v>
      </c>
      <c r="AA137" s="382">
        <v>0</v>
      </c>
      <c r="AB137" s="382">
        <v>7</v>
      </c>
      <c r="AC137" s="382">
        <v>13</v>
      </c>
      <c r="AD137" s="386">
        <v>6143</v>
      </c>
      <c r="AE137" s="386">
        <v>30</v>
      </c>
      <c r="AF137" s="386">
        <v>11</v>
      </c>
      <c r="AG137" s="386">
        <v>41</v>
      </c>
    </row>
    <row r="138" spans="1:33" x14ac:dyDescent="0.25">
      <c r="A138" s="381" t="s">
        <v>336</v>
      </c>
      <c r="B138" s="387" t="s">
        <v>337</v>
      </c>
      <c r="C138" s="383">
        <v>815</v>
      </c>
      <c r="D138" s="383">
        <v>0</v>
      </c>
      <c r="E138" s="383">
        <v>52</v>
      </c>
      <c r="F138" s="383">
        <v>337</v>
      </c>
      <c r="G138" s="383">
        <v>192</v>
      </c>
      <c r="H138" s="383">
        <v>1396</v>
      </c>
      <c r="I138" s="382">
        <v>1204</v>
      </c>
      <c r="J138" s="382">
        <v>53</v>
      </c>
      <c r="K138" s="384">
        <v>97.77</v>
      </c>
      <c r="L138" s="384">
        <v>96.12</v>
      </c>
      <c r="M138" s="384">
        <v>6.63</v>
      </c>
      <c r="N138" s="384">
        <v>101.39</v>
      </c>
      <c r="O138" s="385">
        <v>747</v>
      </c>
      <c r="P138" s="382">
        <v>85.52</v>
      </c>
      <c r="Q138" s="382">
        <v>81.239999999999995</v>
      </c>
      <c r="R138" s="382">
        <v>39.21</v>
      </c>
      <c r="S138" s="382">
        <v>123.35</v>
      </c>
      <c r="T138" s="382">
        <v>369</v>
      </c>
      <c r="U138" s="382">
        <v>110.99</v>
      </c>
      <c r="V138" s="382">
        <v>50</v>
      </c>
      <c r="W138" s="382">
        <v>0</v>
      </c>
      <c r="X138" s="382">
        <v>0</v>
      </c>
      <c r="Y138" s="382">
        <v>0</v>
      </c>
      <c r="Z138" s="382">
        <v>0</v>
      </c>
      <c r="AA138" s="382">
        <v>0</v>
      </c>
      <c r="AB138" s="382">
        <v>13</v>
      </c>
      <c r="AC138" s="382">
        <v>5</v>
      </c>
      <c r="AD138" s="386">
        <v>797</v>
      </c>
      <c r="AE138" s="386">
        <v>9</v>
      </c>
      <c r="AF138" s="386">
        <v>2</v>
      </c>
      <c r="AG138" s="386">
        <v>11</v>
      </c>
    </row>
    <row r="139" spans="1:33" x14ac:dyDescent="0.25">
      <c r="A139" s="381" t="s">
        <v>338</v>
      </c>
      <c r="B139" s="387" t="s">
        <v>339</v>
      </c>
      <c r="C139" s="383">
        <v>6361</v>
      </c>
      <c r="D139" s="383">
        <v>0</v>
      </c>
      <c r="E139" s="383">
        <v>621</v>
      </c>
      <c r="F139" s="383">
        <v>499</v>
      </c>
      <c r="G139" s="383">
        <v>1171</v>
      </c>
      <c r="H139" s="383">
        <v>8652</v>
      </c>
      <c r="I139" s="382">
        <v>7481</v>
      </c>
      <c r="J139" s="382">
        <v>110</v>
      </c>
      <c r="K139" s="384">
        <v>126.02</v>
      </c>
      <c r="L139" s="384">
        <v>124.57</v>
      </c>
      <c r="M139" s="384">
        <v>10.17</v>
      </c>
      <c r="N139" s="384">
        <v>132.80000000000001</v>
      </c>
      <c r="O139" s="385">
        <v>5510</v>
      </c>
      <c r="P139" s="382">
        <v>104.66</v>
      </c>
      <c r="Q139" s="382">
        <v>103.68</v>
      </c>
      <c r="R139" s="382">
        <v>40.92</v>
      </c>
      <c r="S139" s="382">
        <v>143.76</v>
      </c>
      <c r="T139" s="382">
        <v>877</v>
      </c>
      <c r="U139" s="382">
        <v>186.52</v>
      </c>
      <c r="V139" s="382">
        <v>687</v>
      </c>
      <c r="W139" s="382">
        <v>165.23</v>
      </c>
      <c r="X139" s="382">
        <v>49</v>
      </c>
      <c r="Y139" s="382">
        <v>2</v>
      </c>
      <c r="Z139" s="382">
        <v>3</v>
      </c>
      <c r="AA139" s="382">
        <v>3</v>
      </c>
      <c r="AB139" s="382">
        <v>32</v>
      </c>
      <c r="AC139" s="382">
        <v>44</v>
      </c>
      <c r="AD139" s="386">
        <v>6227</v>
      </c>
      <c r="AE139" s="386">
        <v>15</v>
      </c>
      <c r="AF139" s="386">
        <v>11</v>
      </c>
      <c r="AG139" s="386">
        <v>26</v>
      </c>
    </row>
    <row r="140" spans="1:33" x14ac:dyDescent="0.25">
      <c r="A140" s="381" t="s">
        <v>340</v>
      </c>
      <c r="B140" s="387" t="s">
        <v>341</v>
      </c>
      <c r="C140" s="383">
        <v>1757</v>
      </c>
      <c r="D140" s="383">
        <v>0</v>
      </c>
      <c r="E140" s="383">
        <v>77</v>
      </c>
      <c r="F140" s="383">
        <v>125</v>
      </c>
      <c r="G140" s="383">
        <v>320</v>
      </c>
      <c r="H140" s="383">
        <v>2279</v>
      </c>
      <c r="I140" s="382">
        <v>1959</v>
      </c>
      <c r="J140" s="382">
        <v>4</v>
      </c>
      <c r="K140" s="384">
        <v>91.9</v>
      </c>
      <c r="L140" s="384">
        <v>89.15</v>
      </c>
      <c r="M140" s="384">
        <v>4.95</v>
      </c>
      <c r="N140" s="384">
        <v>94.53</v>
      </c>
      <c r="O140" s="385">
        <v>1458</v>
      </c>
      <c r="P140" s="382">
        <v>89.53</v>
      </c>
      <c r="Q140" s="382">
        <v>78.38</v>
      </c>
      <c r="R140" s="382">
        <v>16.66</v>
      </c>
      <c r="S140" s="382">
        <v>106.19</v>
      </c>
      <c r="T140" s="382">
        <v>191</v>
      </c>
      <c r="U140" s="382">
        <v>104.31</v>
      </c>
      <c r="V140" s="382">
        <v>267</v>
      </c>
      <c r="W140" s="382">
        <v>0</v>
      </c>
      <c r="X140" s="382">
        <v>0</v>
      </c>
      <c r="Y140" s="382">
        <v>0</v>
      </c>
      <c r="Z140" s="382">
        <v>0</v>
      </c>
      <c r="AA140" s="382">
        <v>2</v>
      </c>
      <c r="AB140" s="382">
        <v>23</v>
      </c>
      <c r="AC140" s="382">
        <v>4</v>
      </c>
      <c r="AD140" s="386">
        <v>1757</v>
      </c>
      <c r="AE140" s="386">
        <v>4</v>
      </c>
      <c r="AF140" s="386">
        <v>20</v>
      </c>
      <c r="AG140" s="386">
        <v>24</v>
      </c>
    </row>
    <row r="141" spans="1:33" x14ac:dyDescent="0.25">
      <c r="A141" s="381" t="s">
        <v>342</v>
      </c>
      <c r="B141" s="387" t="s">
        <v>343</v>
      </c>
      <c r="C141" s="383">
        <v>5582</v>
      </c>
      <c r="D141" s="383">
        <v>0</v>
      </c>
      <c r="E141" s="383">
        <v>154</v>
      </c>
      <c r="F141" s="383">
        <v>1127</v>
      </c>
      <c r="G141" s="383">
        <v>526</v>
      </c>
      <c r="H141" s="383">
        <v>7389</v>
      </c>
      <c r="I141" s="382">
        <v>6863</v>
      </c>
      <c r="J141" s="382">
        <v>4</v>
      </c>
      <c r="K141" s="384">
        <v>112.89</v>
      </c>
      <c r="L141" s="384">
        <v>112.27</v>
      </c>
      <c r="M141" s="384">
        <v>3.84</v>
      </c>
      <c r="N141" s="384">
        <v>115.2</v>
      </c>
      <c r="O141" s="385">
        <v>4642</v>
      </c>
      <c r="P141" s="382">
        <v>97.19</v>
      </c>
      <c r="Q141" s="382">
        <v>94.63</v>
      </c>
      <c r="R141" s="382">
        <v>25.58</v>
      </c>
      <c r="S141" s="382">
        <v>122.63</v>
      </c>
      <c r="T141" s="382">
        <v>1065</v>
      </c>
      <c r="U141" s="382">
        <v>159.22999999999999</v>
      </c>
      <c r="V141" s="382">
        <v>880</v>
      </c>
      <c r="W141" s="382">
        <v>189.74</v>
      </c>
      <c r="X141" s="382">
        <v>117</v>
      </c>
      <c r="Y141" s="382">
        <v>0</v>
      </c>
      <c r="Z141" s="382">
        <v>13</v>
      </c>
      <c r="AA141" s="382">
        <v>0</v>
      </c>
      <c r="AB141" s="382">
        <v>55</v>
      </c>
      <c r="AC141" s="382">
        <v>9</v>
      </c>
      <c r="AD141" s="386">
        <v>5549</v>
      </c>
      <c r="AE141" s="386">
        <v>33</v>
      </c>
      <c r="AF141" s="386">
        <v>35</v>
      </c>
      <c r="AG141" s="386">
        <v>68</v>
      </c>
    </row>
    <row r="142" spans="1:33" x14ac:dyDescent="0.25">
      <c r="A142" s="381" t="s">
        <v>344</v>
      </c>
      <c r="B142" s="387" t="s">
        <v>345</v>
      </c>
      <c r="C142" s="383">
        <v>7459</v>
      </c>
      <c r="D142" s="383">
        <v>16</v>
      </c>
      <c r="E142" s="383">
        <v>420</v>
      </c>
      <c r="F142" s="383">
        <v>183</v>
      </c>
      <c r="G142" s="383">
        <v>1900</v>
      </c>
      <c r="H142" s="383">
        <v>9978</v>
      </c>
      <c r="I142" s="382">
        <v>8078</v>
      </c>
      <c r="J142" s="382">
        <v>68</v>
      </c>
      <c r="K142" s="384">
        <v>125.32</v>
      </c>
      <c r="L142" s="384">
        <v>125.38</v>
      </c>
      <c r="M142" s="384">
        <v>9.77</v>
      </c>
      <c r="N142" s="384">
        <v>132.69999999999999</v>
      </c>
      <c r="O142" s="385">
        <v>5887</v>
      </c>
      <c r="P142" s="382">
        <v>110.92</v>
      </c>
      <c r="Q142" s="382">
        <v>109.28</v>
      </c>
      <c r="R142" s="382">
        <v>61.57</v>
      </c>
      <c r="S142" s="382">
        <v>160.55000000000001</v>
      </c>
      <c r="T142" s="382">
        <v>325</v>
      </c>
      <c r="U142" s="382">
        <v>190.71</v>
      </c>
      <c r="V142" s="382">
        <v>732</v>
      </c>
      <c r="W142" s="382">
        <v>232.23</v>
      </c>
      <c r="X142" s="382">
        <v>107</v>
      </c>
      <c r="Y142" s="382">
        <v>0</v>
      </c>
      <c r="Z142" s="382">
        <v>10</v>
      </c>
      <c r="AA142" s="382">
        <v>4</v>
      </c>
      <c r="AB142" s="382">
        <v>54</v>
      </c>
      <c r="AC142" s="382">
        <v>91</v>
      </c>
      <c r="AD142" s="386">
        <v>6930</v>
      </c>
      <c r="AE142" s="386">
        <v>31</v>
      </c>
      <c r="AF142" s="386">
        <v>27</v>
      </c>
      <c r="AG142" s="386">
        <v>58</v>
      </c>
    </row>
    <row r="143" spans="1:33" x14ac:dyDescent="0.25">
      <c r="A143" s="381" t="s">
        <v>346</v>
      </c>
      <c r="B143" s="387" t="s">
        <v>347</v>
      </c>
      <c r="C143" s="383">
        <v>8280</v>
      </c>
      <c r="D143" s="383">
        <v>0</v>
      </c>
      <c r="E143" s="383">
        <v>349</v>
      </c>
      <c r="F143" s="383">
        <v>1053</v>
      </c>
      <c r="G143" s="383">
        <v>566</v>
      </c>
      <c r="H143" s="383">
        <v>10248</v>
      </c>
      <c r="I143" s="382">
        <v>9682</v>
      </c>
      <c r="J143" s="382">
        <v>8</v>
      </c>
      <c r="K143" s="384">
        <v>96.6</v>
      </c>
      <c r="L143" s="384">
        <v>31.91</v>
      </c>
      <c r="M143" s="384">
        <v>4.01</v>
      </c>
      <c r="N143" s="384">
        <v>98.1</v>
      </c>
      <c r="O143" s="385">
        <v>7862</v>
      </c>
      <c r="P143" s="382">
        <v>95.88</v>
      </c>
      <c r="Q143" s="382">
        <v>88.16</v>
      </c>
      <c r="R143" s="382">
        <v>44.38</v>
      </c>
      <c r="S143" s="382">
        <v>139.44</v>
      </c>
      <c r="T143" s="382">
        <v>747</v>
      </c>
      <c r="U143" s="382">
        <v>122.93</v>
      </c>
      <c r="V143" s="382">
        <v>194</v>
      </c>
      <c r="W143" s="382">
        <v>211.45</v>
      </c>
      <c r="X143" s="382">
        <v>55</v>
      </c>
      <c r="Y143" s="382">
        <v>0</v>
      </c>
      <c r="Z143" s="382">
        <v>22</v>
      </c>
      <c r="AA143" s="382">
        <v>1</v>
      </c>
      <c r="AB143" s="382">
        <v>38</v>
      </c>
      <c r="AC143" s="382">
        <v>15</v>
      </c>
      <c r="AD143" s="386">
        <v>8278</v>
      </c>
      <c r="AE143" s="386">
        <v>56</v>
      </c>
      <c r="AF143" s="386">
        <v>41</v>
      </c>
      <c r="AG143" s="386">
        <v>97</v>
      </c>
    </row>
    <row r="144" spans="1:33" x14ac:dyDescent="0.25">
      <c r="A144" s="381" t="s">
        <v>348</v>
      </c>
      <c r="B144" s="387" t="s">
        <v>349</v>
      </c>
      <c r="C144" s="383">
        <v>3038</v>
      </c>
      <c r="D144" s="383">
        <v>0</v>
      </c>
      <c r="E144" s="383">
        <v>212</v>
      </c>
      <c r="F144" s="383">
        <v>1624</v>
      </c>
      <c r="G144" s="383">
        <v>40</v>
      </c>
      <c r="H144" s="383">
        <v>4914</v>
      </c>
      <c r="I144" s="382">
        <v>4874</v>
      </c>
      <c r="J144" s="382">
        <v>95</v>
      </c>
      <c r="K144" s="384">
        <v>78.19</v>
      </c>
      <c r="L144" s="384">
        <v>78.59</v>
      </c>
      <c r="M144" s="384">
        <v>2.25</v>
      </c>
      <c r="N144" s="384">
        <v>79.36</v>
      </c>
      <c r="O144" s="385">
        <v>2935</v>
      </c>
      <c r="P144" s="382">
        <v>76.2</v>
      </c>
      <c r="Q144" s="382">
        <v>72.75</v>
      </c>
      <c r="R144" s="382">
        <v>18.63</v>
      </c>
      <c r="S144" s="382">
        <v>94.66</v>
      </c>
      <c r="T144" s="382">
        <v>1783</v>
      </c>
      <c r="U144" s="382">
        <v>90.57</v>
      </c>
      <c r="V144" s="382">
        <v>102</v>
      </c>
      <c r="W144" s="382">
        <v>241.93</v>
      </c>
      <c r="X144" s="382">
        <v>12</v>
      </c>
      <c r="Y144" s="382">
        <v>0</v>
      </c>
      <c r="Z144" s="382">
        <v>14</v>
      </c>
      <c r="AA144" s="382">
        <v>4</v>
      </c>
      <c r="AB144" s="382">
        <v>0</v>
      </c>
      <c r="AC144" s="382">
        <v>1</v>
      </c>
      <c r="AD144" s="386">
        <v>3038</v>
      </c>
      <c r="AE144" s="386">
        <v>37</v>
      </c>
      <c r="AF144" s="386">
        <v>12</v>
      </c>
      <c r="AG144" s="386">
        <v>49</v>
      </c>
    </row>
    <row r="145" spans="1:33" x14ac:dyDescent="0.25">
      <c r="A145" s="381" t="s">
        <v>350</v>
      </c>
      <c r="B145" s="387" t="s">
        <v>351</v>
      </c>
      <c r="C145" s="383">
        <v>3726</v>
      </c>
      <c r="D145" s="383">
        <v>0</v>
      </c>
      <c r="E145" s="383">
        <v>601</v>
      </c>
      <c r="F145" s="383">
        <v>743</v>
      </c>
      <c r="G145" s="383">
        <v>329</v>
      </c>
      <c r="H145" s="383">
        <v>5399</v>
      </c>
      <c r="I145" s="382">
        <v>5070</v>
      </c>
      <c r="J145" s="382">
        <v>19</v>
      </c>
      <c r="K145" s="384">
        <v>89.34</v>
      </c>
      <c r="L145" s="384">
        <v>89.26</v>
      </c>
      <c r="M145" s="384">
        <v>6.46</v>
      </c>
      <c r="N145" s="384">
        <v>94.19</v>
      </c>
      <c r="O145" s="385">
        <v>3138</v>
      </c>
      <c r="P145" s="382">
        <v>80.540000000000006</v>
      </c>
      <c r="Q145" s="382">
        <v>75.099999999999994</v>
      </c>
      <c r="R145" s="382">
        <v>55.25</v>
      </c>
      <c r="S145" s="382">
        <v>135.09</v>
      </c>
      <c r="T145" s="382">
        <v>1103</v>
      </c>
      <c r="U145" s="382">
        <v>100.04</v>
      </c>
      <c r="V145" s="382">
        <v>537</v>
      </c>
      <c r="W145" s="382">
        <v>89.07</v>
      </c>
      <c r="X145" s="382">
        <v>2</v>
      </c>
      <c r="Y145" s="382">
        <v>0</v>
      </c>
      <c r="Z145" s="382">
        <v>5</v>
      </c>
      <c r="AA145" s="382">
        <v>0</v>
      </c>
      <c r="AB145" s="382">
        <v>1</v>
      </c>
      <c r="AC145" s="382">
        <v>15</v>
      </c>
      <c r="AD145" s="386">
        <v>3726</v>
      </c>
      <c r="AE145" s="386">
        <v>14</v>
      </c>
      <c r="AF145" s="386">
        <v>28</v>
      </c>
      <c r="AG145" s="386">
        <v>42</v>
      </c>
    </row>
    <row r="146" spans="1:33" x14ac:dyDescent="0.25">
      <c r="A146" s="381" t="s">
        <v>352</v>
      </c>
      <c r="B146" s="387" t="s">
        <v>353</v>
      </c>
      <c r="C146" s="383">
        <v>6557</v>
      </c>
      <c r="D146" s="383">
        <v>11</v>
      </c>
      <c r="E146" s="383">
        <v>207</v>
      </c>
      <c r="F146" s="383">
        <v>405</v>
      </c>
      <c r="G146" s="383">
        <v>269</v>
      </c>
      <c r="H146" s="383">
        <v>7449</v>
      </c>
      <c r="I146" s="382">
        <v>7180</v>
      </c>
      <c r="J146" s="382">
        <v>0</v>
      </c>
      <c r="K146" s="384">
        <v>89.27</v>
      </c>
      <c r="L146" s="384">
        <v>87.96</v>
      </c>
      <c r="M146" s="384">
        <v>8.07</v>
      </c>
      <c r="N146" s="384">
        <v>94.03</v>
      </c>
      <c r="O146" s="385">
        <v>5743</v>
      </c>
      <c r="P146" s="382">
        <v>76.08</v>
      </c>
      <c r="Q146" s="382">
        <v>68.86</v>
      </c>
      <c r="R146" s="382">
        <v>37.67</v>
      </c>
      <c r="S146" s="382">
        <v>107.68</v>
      </c>
      <c r="T146" s="382">
        <v>583</v>
      </c>
      <c r="U146" s="382">
        <v>122.03</v>
      </c>
      <c r="V146" s="382">
        <v>297</v>
      </c>
      <c r="W146" s="382">
        <v>98.17</v>
      </c>
      <c r="X146" s="382">
        <v>13</v>
      </c>
      <c r="Y146" s="382">
        <v>0</v>
      </c>
      <c r="Z146" s="382">
        <v>1</v>
      </c>
      <c r="AA146" s="382">
        <v>0</v>
      </c>
      <c r="AB146" s="382">
        <v>14</v>
      </c>
      <c r="AC146" s="382">
        <v>3</v>
      </c>
      <c r="AD146" s="386">
        <v>6115</v>
      </c>
      <c r="AE146" s="386">
        <v>23</v>
      </c>
      <c r="AF146" s="386">
        <v>5</v>
      </c>
      <c r="AG146" s="386">
        <v>28</v>
      </c>
    </row>
    <row r="147" spans="1:33" x14ac:dyDescent="0.25">
      <c r="A147" s="381" t="s">
        <v>354</v>
      </c>
      <c r="B147" s="387" t="s">
        <v>355</v>
      </c>
      <c r="C147" s="383">
        <v>54</v>
      </c>
      <c r="D147" s="383">
        <v>0</v>
      </c>
      <c r="E147" s="383">
        <v>0</v>
      </c>
      <c r="F147" s="383">
        <v>7</v>
      </c>
      <c r="G147" s="383">
        <v>0</v>
      </c>
      <c r="H147" s="383">
        <v>61</v>
      </c>
      <c r="I147" s="382">
        <v>61</v>
      </c>
      <c r="J147" s="382">
        <v>0</v>
      </c>
      <c r="K147" s="384">
        <v>103.46</v>
      </c>
      <c r="L147" s="384">
        <v>105.3</v>
      </c>
      <c r="M147" s="384">
        <v>2.57</v>
      </c>
      <c r="N147" s="384">
        <v>104.51</v>
      </c>
      <c r="O147" s="385">
        <v>27</v>
      </c>
      <c r="P147" s="382">
        <v>97.32</v>
      </c>
      <c r="Q147" s="382">
        <v>87.35</v>
      </c>
      <c r="R147" s="382">
        <v>14.28</v>
      </c>
      <c r="S147" s="382">
        <v>111.6</v>
      </c>
      <c r="T147" s="382">
        <v>7</v>
      </c>
      <c r="U147" s="382">
        <v>117.42</v>
      </c>
      <c r="V147" s="382">
        <v>2</v>
      </c>
      <c r="W147" s="382">
        <v>0</v>
      </c>
      <c r="X147" s="382">
        <v>0</v>
      </c>
      <c r="Y147" s="382">
        <v>0</v>
      </c>
      <c r="Z147" s="382">
        <v>0</v>
      </c>
      <c r="AA147" s="382">
        <v>0</v>
      </c>
      <c r="AB147" s="382">
        <v>0</v>
      </c>
      <c r="AC147" s="382">
        <v>0</v>
      </c>
      <c r="AD147" s="386">
        <v>27</v>
      </c>
      <c r="AE147" s="386">
        <v>0</v>
      </c>
      <c r="AF147" s="386">
        <v>0</v>
      </c>
      <c r="AG147" s="386">
        <v>0</v>
      </c>
    </row>
    <row r="148" spans="1:33" x14ac:dyDescent="0.25">
      <c r="A148" s="381" t="s">
        <v>356</v>
      </c>
      <c r="B148" s="387" t="s">
        <v>357</v>
      </c>
      <c r="C148" s="383">
        <v>13529</v>
      </c>
      <c r="D148" s="383">
        <v>255</v>
      </c>
      <c r="E148" s="383">
        <v>1330</v>
      </c>
      <c r="F148" s="383">
        <v>789</v>
      </c>
      <c r="G148" s="383">
        <v>1389</v>
      </c>
      <c r="H148" s="383">
        <v>17292</v>
      </c>
      <c r="I148" s="382">
        <v>15903</v>
      </c>
      <c r="J148" s="382">
        <v>54</v>
      </c>
      <c r="K148" s="384">
        <v>126.78</v>
      </c>
      <c r="L148" s="384">
        <v>134.59</v>
      </c>
      <c r="M148" s="384">
        <v>11.08</v>
      </c>
      <c r="N148" s="384">
        <v>135.22999999999999</v>
      </c>
      <c r="O148" s="385">
        <v>11628</v>
      </c>
      <c r="P148" s="382">
        <v>120.04</v>
      </c>
      <c r="Q148" s="382">
        <v>120.52</v>
      </c>
      <c r="R148" s="382">
        <v>49.64</v>
      </c>
      <c r="S148" s="382">
        <v>165.25</v>
      </c>
      <c r="T148" s="382">
        <v>1670</v>
      </c>
      <c r="U148" s="382">
        <v>184.83</v>
      </c>
      <c r="V148" s="382">
        <v>542</v>
      </c>
      <c r="W148" s="382">
        <v>176.5</v>
      </c>
      <c r="X148" s="382">
        <v>2</v>
      </c>
      <c r="Y148" s="382">
        <v>9</v>
      </c>
      <c r="Z148" s="382">
        <v>4</v>
      </c>
      <c r="AA148" s="382">
        <v>0</v>
      </c>
      <c r="AB148" s="382">
        <v>28</v>
      </c>
      <c r="AC148" s="382">
        <v>75</v>
      </c>
      <c r="AD148" s="386">
        <v>12525</v>
      </c>
      <c r="AE148" s="386">
        <v>47</v>
      </c>
      <c r="AF148" s="386">
        <v>66</v>
      </c>
      <c r="AG148" s="386">
        <v>113</v>
      </c>
    </row>
    <row r="149" spans="1:33" x14ac:dyDescent="0.25">
      <c r="A149" s="381" t="s">
        <v>358</v>
      </c>
      <c r="B149" s="387" t="s">
        <v>359</v>
      </c>
      <c r="C149" s="383">
        <v>10769</v>
      </c>
      <c r="D149" s="383">
        <v>20</v>
      </c>
      <c r="E149" s="383">
        <v>976</v>
      </c>
      <c r="F149" s="383">
        <v>959</v>
      </c>
      <c r="G149" s="383">
        <v>564</v>
      </c>
      <c r="H149" s="383">
        <v>13288</v>
      </c>
      <c r="I149" s="382">
        <v>12724</v>
      </c>
      <c r="J149" s="382">
        <v>59</v>
      </c>
      <c r="K149" s="384">
        <v>125.92</v>
      </c>
      <c r="L149" s="384">
        <v>144.41999999999999</v>
      </c>
      <c r="M149" s="384">
        <v>11.56</v>
      </c>
      <c r="N149" s="384">
        <v>133.43</v>
      </c>
      <c r="O149" s="385">
        <v>9404</v>
      </c>
      <c r="P149" s="382">
        <v>119.87</v>
      </c>
      <c r="Q149" s="382">
        <v>123.74</v>
      </c>
      <c r="R149" s="382">
        <v>51.61</v>
      </c>
      <c r="S149" s="382">
        <v>162.44999999999999</v>
      </c>
      <c r="T149" s="382">
        <v>1453</v>
      </c>
      <c r="U149" s="382">
        <v>214.62</v>
      </c>
      <c r="V149" s="382">
        <v>535</v>
      </c>
      <c r="W149" s="382">
        <v>207.31</v>
      </c>
      <c r="X149" s="382">
        <v>27</v>
      </c>
      <c r="Y149" s="382">
        <v>0</v>
      </c>
      <c r="Z149" s="382">
        <v>0</v>
      </c>
      <c r="AA149" s="382">
        <v>0</v>
      </c>
      <c r="AB149" s="382">
        <v>25</v>
      </c>
      <c r="AC149" s="382">
        <v>11</v>
      </c>
      <c r="AD149" s="386">
        <v>9956</v>
      </c>
      <c r="AE149" s="386">
        <v>41</v>
      </c>
      <c r="AF149" s="386">
        <v>200</v>
      </c>
      <c r="AG149" s="386">
        <v>241</v>
      </c>
    </row>
    <row r="150" spans="1:33" x14ac:dyDescent="0.25">
      <c r="A150" s="381" t="s">
        <v>360</v>
      </c>
      <c r="B150" s="387" t="s">
        <v>361</v>
      </c>
      <c r="C150" s="383">
        <v>8411</v>
      </c>
      <c r="D150" s="383">
        <v>0</v>
      </c>
      <c r="E150" s="383">
        <v>362</v>
      </c>
      <c r="F150" s="383">
        <v>940</v>
      </c>
      <c r="G150" s="383">
        <v>203</v>
      </c>
      <c r="H150" s="383">
        <v>9916</v>
      </c>
      <c r="I150" s="382">
        <v>9713</v>
      </c>
      <c r="J150" s="382">
        <v>25</v>
      </c>
      <c r="K150" s="384">
        <v>84.44</v>
      </c>
      <c r="L150" s="384">
        <v>84.37</v>
      </c>
      <c r="M150" s="384">
        <v>3.62</v>
      </c>
      <c r="N150" s="384">
        <v>85.59</v>
      </c>
      <c r="O150" s="385">
        <v>7772</v>
      </c>
      <c r="P150" s="382">
        <v>83.19</v>
      </c>
      <c r="Q150" s="382">
        <v>80.25</v>
      </c>
      <c r="R150" s="382">
        <v>28.26</v>
      </c>
      <c r="S150" s="382">
        <v>109.11</v>
      </c>
      <c r="T150" s="382">
        <v>1275</v>
      </c>
      <c r="U150" s="382">
        <v>103.16</v>
      </c>
      <c r="V150" s="382">
        <v>597</v>
      </c>
      <c r="W150" s="382">
        <v>96.86</v>
      </c>
      <c r="X150" s="382">
        <v>10</v>
      </c>
      <c r="Y150" s="382">
        <v>0</v>
      </c>
      <c r="Z150" s="382">
        <v>24</v>
      </c>
      <c r="AA150" s="382">
        <v>1</v>
      </c>
      <c r="AB150" s="382">
        <v>3</v>
      </c>
      <c r="AC150" s="382">
        <v>9</v>
      </c>
      <c r="AD150" s="386">
        <v>8403</v>
      </c>
      <c r="AE150" s="386">
        <v>30</v>
      </c>
      <c r="AF150" s="386">
        <v>78</v>
      </c>
      <c r="AG150" s="386">
        <v>108</v>
      </c>
    </row>
    <row r="151" spans="1:33" x14ac:dyDescent="0.25">
      <c r="A151" s="381" t="s">
        <v>362</v>
      </c>
      <c r="B151" s="387" t="s">
        <v>363</v>
      </c>
      <c r="C151" s="383">
        <v>5780</v>
      </c>
      <c r="D151" s="383">
        <v>7</v>
      </c>
      <c r="E151" s="383">
        <v>926</v>
      </c>
      <c r="F151" s="383">
        <v>2148</v>
      </c>
      <c r="G151" s="383">
        <v>178</v>
      </c>
      <c r="H151" s="383">
        <v>9039</v>
      </c>
      <c r="I151" s="382">
        <v>8861</v>
      </c>
      <c r="J151" s="382">
        <v>4</v>
      </c>
      <c r="K151" s="384">
        <v>79.23</v>
      </c>
      <c r="L151" s="384">
        <v>79.86</v>
      </c>
      <c r="M151" s="384">
        <v>5.3</v>
      </c>
      <c r="N151" s="384">
        <v>83.23</v>
      </c>
      <c r="O151" s="385">
        <v>5093</v>
      </c>
      <c r="P151" s="382">
        <v>83.33</v>
      </c>
      <c r="Q151" s="382">
        <v>76.58</v>
      </c>
      <c r="R151" s="382">
        <v>33.53</v>
      </c>
      <c r="S151" s="382">
        <v>116.32</v>
      </c>
      <c r="T151" s="382">
        <v>2624</v>
      </c>
      <c r="U151" s="382">
        <v>96.15</v>
      </c>
      <c r="V151" s="382">
        <v>534</v>
      </c>
      <c r="W151" s="382">
        <v>183.2</v>
      </c>
      <c r="X151" s="382">
        <v>38</v>
      </c>
      <c r="Y151" s="382">
        <v>38</v>
      </c>
      <c r="Z151" s="382">
        <v>9</v>
      </c>
      <c r="AA151" s="382">
        <v>0</v>
      </c>
      <c r="AB151" s="382">
        <v>7</v>
      </c>
      <c r="AC151" s="382">
        <v>1</v>
      </c>
      <c r="AD151" s="386">
        <v>5634</v>
      </c>
      <c r="AE151" s="386">
        <v>32</v>
      </c>
      <c r="AF151" s="386">
        <v>23</v>
      </c>
      <c r="AG151" s="386">
        <v>55</v>
      </c>
    </row>
    <row r="152" spans="1:33" x14ac:dyDescent="0.25">
      <c r="A152" s="381" t="s">
        <v>364</v>
      </c>
      <c r="B152" s="387" t="s">
        <v>365</v>
      </c>
      <c r="C152" s="383">
        <v>2121</v>
      </c>
      <c r="D152" s="383">
        <v>15</v>
      </c>
      <c r="E152" s="383">
        <v>355</v>
      </c>
      <c r="F152" s="383">
        <v>219</v>
      </c>
      <c r="G152" s="383">
        <v>301</v>
      </c>
      <c r="H152" s="383">
        <v>3011</v>
      </c>
      <c r="I152" s="382">
        <v>2710</v>
      </c>
      <c r="J152" s="382">
        <v>27</v>
      </c>
      <c r="K152" s="384">
        <v>131.19999999999999</v>
      </c>
      <c r="L152" s="384">
        <v>132.69</v>
      </c>
      <c r="M152" s="384">
        <v>9.59</v>
      </c>
      <c r="N152" s="384">
        <v>139.61000000000001</v>
      </c>
      <c r="O152" s="385">
        <v>1549</v>
      </c>
      <c r="P152" s="382">
        <v>124.65</v>
      </c>
      <c r="Q152" s="382">
        <v>103.51</v>
      </c>
      <c r="R152" s="382">
        <v>39.54</v>
      </c>
      <c r="S152" s="382">
        <v>163.66</v>
      </c>
      <c r="T152" s="382">
        <v>369</v>
      </c>
      <c r="U152" s="382">
        <v>223.2</v>
      </c>
      <c r="V152" s="382">
        <v>311</v>
      </c>
      <c r="W152" s="382">
        <v>0</v>
      </c>
      <c r="X152" s="382">
        <v>0</v>
      </c>
      <c r="Y152" s="382">
        <v>126</v>
      </c>
      <c r="Z152" s="382">
        <v>0</v>
      </c>
      <c r="AA152" s="382">
        <v>0</v>
      </c>
      <c r="AB152" s="382">
        <v>1</v>
      </c>
      <c r="AC152" s="382">
        <v>9</v>
      </c>
      <c r="AD152" s="386">
        <v>1860</v>
      </c>
      <c r="AE152" s="386">
        <v>5</v>
      </c>
      <c r="AF152" s="386">
        <v>4</v>
      </c>
      <c r="AG152" s="386">
        <v>9</v>
      </c>
    </row>
    <row r="153" spans="1:33" x14ac:dyDescent="0.25">
      <c r="A153" s="381" t="s">
        <v>366</v>
      </c>
      <c r="B153" s="387" t="s">
        <v>367</v>
      </c>
      <c r="C153" s="383">
        <v>4098</v>
      </c>
      <c r="D153" s="383">
        <v>45</v>
      </c>
      <c r="E153" s="383">
        <v>452</v>
      </c>
      <c r="F153" s="383">
        <v>1248</v>
      </c>
      <c r="G153" s="383">
        <v>279</v>
      </c>
      <c r="H153" s="383">
        <v>6122</v>
      </c>
      <c r="I153" s="382">
        <v>5843</v>
      </c>
      <c r="J153" s="382">
        <v>37</v>
      </c>
      <c r="K153" s="384">
        <v>85.94</v>
      </c>
      <c r="L153" s="384">
        <v>84.42</v>
      </c>
      <c r="M153" s="384">
        <v>5.73</v>
      </c>
      <c r="N153" s="384">
        <v>90.29</v>
      </c>
      <c r="O153" s="385">
        <v>3488</v>
      </c>
      <c r="P153" s="382">
        <v>78.61</v>
      </c>
      <c r="Q153" s="382">
        <v>75.78</v>
      </c>
      <c r="R153" s="382">
        <v>32.020000000000003</v>
      </c>
      <c r="S153" s="382">
        <v>109.71</v>
      </c>
      <c r="T153" s="382">
        <v>1487</v>
      </c>
      <c r="U153" s="382">
        <v>97.36</v>
      </c>
      <c r="V153" s="382">
        <v>464</v>
      </c>
      <c r="W153" s="382">
        <v>106.64</v>
      </c>
      <c r="X153" s="382">
        <v>36</v>
      </c>
      <c r="Y153" s="382">
        <v>0</v>
      </c>
      <c r="Z153" s="382">
        <v>4</v>
      </c>
      <c r="AA153" s="382">
        <v>4</v>
      </c>
      <c r="AB153" s="382">
        <v>8</v>
      </c>
      <c r="AC153" s="382">
        <v>11</v>
      </c>
      <c r="AD153" s="386">
        <v>4090</v>
      </c>
      <c r="AE153" s="386">
        <v>31</v>
      </c>
      <c r="AF153" s="386">
        <v>16</v>
      </c>
      <c r="AG153" s="386">
        <v>47</v>
      </c>
    </row>
    <row r="154" spans="1:33" x14ac:dyDescent="0.25">
      <c r="A154" s="381" t="s">
        <v>368</v>
      </c>
      <c r="B154" s="387" t="s">
        <v>369</v>
      </c>
      <c r="C154" s="383">
        <v>16118</v>
      </c>
      <c r="D154" s="383">
        <v>9</v>
      </c>
      <c r="E154" s="383">
        <v>619</v>
      </c>
      <c r="F154" s="383">
        <v>1304</v>
      </c>
      <c r="G154" s="383">
        <v>272</v>
      </c>
      <c r="H154" s="383">
        <v>18322</v>
      </c>
      <c r="I154" s="382">
        <v>18050</v>
      </c>
      <c r="J154" s="382">
        <v>6</v>
      </c>
      <c r="K154" s="384">
        <v>85.41</v>
      </c>
      <c r="L154" s="384">
        <v>85.32</v>
      </c>
      <c r="M154" s="384">
        <v>11.01</v>
      </c>
      <c r="N154" s="384">
        <v>87.92</v>
      </c>
      <c r="O154" s="385">
        <v>14922</v>
      </c>
      <c r="P154" s="382">
        <v>85.89</v>
      </c>
      <c r="Q154" s="382">
        <v>85.16</v>
      </c>
      <c r="R154" s="382">
        <v>31.09</v>
      </c>
      <c r="S154" s="382">
        <v>112.23</v>
      </c>
      <c r="T154" s="382">
        <v>1631</v>
      </c>
      <c r="U154" s="382">
        <v>108.84</v>
      </c>
      <c r="V154" s="382">
        <v>919</v>
      </c>
      <c r="W154" s="382">
        <v>138.81</v>
      </c>
      <c r="X154" s="382">
        <v>142</v>
      </c>
      <c r="Y154" s="382">
        <v>0</v>
      </c>
      <c r="Z154" s="382">
        <v>143</v>
      </c>
      <c r="AA154" s="382">
        <v>3</v>
      </c>
      <c r="AB154" s="382">
        <v>17</v>
      </c>
      <c r="AC154" s="382">
        <v>1</v>
      </c>
      <c r="AD154" s="386">
        <v>15869</v>
      </c>
      <c r="AE154" s="386">
        <v>277</v>
      </c>
      <c r="AF154" s="386">
        <v>96</v>
      </c>
      <c r="AG154" s="386">
        <v>373</v>
      </c>
    </row>
    <row r="155" spans="1:33" x14ac:dyDescent="0.25">
      <c r="A155" s="381" t="s">
        <v>370</v>
      </c>
      <c r="B155" s="387" t="s">
        <v>371</v>
      </c>
      <c r="C155" s="383">
        <v>20756</v>
      </c>
      <c r="D155" s="383">
        <v>62</v>
      </c>
      <c r="E155" s="383">
        <v>1778</v>
      </c>
      <c r="F155" s="383">
        <v>1453</v>
      </c>
      <c r="G155" s="383">
        <v>2115</v>
      </c>
      <c r="H155" s="383">
        <v>26164</v>
      </c>
      <c r="I155" s="382">
        <v>24049</v>
      </c>
      <c r="J155" s="382">
        <v>124</v>
      </c>
      <c r="K155" s="384">
        <v>118.65</v>
      </c>
      <c r="L155" s="384">
        <v>124.92</v>
      </c>
      <c r="M155" s="384">
        <v>12.49</v>
      </c>
      <c r="N155" s="384">
        <v>129.02000000000001</v>
      </c>
      <c r="O155" s="385">
        <v>18283</v>
      </c>
      <c r="P155" s="382">
        <v>111.89</v>
      </c>
      <c r="Q155" s="382">
        <v>112.26</v>
      </c>
      <c r="R155" s="382">
        <v>47</v>
      </c>
      <c r="S155" s="382">
        <v>154.72999999999999</v>
      </c>
      <c r="T155" s="382">
        <v>2827</v>
      </c>
      <c r="U155" s="382">
        <v>186.35</v>
      </c>
      <c r="V155" s="382">
        <v>995</v>
      </c>
      <c r="W155" s="382">
        <v>201.59</v>
      </c>
      <c r="X155" s="382">
        <v>10</v>
      </c>
      <c r="Y155" s="382">
        <v>19</v>
      </c>
      <c r="Z155" s="382">
        <v>23</v>
      </c>
      <c r="AA155" s="382">
        <v>3</v>
      </c>
      <c r="AB155" s="382">
        <v>115</v>
      </c>
      <c r="AC155" s="382">
        <v>81</v>
      </c>
      <c r="AD155" s="386">
        <v>19610</v>
      </c>
      <c r="AE155" s="386">
        <v>71</v>
      </c>
      <c r="AF155" s="386">
        <v>109</v>
      </c>
      <c r="AG155" s="386">
        <v>180</v>
      </c>
    </row>
    <row r="156" spans="1:33" x14ac:dyDescent="0.25">
      <c r="A156" s="381" t="s">
        <v>372</v>
      </c>
      <c r="B156" s="387" t="s">
        <v>373</v>
      </c>
      <c r="C156" s="383">
        <v>1868</v>
      </c>
      <c r="D156" s="383">
        <v>4</v>
      </c>
      <c r="E156" s="383">
        <v>360</v>
      </c>
      <c r="F156" s="383">
        <v>449</v>
      </c>
      <c r="G156" s="383">
        <v>140</v>
      </c>
      <c r="H156" s="383">
        <v>2821</v>
      </c>
      <c r="I156" s="382">
        <v>2681</v>
      </c>
      <c r="J156" s="382">
        <v>0</v>
      </c>
      <c r="K156" s="384">
        <v>83.88</v>
      </c>
      <c r="L156" s="384">
        <v>81.260000000000005</v>
      </c>
      <c r="M156" s="384">
        <v>5.49</v>
      </c>
      <c r="N156" s="384">
        <v>88.52</v>
      </c>
      <c r="O156" s="385">
        <v>1326</v>
      </c>
      <c r="P156" s="382">
        <v>84.5</v>
      </c>
      <c r="Q156" s="382">
        <v>74.38</v>
      </c>
      <c r="R156" s="382">
        <v>47.37</v>
      </c>
      <c r="S156" s="382">
        <v>130.79</v>
      </c>
      <c r="T156" s="382">
        <v>707</v>
      </c>
      <c r="U156" s="382">
        <v>104.14</v>
      </c>
      <c r="V156" s="382">
        <v>482</v>
      </c>
      <c r="W156" s="382">
        <v>138.27000000000001</v>
      </c>
      <c r="X156" s="382">
        <v>9</v>
      </c>
      <c r="Y156" s="382">
        <v>40</v>
      </c>
      <c r="Z156" s="382">
        <v>0</v>
      </c>
      <c r="AA156" s="382">
        <v>1</v>
      </c>
      <c r="AB156" s="382">
        <v>25</v>
      </c>
      <c r="AC156" s="382">
        <v>4</v>
      </c>
      <c r="AD156" s="386">
        <v>1831</v>
      </c>
      <c r="AE156" s="386">
        <v>14</v>
      </c>
      <c r="AF156" s="386">
        <v>5</v>
      </c>
      <c r="AG156" s="386">
        <v>19</v>
      </c>
    </row>
    <row r="157" spans="1:33" x14ac:dyDescent="0.25">
      <c r="A157" s="381" t="s">
        <v>374</v>
      </c>
      <c r="B157" s="387" t="s">
        <v>375</v>
      </c>
      <c r="C157" s="383">
        <v>12763</v>
      </c>
      <c r="D157" s="383">
        <v>63</v>
      </c>
      <c r="E157" s="383">
        <v>1424</v>
      </c>
      <c r="F157" s="383">
        <v>2790</v>
      </c>
      <c r="G157" s="383">
        <v>1098</v>
      </c>
      <c r="H157" s="383">
        <v>18138</v>
      </c>
      <c r="I157" s="382">
        <v>17040</v>
      </c>
      <c r="J157" s="382">
        <v>89</v>
      </c>
      <c r="K157" s="384">
        <v>84.46</v>
      </c>
      <c r="L157" s="384">
        <v>83.55</v>
      </c>
      <c r="M157" s="384">
        <v>6.82</v>
      </c>
      <c r="N157" s="384">
        <v>88.8</v>
      </c>
      <c r="O157" s="385">
        <v>10803</v>
      </c>
      <c r="P157" s="382">
        <v>90.51</v>
      </c>
      <c r="Q157" s="382">
        <v>78</v>
      </c>
      <c r="R157" s="382">
        <v>46.13</v>
      </c>
      <c r="S157" s="382">
        <v>135.82</v>
      </c>
      <c r="T157" s="382">
        <v>3312</v>
      </c>
      <c r="U157" s="382">
        <v>103.71</v>
      </c>
      <c r="V157" s="382">
        <v>1070</v>
      </c>
      <c r="W157" s="382">
        <v>93.55</v>
      </c>
      <c r="X157" s="382">
        <v>20</v>
      </c>
      <c r="Y157" s="382">
        <v>2</v>
      </c>
      <c r="Z157" s="382">
        <v>9</v>
      </c>
      <c r="AA157" s="382">
        <v>0</v>
      </c>
      <c r="AB157" s="382">
        <v>82</v>
      </c>
      <c r="AC157" s="382">
        <v>54</v>
      </c>
      <c r="AD157" s="386">
        <v>12401</v>
      </c>
      <c r="AE157" s="386">
        <v>68</v>
      </c>
      <c r="AF157" s="386">
        <v>61</v>
      </c>
      <c r="AG157" s="386">
        <v>129</v>
      </c>
    </row>
    <row r="158" spans="1:33" x14ac:dyDescent="0.25">
      <c r="A158" s="381" t="s">
        <v>376</v>
      </c>
      <c r="B158" s="387" t="s">
        <v>377</v>
      </c>
      <c r="C158" s="383">
        <v>8934</v>
      </c>
      <c r="D158" s="383">
        <v>0</v>
      </c>
      <c r="E158" s="383">
        <v>881</v>
      </c>
      <c r="F158" s="383">
        <v>935</v>
      </c>
      <c r="G158" s="383">
        <v>525</v>
      </c>
      <c r="H158" s="383">
        <v>11275</v>
      </c>
      <c r="I158" s="382">
        <v>10750</v>
      </c>
      <c r="J158" s="382">
        <v>52</v>
      </c>
      <c r="K158" s="384">
        <v>84.74</v>
      </c>
      <c r="L158" s="384">
        <v>82.32</v>
      </c>
      <c r="M158" s="384">
        <v>8.17</v>
      </c>
      <c r="N158" s="384">
        <v>90.05</v>
      </c>
      <c r="O158" s="385">
        <v>7322</v>
      </c>
      <c r="P158" s="382">
        <v>81.489999999999995</v>
      </c>
      <c r="Q158" s="382">
        <v>79.510000000000005</v>
      </c>
      <c r="R158" s="382">
        <v>50.72</v>
      </c>
      <c r="S158" s="382">
        <v>131.58000000000001</v>
      </c>
      <c r="T158" s="382">
        <v>1516</v>
      </c>
      <c r="U158" s="382">
        <v>106.53</v>
      </c>
      <c r="V158" s="382">
        <v>730</v>
      </c>
      <c r="W158" s="382">
        <v>129.62</v>
      </c>
      <c r="X158" s="382">
        <v>77</v>
      </c>
      <c r="Y158" s="382">
        <v>47</v>
      </c>
      <c r="Z158" s="382">
        <v>8</v>
      </c>
      <c r="AA158" s="382">
        <v>15</v>
      </c>
      <c r="AB158" s="382">
        <v>6</v>
      </c>
      <c r="AC158" s="382">
        <v>30</v>
      </c>
      <c r="AD158" s="386">
        <v>8223</v>
      </c>
      <c r="AE158" s="386">
        <v>26</v>
      </c>
      <c r="AF158" s="386">
        <v>38</v>
      </c>
      <c r="AG158" s="386">
        <v>64</v>
      </c>
    </row>
    <row r="159" spans="1:33" x14ac:dyDescent="0.25">
      <c r="A159" s="381" t="s">
        <v>378</v>
      </c>
      <c r="B159" s="387" t="s">
        <v>379</v>
      </c>
      <c r="C159" s="383">
        <v>1106</v>
      </c>
      <c r="D159" s="383">
        <v>0</v>
      </c>
      <c r="E159" s="383">
        <v>157</v>
      </c>
      <c r="F159" s="383">
        <v>325</v>
      </c>
      <c r="G159" s="383">
        <v>246</v>
      </c>
      <c r="H159" s="383">
        <v>1834</v>
      </c>
      <c r="I159" s="382">
        <v>1588</v>
      </c>
      <c r="J159" s="382">
        <v>0</v>
      </c>
      <c r="K159" s="384">
        <v>93.17</v>
      </c>
      <c r="L159" s="384">
        <v>92.38</v>
      </c>
      <c r="M159" s="384">
        <v>9.25</v>
      </c>
      <c r="N159" s="384">
        <v>101.19</v>
      </c>
      <c r="O159" s="385">
        <v>951</v>
      </c>
      <c r="P159" s="382">
        <v>85.77</v>
      </c>
      <c r="Q159" s="382">
        <v>81.41</v>
      </c>
      <c r="R159" s="382">
        <v>58.74</v>
      </c>
      <c r="S159" s="382">
        <v>143.06</v>
      </c>
      <c r="T159" s="382">
        <v>201</v>
      </c>
      <c r="U159" s="382">
        <v>152.76</v>
      </c>
      <c r="V159" s="382">
        <v>135</v>
      </c>
      <c r="W159" s="382">
        <v>136.63999999999999</v>
      </c>
      <c r="X159" s="382">
        <v>9</v>
      </c>
      <c r="Y159" s="382">
        <v>0</v>
      </c>
      <c r="Z159" s="382">
        <v>0</v>
      </c>
      <c r="AA159" s="382">
        <v>0</v>
      </c>
      <c r="AB159" s="382">
        <v>10</v>
      </c>
      <c r="AC159" s="382">
        <v>9</v>
      </c>
      <c r="AD159" s="386">
        <v>1094</v>
      </c>
      <c r="AE159" s="386">
        <v>4</v>
      </c>
      <c r="AF159" s="386">
        <v>1</v>
      </c>
      <c r="AG159" s="386">
        <v>5</v>
      </c>
    </row>
    <row r="160" spans="1:33" x14ac:dyDescent="0.25">
      <c r="A160" s="381" t="s">
        <v>380</v>
      </c>
      <c r="B160" s="387" t="s">
        <v>381</v>
      </c>
      <c r="C160" s="383">
        <v>20823</v>
      </c>
      <c r="D160" s="383">
        <v>184</v>
      </c>
      <c r="E160" s="383">
        <v>1217</v>
      </c>
      <c r="F160" s="383">
        <v>652</v>
      </c>
      <c r="G160" s="383">
        <v>1721</v>
      </c>
      <c r="H160" s="383">
        <v>24597</v>
      </c>
      <c r="I160" s="382">
        <v>22876</v>
      </c>
      <c r="J160" s="382">
        <v>101</v>
      </c>
      <c r="K160" s="384">
        <v>110.48</v>
      </c>
      <c r="L160" s="384">
        <v>114.97</v>
      </c>
      <c r="M160" s="384">
        <v>9.51</v>
      </c>
      <c r="N160" s="384">
        <v>116.15</v>
      </c>
      <c r="O160" s="385">
        <v>18482</v>
      </c>
      <c r="P160" s="382">
        <v>107.85</v>
      </c>
      <c r="Q160" s="382">
        <v>107.81</v>
      </c>
      <c r="R160" s="382">
        <v>53.3</v>
      </c>
      <c r="S160" s="382">
        <v>155.97999999999999</v>
      </c>
      <c r="T160" s="382">
        <v>1608</v>
      </c>
      <c r="U160" s="382">
        <v>168.42</v>
      </c>
      <c r="V160" s="382">
        <v>1216</v>
      </c>
      <c r="W160" s="382">
        <v>271.87</v>
      </c>
      <c r="X160" s="382">
        <v>64</v>
      </c>
      <c r="Y160" s="382">
        <v>0</v>
      </c>
      <c r="Z160" s="382">
        <v>32</v>
      </c>
      <c r="AA160" s="382">
        <v>14</v>
      </c>
      <c r="AB160" s="382">
        <v>108</v>
      </c>
      <c r="AC160" s="382">
        <v>29</v>
      </c>
      <c r="AD160" s="386">
        <v>19943</v>
      </c>
      <c r="AE160" s="386">
        <v>79</v>
      </c>
      <c r="AF160" s="386">
        <v>61</v>
      </c>
      <c r="AG160" s="386">
        <v>140</v>
      </c>
    </row>
    <row r="161" spans="1:33" x14ac:dyDescent="0.25">
      <c r="A161" s="381" t="s">
        <v>382</v>
      </c>
      <c r="B161" s="387" t="s">
        <v>383</v>
      </c>
      <c r="C161" s="383">
        <v>5286</v>
      </c>
      <c r="D161" s="383">
        <v>16</v>
      </c>
      <c r="E161" s="383">
        <v>129</v>
      </c>
      <c r="F161" s="383">
        <v>272</v>
      </c>
      <c r="G161" s="383">
        <v>203</v>
      </c>
      <c r="H161" s="383">
        <v>5906</v>
      </c>
      <c r="I161" s="382">
        <v>5703</v>
      </c>
      <c r="J161" s="382">
        <v>4</v>
      </c>
      <c r="K161" s="384">
        <v>89.34</v>
      </c>
      <c r="L161" s="384">
        <v>89.06</v>
      </c>
      <c r="M161" s="384">
        <v>2.75</v>
      </c>
      <c r="N161" s="384">
        <v>91.36</v>
      </c>
      <c r="O161" s="385">
        <v>4933</v>
      </c>
      <c r="P161" s="382">
        <v>98.16</v>
      </c>
      <c r="Q161" s="382">
        <v>94.99</v>
      </c>
      <c r="R161" s="382">
        <v>32.31</v>
      </c>
      <c r="S161" s="382">
        <v>129.34</v>
      </c>
      <c r="T161" s="382">
        <v>401</v>
      </c>
      <c r="U161" s="382">
        <v>110.1</v>
      </c>
      <c r="V161" s="382">
        <v>339</v>
      </c>
      <c r="W161" s="382">
        <v>0</v>
      </c>
      <c r="X161" s="382">
        <v>0</v>
      </c>
      <c r="Y161" s="382">
        <v>0</v>
      </c>
      <c r="Z161" s="382">
        <v>7</v>
      </c>
      <c r="AA161" s="382">
        <v>17</v>
      </c>
      <c r="AB161" s="382">
        <v>1</v>
      </c>
      <c r="AC161" s="382">
        <v>1</v>
      </c>
      <c r="AD161" s="386">
        <v>5284</v>
      </c>
      <c r="AE161" s="386">
        <v>5</v>
      </c>
      <c r="AF161" s="386">
        <v>21</v>
      </c>
      <c r="AG161" s="386">
        <v>26</v>
      </c>
    </row>
    <row r="162" spans="1:33" x14ac:dyDescent="0.25">
      <c r="A162" s="381" t="s">
        <v>384</v>
      </c>
      <c r="B162" s="387" t="s">
        <v>385</v>
      </c>
      <c r="C162" s="383">
        <v>1292</v>
      </c>
      <c r="D162" s="383">
        <v>0</v>
      </c>
      <c r="E162" s="383">
        <v>440</v>
      </c>
      <c r="F162" s="383">
        <v>169</v>
      </c>
      <c r="G162" s="383">
        <v>230</v>
      </c>
      <c r="H162" s="383">
        <v>2131</v>
      </c>
      <c r="I162" s="382">
        <v>1901</v>
      </c>
      <c r="J162" s="382">
        <v>12</v>
      </c>
      <c r="K162" s="384">
        <v>80.42</v>
      </c>
      <c r="L162" s="384">
        <v>80.3</v>
      </c>
      <c r="M162" s="384">
        <v>6.97</v>
      </c>
      <c r="N162" s="384">
        <v>86.36</v>
      </c>
      <c r="O162" s="385">
        <v>960</v>
      </c>
      <c r="P162" s="382">
        <v>90.63</v>
      </c>
      <c r="Q162" s="382">
        <v>83.76</v>
      </c>
      <c r="R162" s="382">
        <v>44.87</v>
      </c>
      <c r="S162" s="382">
        <v>129.97999999999999</v>
      </c>
      <c r="T162" s="382">
        <v>211</v>
      </c>
      <c r="U162" s="382">
        <v>97.19</v>
      </c>
      <c r="V162" s="382">
        <v>154</v>
      </c>
      <c r="W162" s="382">
        <v>241.5</v>
      </c>
      <c r="X162" s="382">
        <v>16</v>
      </c>
      <c r="Y162" s="382">
        <v>0</v>
      </c>
      <c r="Z162" s="382">
        <v>1</v>
      </c>
      <c r="AA162" s="382">
        <v>0</v>
      </c>
      <c r="AB162" s="382">
        <v>12</v>
      </c>
      <c r="AC162" s="382">
        <v>11</v>
      </c>
      <c r="AD162" s="386">
        <v>1265</v>
      </c>
      <c r="AE162" s="386">
        <v>4</v>
      </c>
      <c r="AF162" s="386">
        <v>4</v>
      </c>
      <c r="AG162" s="386">
        <v>8</v>
      </c>
    </row>
    <row r="163" spans="1:33" x14ac:dyDescent="0.25">
      <c r="A163" s="381" t="s">
        <v>386</v>
      </c>
      <c r="B163" s="387" t="s">
        <v>387</v>
      </c>
      <c r="C163" s="383">
        <v>52348</v>
      </c>
      <c r="D163" s="383">
        <v>12</v>
      </c>
      <c r="E163" s="383">
        <v>2045</v>
      </c>
      <c r="F163" s="383">
        <v>3953</v>
      </c>
      <c r="G163" s="383">
        <v>723</v>
      </c>
      <c r="H163" s="383">
        <v>59081</v>
      </c>
      <c r="I163" s="382">
        <v>58358</v>
      </c>
      <c r="J163" s="382">
        <v>36</v>
      </c>
      <c r="K163" s="384">
        <v>84.7</v>
      </c>
      <c r="L163" s="384">
        <v>84.3</v>
      </c>
      <c r="M163" s="384">
        <v>9.2799999999999994</v>
      </c>
      <c r="N163" s="384">
        <v>87.2</v>
      </c>
      <c r="O163" s="385">
        <v>44874</v>
      </c>
      <c r="P163" s="382">
        <v>83.53</v>
      </c>
      <c r="Q163" s="382">
        <v>80.33</v>
      </c>
      <c r="R163" s="382">
        <v>42.45</v>
      </c>
      <c r="S163" s="382">
        <v>124.65</v>
      </c>
      <c r="T163" s="382">
        <v>5133</v>
      </c>
      <c r="U163" s="382">
        <v>102.33</v>
      </c>
      <c r="V163" s="382">
        <v>4879</v>
      </c>
      <c r="W163" s="382">
        <v>131.82</v>
      </c>
      <c r="X163" s="382">
        <v>123</v>
      </c>
      <c r="Y163" s="382">
        <v>0</v>
      </c>
      <c r="Z163" s="382">
        <v>309</v>
      </c>
      <c r="AA163" s="382">
        <v>195</v>
      </c>
      <c r="AB163" s="382">
        <v>34</v>
      </c>
      <c r="AC163" s="382">
        <v>27</v>
      </c>
      <c r="AD163" s="386">
        <v>49900</v>
      </c>
      <c r="AE163" s="386">
        <v>340</v>
      </c>
      <c r="AF163" s="386">
        <v>445</v>
      </c>
      <c r="AG163" s="386">
        <v>785</v>
      </c>
    </row>
    <row r="164" spans="1:33" x14ac:dyDescent="0.25">
      <c r="A164" s="381" t="s">
        <v>388</v>
      </c>
      <c r="B164" s="387" t="s">
        <v>389</v>
      </c>
      <c r="C164" s="383">
        <v>3595</v>
      </c>
      <c r="D164" s="383">
        <v>5</v>
      </c>
      <c r="E164" s="383">
        <v>294</v>
      </c>
      <c r="F164" s="383">
        <v>330</v>
      </c>
      <c r="G164" s="383">
        <v>200</v>
      </c>
      <c r="H164" s="383">
        <v>4424</v>
      </c>
      <c r="I164" s="382">
        <v>4224</v>
      </c>
      <c r="J164" s="382">
        <v>5</v>
      </c>
      <c r="K164" s="384">
        <v>102.91</v>
      </c>
      <c r="L164" s="384">
        <v>101.55</v>
      </c>
      <c r="M164" s="384">
        <v>6.31</v>
      </c>
      <c r="N164" s="384">
        <v>107.44</v>
      </c>
      <c r="O164" s="385">
        <v>2846</v>
      </c>
      <c r="P164" s="382">
        <v>101.51</v>
      </c>
      <c r="Q164" s="382">
        <v>98.05</v>
      </c>
      <c r="R164" s="382">
        <v>36.61</v>
      </c>
      <c r="S164" s="382">
        <v>136.80000000000001</v>
      </c>
      <c r="T164" s="382">
        <v>417</v>
      </c>
      <c r="U164" s="382">
        <v>128.57</v>
      </c>
      <c r="V164" s="382">
        <v>302</v>
      </c>
      <c r="W164" s="382">
        <v>0</v>
      </c>
      <c r="X164" s="382">
        <v>0</v>
      </c>
      <c r="Y164" s="382">
        <v>0</v>
      </c>
      <c r="Z164" s="382">
        <v>2</v>
      </c>
      <c r="AA164" s="382">
        <v>1</v>
      </c>
      <c r="AB164" s="382">
        <v>18</v>
      </c>
      <c r="AC164" s="382">
        <v>8</v>
      </c>
      <c r="AD164" s="386">
        <v>3236</v>
      </c>
      <c r="AE164" s="386">
        <v>7</v>
      </c>
      <c r="AF164" s="386">
        <v>6</v>
      </c>
      <c r="AG164" s="386">
        <v>13</v>
      </c>
    </row>
    <row r="165" spans="1:33" x14ac:dyDescent="0.25">
      <c r="A165" s="381" t="s">
        <v>390</v>
      </c>
      <c r="B165" s="387" t="s">
        <v>391</v>
      </c>
      <c r="C165" s="383">
        <v>7574</v>
      </c>
      <c r="D165" s="383">
        <v>0</v>
      </c>
      <c r="E165" s="383">
        <v>260</v>
      </c>
      <c r="F165" s="383">
        <v>1132</v>
      </c>
      <c r="G165" s="383">
        <v>694</v>
      </c>
      <c r="H165" s="383">
        <v>9660</v>
      </c>
      <c r="I165" s="382">
        <v>8966</v>
      </c>
      <c r="J165" s="382">
        <v>3</v>
      </c>
      <c r="K165" s="384">
        <v>97.37</v>
      </c>
      <c r="L165" s="384">
        <v>100.72</v>
      </c>
      <c r="M165" s="384">
        <v>5.43</v>
      </c>
      <c r="N165" s="384">
        <v>101.54</v>
      </c>
      <c r="O165" s="385">
        <v>6102</v>
      </c>
      <c r="P165" s="382">
        <v>87.6</v>
      </c>
      <c r="Q165" s="382">
        <v>90.36</v>
      </c>
      <c r="R165" s="382">
        <v>16.739999999999998</v>
      </c>
      <c r="S165" s="382">
        <v>104.22</v>
      </c>
      <c r="T165" s="382">
        <v>1244</v>
      </c>
      <c r="U165" s="382">
        <v>157.43</v>
      </c>
      <c r="V165" s="382">
        <v>1117</v>
      </c>
      <c r="W165" s="382">
        <v>213.73</v>
      </c>
      <c r="X165" s="382">
        <v>63</v>
      </c>
      <c r="Y165" s="382">
        <v>2</v>
      </c>
      <c r="Z165" s="382">
        <v>15</v>
      </c>
      <c r="AA165" s="382">
        <v>1</v>
      </c>
      <c r="AB165" s="382">
        <v>42</v>
      </c>
      <c r="AC165" s="382">
        <v>20</v>
      </c>
      <c r="AD165" s="386">
        <v>7160</v>
      </c>
      <c r="AE165" s="386">
        <v>6</v>
      </c>
      <c r="AF165" s="386">
        <v>30</v>
      </c>
      <c r="AG165" s="386">
        <v>36</v>
      </c>
    </row>
    <row r="166" spans="1:33" x14ac:dyDescent="0.25">
      <c r="A166" s="381" t="s">
        <v>392</v>
      </c>
      <c r="B166" s="387" t="s">
        <v>393</v>
      </c>
      <c r="C166" s="383">
        <v>2178</v>
      </c>
      <c r="D166" s="383">
        <v>0</v>
      </c>
      <c r="E166" s="383">
        <v>28</v>
      </c>
      <c r="F166" s="383">
        <v>811</v>
      </c>
      <c r="G166" s="383">
        <v>59</v>
      </c>
      <c r="H166" s="383">
        <v>3076</v>
      </c>
      <c r="I166" s="382">
        <v>3017</v>
      </c>
      <c r="J166" s="382">
        <v>0</v>
      </c>
      <c r="K166" s="384">
        <v>104.27</v>
      </c>
      <c r="L166" s="384">
        <v>100.47</v>
      </c>
      <c r="M166" s="384">
        <v>4.5999999999999996</v>
      </c>
      <c r="N166" s="384">
        <v>107.34</v>
      </c>
      <c r="O166" s="385">
        <v>1947</v>
      </c>
      <c r="P166" s="382">
        <v>88.34</v>
      </c>
      <c r="Q166" s="382">
        <v>84.75</v>
      </c>
      <c r="R166" s="382">
        <v>13.46</v>
      </c>
      <c r="S166" s="382">
        <v>101.69</v>
      </c>
      <c r="T166" s="382">
        <v>765</v>
      </c>
      <c r="U166" s="382">
        <v>133.4</v>
      </c>
      <c r="V166" s="382">
        <v>223</v>
      </c>
      <c r="W166" s="382">
        <v>115.07</v>
      </c>
      <c r="X166" s="382">
        <v>1</v>
      </c>
      <c r="Y166" s="382">
        <v>0</v>
      </c>
      <c r="Z166" s="382">
        <v>0</v>
      </c>
      <c r="AA166" s="382">
        <v>0</v>
      </c>
      <c r="AB166" s="382">
        <v>0</v>
      </c>
      <c r="AC166" s="382">
        <v>1</v>
      </c>
      <c r="AD166" s="386">
        <v>2178</v>
      </c>
      <c r="AE166" s="386">
        <v>11</v>
      </c>
      <c r="AF166" s="386">
        <v>5</v>
      </c>
      <c r="AG166" s="386">
        <v>16</v>
      </c>
    </row>
    <row r="167" spans="1:33" x14ac:dyDescent="0.25">
      <c r="A167" s="381" t="s">
        <v>394</v>
      </c>
      <c r="B167" s="387" t="s">
        <v>395</v>
      </c>
      <c r="C167" s="383">
        <v>4101</v>
      </c>
      <c r="D167" s="383">
        <v>0</v>
      </c>
      <c r="E167" s="383">
        <v>62</v>
      </c>
      <c r="F167" s="383">
        <v>590</v>
      </c>
      <c r="G167" s="383">
        <v>321</v>
      </c>
      <c r="H167" s="383">
        <v>5074</v>
      </c>
      <c r="I167" s="382">
        <v>4753</v>
      </c>
      <c r="J167" s="382">
        <v>7</v>
      </c>
      <c r="K167" s="384">
        <v>97.5</v>
      </c>
      <c r="L167" s="384">
        <v>97.35</v>
      </c>
      <c r="M167" s="384">
        <v>3.55</v>
      </c>
      <c r="N167" s="384">
        <v>100.72</v>
      </c>
      <c r="O167" s="385">
        <v>3796</v>
      </c>
      <c r="P167" s="382">
        <v>91.2</v>
      </c>
      <c r="Q167" s="382">
        <v>93.23</v>
      </c>
      <c r="R167" s="382">
        <v>25.56</v>
      </c>
      <c r="S167" s="382">
        <v>116.5</v>
      </c>
      <c r="T167" s="382">
        <v>604</v>
      </c>
      <c r="U167" s="382">
        <v>115.23</v>
      </c>
      <c r="V167" s="382">
        <v>231</v>
      </c>
      <c r="W167" s="382">
        <v>160.91999999999999</v>
      </c>
      <c r="X167" s="382">
        <v>45</v>
      </c>
      <c r="Y167" s="382">
        <v>0</v>
      </c>
      <c r="Z167" s="382">
        <v>5</v>
      </c>
      <c r="AA167" s="382">
        <v>0</v>
      </c>
      <c r="AB167" s="382">
        <v>17</v>
      </c>
      <c r="AC167" s="382">
        <v>6</v>
      </c>
      <c r="AD167" s="386">
        <v>4100</v>
      </c>
      <c r="AE167" s="386">
        <v>2</v>
      </c>
      <c r="AF167" s="386">
        <v>11</v>
      </c>
      <c r="AG167" s="386">
        <v>13</v>
      </c>
    </row>
    <row r="168" spans="1:33" x14ac:dyDescent="0.25">
      <c r="A168" s="381" t="s">
        <v>396</v>
      </c>
      <c r="B168" s="387" t="s">
        <v>397</v>
      </c>
      <c r="C168" s="383">
        <v>46492</v>
      </c>
      <c r="D168" s="383">
        <v>47</v>
      </c>
      <c r="E168" s="383">
        <v>1551</v>
      </c>
      <c r="F168" s="383">
        <v>3264</v>
      </c>
      <c r="G168" s="383">
        <v>1196</v>
      </c>
      <c r="H168" s="383">
        <v>52550</v>
      </c>
      <c r="I168" s="382">
        <v>51354</v>
      </c>
      <c r="J168" s="382">
        <v>5</v>
      </c>
      <c r="K168" s="384">
        <v>82.54</v>
      </c>
      <c r="L168" s="384">
        <v>83.38</v>
      </c>
      <c r="M168" s="384">
        <v>4.53</v>
      </c>
      <c r="N168" s="384">
        <v>84.19</v>
      </c>
      <c r="O168" s="385">
        <v>43236</v>
      </c>
      <c r="P168" s="382">
        <v>82.7</v>
      </c>
      <c r="Q168" s="382">
        <v>74.41</v>
      </c>
      <c r="R168" s="382">
        <v>37.07</v>
      </c>
      <c r="S168" s="382">
        <v>117.25</v>
      </c>
      <c r="T168" s="382">
        <v>4348</v>
      </c>
      <c r="U168" s="382">
        <v>107.45</v>
      </c>
      <c r="V168" s="382">
        <v>2269</v>
      </c>
      <c r="W168" s="382">
        <v>137.29</v>
      </c>
      <c r="X168" s="382">
        <v>1</v>
      </c>
      <c r="Y168" s="382">
        <v>202</v>
      </c>
      <c r="Z168" s="382">
        <v>222</v>
      </c>
      <c r="AA168" s="382">
        <v>9</v>
      </c>
      <c r="AB168" s="382">
        <v>64</v>
      </c>
      <c r="AC168" s="382">
        <v>48</v>
      </c>
      <c r="AD168" s="386">
        <v>45601</v>
      </c>
      <c r="AE168" s="386">
        <v>120</v>
      </c>
      <c r="AF168" s="386">
        <v>191</v>
      </c>
      <c r="AG168" s="386">
        <v>311</v>
      </c>
    </row>
    <row r="169" spans="1:33" x14ac:dyDescent="0.25">
      <c r="A169" s="381" t="s">
        <v>398</v>
      </c>
      <c r="B169" s="387" t="s">
        <v>399</v>
      </c>
      <c r="C169" s="383">
        <v>1737</v>
      </c>
      <c r="D169" s="383">
        <v>0</v>
      </c>
      <c r="E169" s="383">
        <v>373</v>
      </c>
      <c r="F169" s="383">
        <v>81</v>
      </c>
      <c r="G169" s="383">
        <v>89</v>
      </c>
      <c r="H169" s="383">
        <v>2280</v>
      </c>
      <c r="I169" s="382">
        <v>2191</v>
      </c>
      <c r="J169" s="382">
        <v>1</v>
      </c>
      <c r="K169" s="384">
        <v>82.3</v>
      </c>
      <c r="L169" s="384">
        <v>80.430000000000007</v>
      </c>
      <c r="M169" s="384">
        <v>6.22</v>
      </c>
      <c r="N169" s="384">
        <v>85.28</v>
      </c>
      <c r="O169" s="385">
        <v>1671</v>
      </c>
      <c r="P169" s="382">
        <v>98.79</v>
      </c>
      <c r="Q169" s="382">
        <v>74.97</v>
      </c>
      <c r="R169" s="382">
        <v>50.35</v>
      </c>
      <c r="S169" s="382">
        <v>147.01</v>
      </c>
      <c r="T169" s="382">
        <v>308</v>
      </c>
      <c r="U169" s="382">
        <v>92.98</v>
      </c>
      <c r="V169" s="382">
        <v>53</v>
      </c>
      <c r="W169" s="382">
        <v>0</v>
      </c>
      <c r="X169" s="382">
        <v>0</v>
      </c>
      <c r="Y169" s="382">
        <v>0</v>
      </c>
      <c r="Z169" s="382">
        <v>11</v>
      </c>
      <c r="AA169" s="382">
        <v>13</v>
      </c>
      <c r="AB169" s="382">
        <v>4</v>
      </c>
      <c r="AC169" s="382">
        <v>4</v>
      </c>
      <c r="AD169" s="386">
        <v>1723</v>
      </c>
      <c r="AE169" s="386">
        <v>5</v>
      </c>
      <c r="AF169" s="386">
        <v>17</v>
      </c>
      <c r="AG169" s="386">
        <v>22</v>
      </c>
    </row>
    <row r="170" spans="1:33" x14ac:dyDescent="0.25">
      <c r="A170" s="381" t="s">
        <v>400</v>
      </c>
      <c r="B170" s="387" t="s">
        <v>401</v>
      </c>
      <c r="C170" s="383">
        <v>3971</v>
      </c>
      <c r="D170" s="383">
        <v>0</v>
      </c>
      <c r="E170" s="383">
        <v>382</v>
      </c>
      <c r="F170" s="383">
        <v>678</v>
      </c>
      <c r="G170" s="383">
        <v>1131</v>
      </c>
      <c r="H170" s="383">
        <v>6162</v>
      </c>
      <c r="I170" s="382">
        <v>5031</v>
      </c>
      <c r="J170" s="382">
        <v>2</v>
      </c>
      <c r="K170" s="384">
        <v>100.98</v>
      </c>
      <c r="L170" s="384">
        <v>98.12</v>
      </c>
      <c r="M170" s="384">
        <v>7.14</v>
      </c>
      <c r="N170" s="384">
        <v>106.66</v>
      </c>
      <c r="O170" s="385">
        <v>2994</v>
      </c>
      <c r="P170" s="382">
        <v>92.37</v>
      </c>
      <c r="Q170" s="382">
        <v>88.17</v>
      </c>
      <c r="R170" s="382">
        <v>36.840000000000003</v>
      </c>
      <c r="S170" s="382">
        <v>128.88999999999999</v>
      </c>
      <c r="T170" s="382">
        <v>791</v>
      </c>
      <c r="U170" s="382">
        <v>127.3</v>
      </c>
      <c r="V170" s="382">
        <v>595</v>
      </c>
      <c r="W170" s="382">
        <v>163.53</v>
      </c>
      <c r="X170" s="382">
        <v>61</v>
      </c>
      <c r="Y170" s="382">
        <v>30</v>
      </c>
      <c r="Z170" s="382">
        <v>4</v>
      </c>
      <c r="AA170" s="382">
        <v>2</v>
      </c>
      <c r="AB170" s="382">
        <v>21</v>
      </c>
      <c r="AC170" s="382">
        <v>33</v>
      </c>
      <c r="AD170" s="386">
        <v>3606</v>
      </c>
      <c r="AE170" s="386">
        <v>14</v>
      </c>
      <c r="AF170" s="386">
        <v>12</v>
      </c>
      <c r="AG170" s="386">
        <v>26</v>
      </c>
    </row>
    <row r="171" spans="1:33" x14ac:dyDescent="0.25">
      <c r="A171" s="381" t="s">
        <v>402</v>
      </c>
      <c r="B171" s="387" t="s">
        <v>403</v>
      </c>
      <c r="C171" s="383">
        <v>513</v>
      </c>
      <c r="D171" s="383">
        <v>0</v>
      </c>
      <c r="E171" s="383">
        <v>66</v>
      </c>
      <c r="F171" s="383">
        <v>76</v>
      </c>
      <c r="G171" s="383">
        <v>159</v>
      </c>
      <c r="H171" s="383">
        <v>814</v>
      </c>
      <c r="I171" s="382">
        <v>655</v>
      </c>
      <c r="J171" s="382">
        <v>3</v>
      </c>
      <c r="K171" s="384">
        <v>93.04</v>
      </c>
      <c r="L171" s="384">
        <v>89.62</v>
      </c>
      <c r="M171" s="384">
        <v>3.04</v>
      </c>
      <c r="N171" s="384">
        <v>95.24</v>
      </c>
      <c r="O171" s="385">
        <v>426</v>
      </c>
      <c r="P171" s="382">
        <v>80.06</v>
      </c>
      <c r="Q171" s="382">
        <v>80.53</v>
      </c>
      <c r="R171" s="382">
        <v>60.26</v>
      </c>
      <c r="S171" s="382">
        <v>139.9</v>
      </c>
      <c r="T171" s="382">
        <v>142</v>
      </c>
      <c r="U171" s="382">
        <v>101.74</v>
      </c>
      <c r="V171" s="382">
        <v>65</v>
      </c>
      <c r="W171" s="382">
        <v>0</v>
      </c>
      <c r="X171" s="382">
        <v>0</v>
      </c>
      <c r="Y171" s="382">
        <v>0</v>
      </c>
      <c r="Z171" s="382">
        <v>3</v>
      </c>
      <c r="AA171" s="382">
        <v>0</v>
      </c>
      <c r="AB171" s="382">
        <v>7</v>
      </c>
      <c r="AC171" s="382">
        <v>2</v>
      </c>
      <c r="AD171" s="386">
        <v>512</v>
      </c>
      <c r="AE171" s="386">
        <v>9</v>
      </c>
      <c r="AF171" s="386">
        <v>1</v>
      </c>
      <c r="AG171" s="386">
        <v>10</v>
      </c>
    </row>
    <row r="172" spans="1:33" x14ac:dyDescent="0.25">
      <c r="A172" s="381" t="s">
        <v>404</v>
      </c>
      <c r="B172" s="387" t="s">
        <v>405</v>
      </c>
      <c r="C172" s="383">
        <v>4993</v>
      </c>
      <c r="D172" s="383">
        <v>0</v>
      </c>
      <c r="E172" s="383">
        <v>434</v>
      </c>
      <c r="F172" s="383">
        <v>921</v>
      </c>
      <c r="G172" s="383">
        <v>372</v>
      </c>
      <c r="H172" s="383">
        <v>6720</v>
      </c>
      <c r="I172" s="382">
        <v>6348</v>
      </c>
      <c r="J172" s="382">
        <v>0</v>
      </c>
      <c r="K172" s="384">
        <v>94.28</v>
      </c>
      <c r="L172" s="384">
        <v>93.73</v>
      </c>
      <c r="M172" s="384">
        <v>3.43</v>
      </c>
      <c r="N172" s="384">
        <v>95.94</v>
      </c>
      <c r="O172" s="385">
        <v>4155</v>
      </c>
      <c r="P172" s="382">
        <v>86.24</v>
      </c>
      <c r="Q172" s="382">
        <v>80.72</v>
      </c>
      <c r="R172" s="382">
        <v>23.4</v>
      </c>
      <c r="S172" s="382">
        <v>108.26</v>
      </c>
      <c r="T172" s="382">
        <v>1167</v>
      </c>
      <c r="U172" s="382">
        <v>114.78</v>
      </c>
      <c r="V172" s="382">
        <v>700</v>
      </c>
      <c r="W172" s="382">
        <v>114.73</v>
      </c>
      <c r="X172" s="382">
        <v>31</v>
      </c>
      <c r="Y172" s="382">
        <v>0</v>
      </c>
      <c r="Z172" s="382">
        <v>10</v>
      </c>
      <c r="AA172" s="382">
        <v>0</v>
      </c>
      <c r="AB172" s="382">
        <v>21</v>
      </c>
      <c r="AC172" s="382">
        <v>5</v>
      </c>
      <c r="AD172" s="386">
        <v>4862</v>
      </c>
      <c r="AE172" s="386">
        <v>6</v>
      </c>
      <c r="AF172" s="386">
        <v>17</v>
      </c>
      <c r="AG172" s="386">
        <v>23</v>
      </c>
    </row>
    <row r="173" spans="1:33" x14ac:dyDescent="0.25">
      <c r="A173" s="381" t="s">
        <v>406</v>
      </c>
      <c r="B173" s="387" t="s">
        <v>407</v>
      </c>
      <c r="C173" s="383">
        <v>10078</v>
      </c>
      <c r="D173" s="383">
        <v>4</v>
      </c>
      <c r="E173" s="383">
        <v>420</v>
      </c>
      <c r="F173" s="383">
        <v>808</v>
      </c>
      <c r="G173" s="383">
        <v>642</v>
      </c>
      <c r="H173" s="383">
        <v>11952</v>
      </c>
      <c r="I173" s="382">
        <v>11310</v>
      </c>
      <c r="J173" s="382">
        <v>27</v>
      </c>
      <c r="K173" s="384">
        <v>115.12</v>
      </c>
      <c r="L173" s="384">
        <v>114.82</v>
      </c>
      <c r="M173" s="384">
        <v>6.51</v>
      </c>
      <c r="N173" s="384">
        <v>121.34</v>
      </c>
      <c r="O173" s="385">
        <v>8808</v>
      </c>
      <c r="P173" s="382">
        <v>108.46</v>
      </c>
      <c r="Q173" s="382">
        <v>106.47</v>
      </c>
      <c r="R173" s="382">
        <v>30.62</v>
      </c>
      <c r="S173" s="382">
        <v>138.97999999999999</v>
      </c>
      <c r="T173" s="382">
        <v>931</v>
      </c>
      <c r="U173" s="382">
        <v>148.74</v>
      </c>
      <c r="V173" s="382">
        <v>1122</v>
      </c>
      <c r="W173" s="382">
        <v>271.95999999999998</v>
      </c>
      <c r="X173" s="382">
        <v>27</v>
      </c>
      <c r="Y173" s="382">
        <v>0</v>
      </c>
      <c r="Z173" s="382">
        <v>54</v>
      </c>
      <c r="AA173" s="382">
        <v>0</v>
      </c>
      <c r="AB173" s="382">
        <v>22</v>
      </c>
      <c r="AC173" s="382">
        <v>14</v>
      </c>
      <c r="AD173" s="386">
        <v>9998</v>
      </c>
      <c r="AE173" s="386">
        <v>16</v>
      </c>
      <c r="AF173" s="386">
        <v>37</v>
      </c>
      <c r="AG173" s="386">
        <v>53</v>
      </c>
    </row>
    <row r="174" spans="1:33" x14ac:dyDescent="0.25">
      <c r="A174" s="381" t="s">
        <v>408</v>
      </c>
      <c r="B174" s="387" t="s">
        <v>409</v>
      </c>
      <c r="C174" s="383">
        <v>984</v>
      </c>
      <c r="D174" s="383">
        <v>0</v>
      </c>
      <c r="E174" s="383">
        <v>38</v>
      </c>
      <c r="F174" s="383">
        <v>284</v>
      </c>
      <c r="G174" s="383">
        <v>221</v>
      </c>
      <c r="H174" s="383">
        <v>1527</v>
      </c>
      <c r="I174" s="382">
        <v>1306</v>
      </c>
      <c r="J174" s="382">
        <v>0</v>
      </c>
      <c r="K174" s="384">
        <v>88.3</v>
      </c>
      <c r="L174" s="384">
        <v>85.67</v>
      </c>
      <c r="M174" s="384">
        <v>7.07</v>
      </c>
      <c r="N174" s="384">
        <v>94.41</v>
      </c>
      <c r="O174" s="385">
        <v>768</v>
      </c>
      <c r="P174" s="382">
        <v>80.53</v>
      </c>
      <c r="Q174" s="382">
        <v>75.69</v>
      </c>
      <c r="R174" s="382">
        <v>38.17</v>
      </c>
      <c r="S174" s="382">
        <v>118.21</v>
      </c>
      <c r="T174" s="382">
        <v>156</v>
      </c>
      <c r="U174" s="382">
        <v>115.14</v>
      </c>
      <c r="V174" s="382">
        <v>121</v>
      </c>
      <c r="W174" s="382">
        <v>0</v>
      </c>
      <c r="X174" s="382">
        <v>0</v>
      </c>
      <c r="Y174" s="382">
        <v>22</v>
      </c>
      <c r="Z174" s="382">
        <v>0</v>
      </c>
      <c r="AA174" s="382">
        <v>0</v>
      </c>
      <c r="AB174" s="382">
        <v>7</v>
      </c>
      <c r="AC174" s="382">
        <v>2</v>
      </c>
      <c r="AD174" s="386">
        <v>887</v>
      </c>
      <c r="AE174" s="386">
        <v>1</v>
      </c>
      <c r="AF174" s="386">
        <v>5</v>
      </c>
      <c r="AG174" s="386">
        <v>6</v>
      </c>
    </row>
    <row r="175" spans="1:33" x14ac:dyDescent="0.25">
      <c r="A175" s="381" t="s">
        <v>410</v>
      </c>
      <c r="B175" s="387" t="s">
        <v>411</v>
      </c>
      <c r="C175" s="383">
        <v>1256</v>
      </c>
      <c r="D175" s="383">
        <v>0</v>
      </c>
      <c r="E175" s="383">
        <v>115</v>
      </c>
      <c r="F175" s="383">
        <v>210</v>
      </c>
      <c r="G175" s="383">
        <v>284</v>
      </c>
      <c r="H175" s="383">
        <v>1865</v>
      </c>
      <c r="I175" s="382">
        <v>1581</v>
      </c>
      <c r="J175" s="382">
        <v>3</v>
      </c>
      <c r="K175" s="384">
        <v>94.59</v>
      </c>
      <c r="L175" s="384">
        <v>94.21</v>
      </c>
      <c r="M175" s="384">
        <v>4.13</v>
      </c>
      <c r="N175" s="384">
        <v>97.43</v>
      </c>
      <c r="O175" s="385">
        <v>908</v>
      </c>
      <c r="P175" s="382">
        <v>86.45</v>
      </c>
      <c r="Q175" s="382">
        <v>80.150000000000006</v>
      </c>
      <c r="R175" s="382">
        <v>34.47</v>
      </c>
      <c r="S175" s="382">
        <v>120.68</v>
      </c>
      <c r="T175" s="382">
        <v>291</v>
      </c>
      <c r="U175" s="382">
        <v>111.16</v>
      </c>
      <c r="V175" s="382">
        <v>314</v>
      </c>
      <c r="W175" s="382">
        <v>116.8</v>
      </c>
      <c r="X175" s="382">
        <v>1</v>
      </c>
      <c r="Y175" s="382">
        <v>0</v>
      </c>
      <c r="Z175" s="382">
        <v>0</v>
      </c>
      <c r="AA175" s="382">
        <v>0</v>
      </c>
      <c r="AB175" s="382">
        <v>0</v>
      </c>
      <c r="AC175" s="382">
        <v>1</v>
      </c>
      <c r="AD175" s="386">
        <v>1247</v>
      </c>
      <c r="AE175" s="386">
        <v>3</v>
      </c>
      <c r="AF175" s="386">
        <v>3</v>
      </c>
      <c r="AG175" s="386">
        <v>6</v>
      </c>
    </row>
    <row r="176" spans="1:33" x14ac:dyDescent="0.25">
      <c r="A176" s="381" t="s">
        <v>412</v>
      </c>
      <c r="B176" s="387" t="s">
        <v>413</v>
      </c>
      <c r="C176" s="383">
        <v>5672</v>
      </c>
      <c r="D176" s="383">
        <v>3</v>
      </c>
      <c r="E176" s="383">
        <v>141</v>
      </c>
      <c r="F176" s="383">
        <v>864</v>
      </c>
      <c r="G176" s="383">
        <v>625</v>
      </c>
      <c r="H176" s="383">
        <v>7305</v>
      </c>
      <c r="I176" s="382">
        <v>6680</v>
      </c>
      <c r="J176" s="382">
        <v>7</v>
      </c>
      <c r="K176" s="384">
        <v>117.85</v>
      </c>
      <c r="L176" s="384">
        <v>117.62</v>
      </c>
      <c r="M176" s="384">
        <v>5.87</v>
      </c>
      <c r="N176" s="384">
        <v>122.03</v>
      </c>
      <c r="O176" s="385">
        <v>4176</v>
      </c>
      <c r="P176" s="382">
        <v>103.12</v>
      </c>
      <c r="Q176" s="382">
        <v>100.97</v>
      </c>
      <c r="R176" s="382">
        <v>44.11</v>
      </c>
      <c r="S176" s="382">
        <v>141.96</v>
      </c>
      <c r="T176" s="382">
        <v>830</v>
      </c>
      <c r="U176" s="382">
        <v>162.36000000000001</v>
      </c>
      <c r="V176" s="382">
        <v>1149</v>
      </c>
      <c r="W176" s="382">
        <v>0</v>
      </c>
      <c r="X176" s="382">
        <v>0</v>
      </c>
      <c r="Y176" s="382">
        <v>0</v>
      </c>
      <c r="Z176" s="382">
        <v>4</v>
      </c>
      <c r="AA176" s="382">
        <v>0</v>
      </c>
      <c r="AB176" s="382">
        <v>52</v>
      </c>
      <c r="AC176" s="382">
        <v>24</v>
      </c>
      <c r="AD176" s="386">
        <v>5375</v>
      </c>
      <c r="AE176" s="386">
        <v>50</v>
      </c>
      <c r="AF176" s="386">
        <v>31</v>
      </c>
      <c r="AG176" s="386">
        <v>81</v>
      </c>
    </row>
    <row r="177" spans="1:33" x14ac:dyDescent="0.25">
      <c r="A177" s="381" t="s">
        <v>414</v>
      </c>
      <c r="B177" s="387" t="s">
        <v>415</v>
      </c>
      <c r="C177" s="383">
        <v>13164</v>
      </c>
      <c r="D177" s="383">
        <v>7</v>
      </c>
      <c r="E177" s="383">
        <v>526</v>
      </c>
      <c r="F177" s="383">
        <v>1517</v>
      </c>
      <c r="G177" s="383">
        <v>260</v>
      </c>
      <c r="H177" s="383">
        <v>15474</v>
      </c>
      <c r="I177" s="382">
        <v>15214</v>
      </c>
      <c r="J177" s="382">
        <v>45</v>
      </c>
      <c r="K177" s="384">
        <v>86.76</v>
      </c>
      <c r="L177" s="384">
        <v>85.81</v>
      </c>
      <c r="M177" s="384">
        <v>7.8</v>
      </c>
      <c r="N177" s="384">
        <v>89.18</v>
      </c>
      <c r="O177" s="385">
        <v>12516</v>
      </c>
      <c r="P177" s="382">
        <v>87.71</v>
      </c>
      <c r="Q177" s="382">
        <v>84.34</v>
      </c>
      <c r="R177" s="382">
        <v>51.81</v>
      </c>
      <c r="S177" s="382">
        <v>127.93</v>
      </c>
      <c r="T177" s="382">
        <v>1926</v>
      </c>
      <c r="U177" s="382">
        <v>94.98</v>
      </c>
      <c r="V177" s="382">
        <v>485</v>
      </c>
      <c r="W177" s="382">
        <v>159.86000000000001</v>
      </c>
      <c r="X177" s="382">
        <v>98</v>
      </c>
      <c r="Y177" s="382">
        <v>0</v>
      </c>
      <c r="Z177" s="382">
        <v>58</v>
      </c>
      <c r="AA177" s="382">
        <v>15</v>
      </c>
      <c r="AB177" s="382">
        <v>0</v>
      </c>
      <c r="AC177" s="382">
        <v>2</v>
      </c>
      <c r="AD177" s="386">
        <v>13135</v>
      </c>
      <c r="AE177" s="386">
        <v>163</v>
      </c>
      <c r="AF177" s="386">
        <v>55</v>
      </c>
      <c r="AG177" s="386">
        <v>218</v>
      </c>
    </row>
    <row r="178" spans="1:33" x14ac:dyDescent="0.25">
      <c r="A178" s="381" t="s">
        <v>416</v>
      </c>
      <c r="B178" s="387" t="s">
        <v>417</v>
      </c>
      <c r="C178" s="383">
        <v>8023</v>
      </c>
      <c r="D178" s="383">
        <v>48</v>
      </c>
      <c r="E178" s="383">
        <v>448</v>
      </c>
      <c r="F178" s="383">
        <v>587</v>
      </c>
      <c r="G178" s="383">
        <v>4891</v>
      </c>
      <c r="H178" s="383">
        <v>13997</v>
      </c>
      <c r="I178" s="382">
        <v>9106</v>
      </c>
      <c r="J178" s="382">
        <v>39</v>
      </c>
      <c r="K178" s="384">
        <v>99.38</v>
      </c>
      <c r="L178" s="384">
        <v>96.98</v>
      </c>
      <c r="M178" s="384">
        <v>5.76</v>
      </c>
      <c r="N178" s="384">
        <v>103.21</v>
      </c>
      <c r="O178" s="385">
        <v>6238</v>
      </c>
      <c r="P178" s="382">
        <v>103.54</v>
      </c>
      <c r="Q178" s="382">
        <v>97.73</v>
      </c>
      <c r="R178" s="382">
        <v>40.229999999999997</v>
      </c>
      <c r="S178" s="382">
        <v>141.78</v>
      </c>
      <c r="T178" s="382">
        <v>870</v>
      </c>
      <c r="U178" s="382">
        <v>131.72999999999999</v>
      </c>
      <c r="V178" s="382">
        <v>932</v>
      </c>
      <c r="W178" s="382">
        <v>125.32</v>
      </c>
      <c r="X178" s="382">
        <v>9</v>
      </c>
      <c r="Y178" s="382">
        <v>4</v>
      </c>
      <c r="Z178" s="382">
        <v>5</v>
      </c>
      <c r="AA178" s="382">
        <v>0</v>
      </c>
      <c r="AB178" s="382">
        <v>154</v>
      </c>
      <c r="AC178" s="382">
        <v>69</v>
      </c>
      <c r="AD178" s="386">
        <v>7827</v>
      </c>
      <c r="AE178" s="386">
        <v>25</v>
      </c>
      <c r="AF178" s="386">
        <v>29</v>
      </c>
      <c r="AG178" s="386">
        <v>54</v>
      </c>
    </row>
    <row r="179" spans="1:33" x14ac:dyDescent="0.25">
      <c r="A179" s="381" t="s">
        <v>418</v>
      </c>
      <c r="B179" s="387" t="s">
        <v>419</v>
      </c>
      <c r="C179" s="383">
        <v>3562</v>
      </c>
      <c r="D179" s="383">
        <v>11</v>
      </c>
      <c r="E179" s="383">
        <v>178</v>
      </c>
      <c r="F179" s="383">
        <v>624</v>
      </c>
      <c r="G179" s="383">
        <v>288</v>
      </c>
      <c r="H179" s="383">
        <v>4663</v>
      </c>
      <c r="I179" s="382">
        <v>4375</v>
      </c>
      <c r="J179" s="382">
        <v>0</v>
      </c>
      <c r="K179" s="384">
        <v>113.34</v>
      </c>
      <c r="L179" s="384">
        <v>112.96</v>
      </c>
      <c r="M179" s="384">
        <v>3.54</v>
      </c>
      <c r="N179" s="384">
        <v>116.77</v>
      </c>
      <c r="O179" s="385">
        <v>3080</v>
      </c>
      <c r="P179" s="382">
        <v>97.58</v>
      </c>
      <c r="Q179" s="382">
        <v>96.36</v>
      </c>
      <c r="R179" s="382">
        <v>26.12</v>
      </c>
      <c r="S179" s="382">
        <v>123.71</v>
      </c>
      <c r="T179" s="382">
        <v>650</v>
      </c>
      <c r="U179" s="382">
        <v>152.28</v>
      </c>
      <c r="V179" s="382">
        <v>444</v>
      </c>
      <c r="W179" s="382">
        <v>0</v>
      </c>
      <c r="X179" s="382">
        <v>0</v>
      </c>
      <c r="Y179" s="382">
        <v>0</v>
      </c>
      <c r="Z179" s="382">
        <v>13</v>
      </c>
      <c r="AA179" s="382">
        <v>1</v>
      </c>
      <c r="AB179" s="382">
        <v>0</v>
      </c>
      <c r="AC179" s="382">
        <v>15</v>
      </c>
      <c r="AD179" s="386">
        <v>3529</v>
      </c>
      <c r="AE179" s="386">
        <v>35</v>
      </c>
      <c r="AF179" s="386">
        <v>16</v>
      </c>
      <c r="AG179" s="386">
        <v>51</v>
      </c>
    </row>
    <row r="180" spans="1:33" x14ac:dyDescent="0.25">
      <c r="A180" s="381" t="s">
        <v>420</v>
      </c>
      <c r="B180" s="387" t="s">
        <v>421</v>
      </c>
      <c r="C180" s="383">
        <v>2735</v>
      </c>
      <c r="D180" s="383">
        <v>8</v>
      </c>
      <c r="E180" s="383">
        <v>288</v>
      </c>
      <c r="F180" s="383">
        <v>385</v>
      </c>
      <c r="G180" s="383">
        <v>337</v>
      </c>
      <c r="H180" s="383">
        <v>3753</v>
      </c>
      <c r="I180" s="382">
        <v>3416</v>
      </c>
      <c r="J180" s="382">
        <v>0</v>
      </c>
      <c r="K180" s="384">
        <v>0</v>
      </c>
      <c r="L180" s="384">
        <v>113.02</v>
      </c>
      <c r="M180" s="384">
        <v>0</v>
      </c>
      <c r="N180" s="384">
        <v>0</v>
      </c>
      <c r="O180" s="385">
        <v>2382</v>
      </c>
      <c r="P180" s="382">
        <v>0</v>
      </c>
      <c r="Q180" s="382">
        <v>91.12</v>
      </c>
      <c r="R180" s="382">
        <v>0</v>
      </c>
      <c r="S180" s="382">
        <v>0</v>
      </c>
      <c r="T180" s="382">
        <v>476</v>
      </c>
      <c r="U180" s="382">
        <v>143.06</v>
      </c>
      <c r="V180" s="382">
        <v>227</v>
      </c>
      <c r="W180" s="382">
        <v>138.37</v>
      </c>
      <c r="X180" s="382">
        <v>3</v>
      </c>
      <c r="Y180" s="382">
        <v>111</v>
      </c>
      <c r="Z180" s="382">
        <v>0</v>
      </c>
      <c r="AA180" s="382">
        <v>0</v>
      </c>
      <c r="AB180" s="382">
        <v>37</v>
      </c>
      <c r="AC180" s="382">
        <v>13</v>
      </c>
      <c r="AD180" s="386">
        <v>2688</v>
      </c>
      <c r="AE180" s="386">
        <v>8</v>
      </c>
      <c r="AF180" s="386">
        <v>3</v>
      </c>
      <c r="AG180" s="386">
        <v>11</v>
      </c>
    </row>
    <row r="181" spans="1:33" x14ac:dyDescent="0.25">
      <c r="A181" s="381" t="s">
        <v>422</v>
      </c>
      <c r="B181" s="387" t="s">
        <v>423</v>
      </c>
      <c r="C181" s="383">
        <v>1754</v>
      </c>
      <c r="D181" s="383">
        <v>13</v>
      </c>
      <c r="E181" s="383">
        <v>300</v>
      </c>
      <c r="F181" s="383">
        <v>362</v>
      </c>
      <c r="G181" s="383">
        <v>274</v>
      </c>
      <c r="H181" s="383">
        <v>2703</v>
      </c>
      <c r="I181" s="382">
        <v>2429</v>
      </c>
      <c r="J181" s="382">
        <v>0</v>
      </c>
      <c r="K181" s="384">
        <v>88.01</v>
      </c>
      <c r="L181" s="384">
        <v>84.09</v>
      </c>
      <c r="M181" s="384">
        <v>4.43</v>
      </c>
      <c r="N181" s="384">
        <v>90.44</v>
      </c>
      <c r="O181" s="385">
        <v>1507</v>
      </c>
      <c r="P181" s="382">
        <v>101.08</v>
      </c>
      <c r="Q181" s="382">
        <v>72.040000000000006</v>
      </c>
      <c r="R181" s="382">
        <v>38.56</v>
      </c>
      <c r="S181" s="382">
        <v>138.19</v>
      </c>
      <c r="T181" s="382">
        <v>478</v>
      </c>
      <c r="U181" s="382">
        <v>94.7</v>
      </c>
      <c r="V181" s="382">
        <v>201</v>
      </c>
      <c r="W181" s="382">
        <v>0</v>
      </c>
      <c r="X181" s="382">
        <v>0</v>
      </c>
      <c r="Y181" s="382">
        <v>24</v>
      </c>
      <c r="Z181" s="382">
        <v>1</v>
      </c>
      <c r="AA181" s="382">
        <v>0</v>
      </c>
      <c r="AB181" s="382">
        <v>13</v>
      </c>
      <c r="AC181" s="382">
        <v>2</v>
      </c>
      <c r="AD181" s="386">
        <v>1754</v>
      </c>
      <c r="AE181" s="386">
        <v>31</v>
      </c>
      <c r="AF181" s="386">
        <v>22</v>
      </c>
      <c r="AG181" s="386">
        <v>53</v>
      </c>
    </row>
    <row r="182" spans="1:33" x14ac:dyDescent="0.25">
      <c r="A182" s="381" t="s">
        <v>424</v>
      </c>
      <c r="B182" s="387" t="s">
        <v>425</v>
      </c>
      <c r="C182" s="383">
        <v>7043</v>
      </c>
      <c r="D182" s="383">
        <v>242</v>
      </c>
      <c r="E182" s="383">
        <v>1253</v>
      </c>
      <c r="F182" s="383">
        <v>1483</v>
      </c>
      <c r="G182" s="383">
        <v>298</v>
      </c>
      <c r="H182" s="383">
        <v>10319</v>
      </c>
      <c r="I182" s="382">
        <v>10021</v>
      </c>
      <c r="J182" s="382">
        <v>120</v>
      </c>
      <c r="K182" s="384">
        <v>77.97</v>
      </c>
      <c r="L182" s="384">
        <v>77.680000000000007</v>
      </c>
      <c r="M182" s="384">
        <v>11.34</v>
      </c>
      <c r="N182" s="384">
        <v>87.15</v>
      </c>
      <c r="O182" s="385">
        <v>5918</v>
      </c>
      <c r="P182" s="382">
        <v>85.56</v>
      </c>
      <c r="Q182" s="382">
        <v>76.23</v>
      </c>
      <c r="R182" s="382">
        <v>54.93</v>
      </c>
      <c r="S182" s="382">
        <v>137.11000000000001</v>
      </c>
      <c r="T182" s="382">
        <v>2216</v>
      </c>
      <c r="U182" s="382">
        <v>99.16</v>
      </c>
      <c r="V182" s="382">
        <v>805</v>
      </c>
      <c r="W182" s="382">
        <v>204.57</v>
      </c>
      <c r="X182" s="382">
        <v>199</v>
      </c>
      <c r="Y182" s="382">
        <v>25</v>
      </c>
      <c r="Z182" s="382">
        <v>6</v>
      </c>
      <c r="AA182" s="382">
        <v>1</v>
      </c>
      <c r="AB182" s="382">
        <v>29</v>
      </c>
      <c r="AC182" s="382">
        <v>9</v>
      </c>
      <c r="AD182" s="386">
        <v>6557</v>
      </c>
      <c r="AE182" s="386">
        <v>45</v>
      </c>
      <c r="AF182" s="386">
        <v>50</v>
      </c>
      <c r="AG182" s="386">
        <v>95</v>
      </c>
    </row>
    <row r="183" spans="1:33" x14ac:dyDescent="0.25">
      <c r="A183" s="381" t="s">
        <v>426</v>
      </c>
      <c r="B183" s="387" t="s">
        <v>427</v>
      </c>
      <c r="C183" s="383">
        <v>8927</v>
      </c>
      <c r="D183" s="383">
        <v>3</v>
      </c>
      <c r="E183" s="383">
        <v>123</v>
      </c>
      <c r="F183" s="383">
        <v>874</v>
      </c>
      <c r="G183" s="383">
        <v>211</v>
      </c>
      <c r="H183" s="383">
        <v>10138</v>
      </c>
      <c r="I183" s="382">
        <v>9927</v>
      </c>
      <c r="J183" s="382">
        <v>0</v>
      </c>
      <c r="K183" s="384">
        <v>78.08</v>
      </c>
      <c r="L183" s="384">
        <v>78.400000000000006</v>
      </c>
      <c r="M183" s="384">
        <v>3.69</v>
      </c>
      <c r="N183" s="384">
        <v>81.59</v>
      </c>
      <c r="O183" s="385">
        <v>8500</v>
      </c>
      <c r="P183" s="382">
        <v>77.47</v>
      </c>
      <c r="Q183" s="382">
        <v>74.45</v>
      </c>
      <c r="R183" s="382">
        <v>23.78</v>
      </c>
      <c r="S183" s="382">
        <v>100.44</v>
      </c>
      <c r="T183" s="382">
        <v>818</v>
      </c>
      <c r="U183" s="382">
        <v>94.71</v>
      </c>
      <c r="V183" s="382">
        <v>393</v>
      </c>
      <c r="W183" s="382">
        <v>200.9</v>
      </c>
      <c r="X183" s="382">
        <v>92</v>
      </c>
      <c r="Y183" s="382">
        <v>0</v>
      </c>
      <c r="Z183" s="382">
        <v>25</v>
      </c>
      <c r="AA183" s="382">
        <v>2</v>
      </c>
      <c r="AB183" s="382">
        <v>1</v>
      </c>
      <c r="AC183" s="382">
        <v>5</v>
      </c>
      <c r="AD183" s="386">
        <v>8912</v>
      </c>
      <c r="AE183" s="386">
        <v>4</v>
      </c>
      <c r="AF183" s="386">
        <v>41</v>
      </c>
      <c r="AG183" s="386">
        <v>45</v>
      </c>
    </row>
    <row r="184" spans="1:33" x14ac:dyDescent="0.25">
      <c r="A184" s="381" t="s">
        <v>428</v>
      </c>
      <c r="B184" s="387" t="s">
        <v>429</v>
      </c>
      <c r="C184" s="383">
        <v>12412</v>
      </c>
      <c r="D184" s="383">
        <v>42</v>
      </c>
      <c r="E184" s="383">
        <v>956</v>
      </c>
      <c r="F184" s="383">
        <v>833</v>
      </c>
      <c r="G184" s="383">
        <v>2053</v>
      </c>
      <c r="H184" s="383">
        <v>16296</v>
      </c>
      <c r="I184" s="382">
        <v>14243</v>
      </c>
      <c r="J184" s="382">
        <v>39</v>
      </c>
      <c r="K184" s="384">
        <v>139.87</v>
      </c>
      <c r="L184" s="384">
        <v>119.09</v>
      </c>
      <c r="M184" s="384">
        <v>9.49</v>
      </c>
      <c r="N184" s="384">
        <v>144.52000000000001</v>
      </c>
      <c r="O184" s="385">
        <v>10350</v>
      </c>
      <c r="P184" s="382">
        <v>105.43</v>
      </c>
      <c r="Q184" s="382">
        <v>101.35</v>
      </c>
      <c r="R184" s="382">
        <v>66.23</v>
      </c>
      <c r="S184" s="382">
        <v>165.45</v>
      </c>
      <c r="T184" s="382">
        <v>1597</v>
      </c>
      <c r="U184" s="382">
        <v>184.39</v>
      </c>
      <c r="V184" s="382">
        <v>748</v>
      </c>
      <c r="W184" s="382">
        <v>219.45</v>
      </c>
      <c r="X184" s="382">
        <v>39</v>
      </c>
      <c r="Y184" s="382">
        <v>6</v>
      </c>
      <c r="Z184" s="382">
        <v>12</v>
      </c>
      <c r="AA184" s="382">
        <v>33</v>
      </c>
      <c r="AB184" s="382">
        <v>147</v>
      </c>
      <c r="AC184" s="382">
        <v>38</v>
      </c>
      <c r="AD184" s="386">
        <v>11857</v>
      </c>
      <c r="AE184" s="386">
        <v>33</v>
      </c>
      <c r="AF184" s="386">
        <v>46</v>
      </c>
      <c r="AG184" s="386">
        <v>79</v>
      </c>
    </row>
    <row r="185" spans="1:33" x14ac:dyDescent="0.25">
      <c r="A185" s="381" t="s">
        <v>430</v>
      </c>
      <c r="B185" s="387" t="s">
        <v>431</v>
      </c>
      <c r="C185" s="383">
        <v>3679</v>
      </c>
      <c r="D185" s="383">
        <v>0</v>
      </c>
      <c r="E185" s="383">
        <v>48</v>
      </c>
      <c r="F185" s="383">
        <v>786</v>
      </c>
      <c r="G185" s="383">
        <v>240</v>
      </c>
      <c r="H185" s="383">
        <v>4753</v>
      </c>
      <c r="I185" s="382">
        <v>4513</v>
      </c>
      <c r="J185" s="382">
        <v>5</v>
      </c>
      <c r="K185" s="384">
        <v>85.6</v>
      </c>
      <c r="L185" s="384">
        <v>85</v>
      </c>
      <c r="M185" s="384">
        <v>3.48</v>
      </c>
      <c r="N185" s="384">
        <v>87.74</v>
      </c>
      <c r="O185" s="385">
        <v>3236</v>
      </c>
      <c r="P185" s="382">
        <v>76.540000000000006</v>
      </c>
      <c r="Q185" s="382">
        <v>74.599999999999994</v>
      </c>
      <c r="R185" s="382">
        <v>17.3</v>
      </c>
      <c r="S185" s="382">
        <v>93.42</v>
      </c>
      <c r="T185" s="382">
        <v>780</v>
      </c>
      <c r="U185" s="382">
        <v>115.41</v>
      </c>
      <c r="V185" s="382">
        <v>420</v>
      </c>
      <c r="W185" s="382">
        <v>0</v>
      </c>
      <c r="X185" s="382">
        <v>0</v>
      </c>
      <c r="Y185" s="382">
        <v>63</v>
      </c>
      <c r="Z185" s="382">
        <v>10</v>
      </c>
      <c r="AA185" s="382">
        <v>2</v>
      </c>
      <c r="AB185" s="382">
        <v>29</v>
      </c>
      <c r="AC185" s="382">
        <v>7</v>
      </c>
      <c r="AD185" s="386">
        <v>3679</v>
      </c>
      <c r="AE185" s="386">
        <v>2</v>
      </c>
      <c r="AF185" s="386">
        <v>42</v>
      </c>
      <c r="AG185" s="386">
        <v>44</v>
      </c>
    </row>
    <row r="186" spans="1:33" x14ac:dyDescent="0.25">
      <c r="A186" s="381" t="s">
        <v>432</v>
      </c>
      <c r="B186" s="387" t="s">
        <v>433</v>
      </c>
      <c r="C186" s="383">
        <v>771</v>
      </c>
      <c r="D186" s="383">
        <v>0</v>
      </c>
      <c r="E186" s="383">
        <v>69</v>
      </c>
      <c r="F186" s="383">
        <v>143</v>
      </c>
      <c r="G186" s="383">
        <v>107</v>
      </c>
      <c r="H186" s="383">
        <v>1090</v>
      </c>
      <c r="I186" s="382">
        <v>983</v>
      </c>
      <c r="J186" s="382">
        <v>7</v>
      </c>
      <c r="K186" s="384">
        <v>91.07</v>
      </c>
      <c r="L186" s="384">
        <v>90.05</v>
      </c>
      <c r="M186" s="384">
        <v>4.74</v>
      </c>
      <c r="N186" s="384">
        <v>93.42</v>
      </c>
      <c r="O186" s="385">
        <v>583</v>
      </c>
      <c r="P186" s="382">
        <v>93.82</v>
      </c>
      <c r="Q186" s="382">
        <v>79.69</v>
      </c>
      <c r="R186" s="382">
        <v>37.35</v>
      </c>
      <c r="S186" s="382">
        <v>128.29</v>
      </c>
      <c r="T186" s="382">
        <v>207</v>
      </c>
      <c r="U186" s="382">
        <v>100.86</v>
      </c>
      <c r="V186" s="382">
        <v>155</v>
      </c>
      <c r="W186" s="382">
        <v>0</v>
      </c>
      <c r="X186" s="382">
        <v>0</v>
      </c>
      <c r="Y186" s="382">
        <v>0</v>
      </c>
      <c r="Z186" s="382">
        <v>3</v>
      </c>
      <c r="AA186" s="382">
        <v>0</v>
      </c>
      <c r="AB186" s="382">
        <v>6</v>
      </c>
      <c r="AC186" s="382">
        <v>7</v>
      </c>
      <c r="AD186" s="386">
        <v>668</v>
      </c>
      <c r="AE186" s="386">
        <v>3</v>
      </c>
      <c r="AF186" s="386">
        <v>2</v>
      </c>
      <c r="AG186" s="386">
        <v>5</v>
      </c>
    </row>
    <row r="187" spans="1:33" x14ac:dyDescent="0.25">
      <c r="A187" s="381" t="s">
        <v>434</v>
      </c>
      <c r="B187" s="387" t="s">
        <v>435</v>
      </c>
      <c r="C187" s="383">
        <v>8537</v>
      </c>
      <c r="D187" s="383">
        <v>2</v>
      </c>
      <c r="E187" s="383">
        <v>412</v>
      </c>
      <c r="F187" s="383">
        <v>1295</v>
      </c>
      <c r="G187" s="383">
        <v>197</v>
      </c>
      <c r="H187" s="383">
        <v>10443</v>
      </c>
      <c r="I187" s="382">
        <v>10246</v>
      </c>
      <c r="J187" s="382">
        <v>105</v>
      </c>
      <c r="K187" s="384">
        <v>78.47</v>
      </c>
      <c r="L187" s="384">
        <v>78.38</v>
      </c>
      <c r="M187" s="384">
        <v>2.04</v>
      </c>
      <c r="N187" s="384">
        <v>80.23</v>
      </c>
      <c r="O187" s="385">
        <v>8486</v>
      </c>
      <c r="P187" s="382">
        <v>85.12</v>
      </c>
      <c r="Q187" s="382">
        <v>68.319999999999993</v>
      </c>
      <c r="R187" s="382">
        <v>28.2</v>
      </c>
      <c r="S187" s="382">
        <v>110.14</v>
      </c>
      <c r="T187" s="382">
        <v>1540</v>
      </c>
      <c r="U187" s="382">
        <v>90.77</v>
      </c>
      <c r="V187" s="382">
        <v>31</v>
      </c>
      <c r="W187" s="382">
        <v>0</v>
      </c>
      <c r="X187" s="382">
        <v>0</v>
      </c>
      <c r="Y187" s="382">
        <v>0</v>
      </c>
      <c r="Z187" s="382">
        <v>26</v>
      </c>
      <c r="AA187" s="382">
        <v>0</v>
      </c>
      <c r="AB187" s="382">
        <v>4</v>
      </c>
      <c r="AC187" s="382">
        <v>2</v>
      </c>
      <c r="AD187" s="386">
        <v>8537</v>
      </c>
      <c r="AE187" s="386">
        <v>123</v>
      </c>
      <c r="AF187" s="386">
        <v>657</v>
      </c>
      <c r="AG187" s="386">
        <v>780</v>
      </c>
    </row>
    <row r="188" spans="1:33" x14ac:dyDescent="0.25">
      <c r="A188" s="381" t="s">
        <v>436</v>
      </c>
      <c r="B188" s="387" t="s">
        <v>437</v>
      </c>
      <c r="C188" s="383">
        <v>9470</v>
      </c>
      <c r="D188" s="383">
        <v>0</v>
      </c>
      <c r="E188" s="383">
        <v>257</v>
      </c>
      <c r="F188" s="383">
        <v>977</v>
      </c>
      <c r="G188" s="383">
        <v>431</v>
      </c>
      <c r="H188" s="383">
        <v>11135</v>
      </c>
      <c r="I188" s="382">
        <v>10704</v>
      </c>
      <c r="J188" s="382">
        <v>612</v>
      </c>
      <c r="K188" s="384">
        <v>109.52</v>
      </c>
      <c r="L188" s="384">
        <v>109.57</v>
      </c>
      <c r="M188" s="384">
        <v>5.17</v>
      </c>
      <c r="N188" s="384">
        <v>111.14</v>
      </c>
      <c r="O188" s="385">
        <v>9221</v>
      </c>
      <c r="P188" s="382">
        <v>95.93</v>
      </c>
      <c r="Q188" s="382">
        <v>96.53</v>
      </c>
      <c r="R188" s="382">
        <v>26.5</v>
      </c>
      <c r="S188" s="382">
        <v>119.89</v>
      </c>
      <c r="T188" s="382">
        <v>1212</v>
      </c>
      <c r="U188" s="382">
        <v>134.94999999999999</v>
      </c>
      <c r="V188" s="382">
        <v>175</v>
      </c>
      <c r="W188" s="382">
        <v>0</v>
      </c>
      <c r="X188" s="382">
        <v>0</v>
      </c>
      <c r="Y188" s="382">
        <v>0</v>
      </c>
      <c r="Z188" s="382">
        <v>35</v>
      </c>
      <c r="AA188" s="382">
        <v>1</v>
      </c>
      <c r="AB188" s="382">
        <v>38</v>
      </c>
      <c r="AC188" s="382">
        <v>44</v>
      </c>
      <c r="AD188" s="386">
        <v>9419</v>
      </c>
      <c r="AE188" s="386">
        <v>41</v>
      </c>
      <c r="AF188" s="386">
        <v>15</v>
      </c>
      <c r="AG188" s="386">
        <v>56</v>
      </c>
    </row>
    <row r="189" spans="1:33" x14ac:dyDescent="0.25">
      <c r="A189" s="381" t="s">
        <v>438</v>
      </c>
      <c r="B189" s="387" t="s">
        <v>439</v>
      </c>
      <c r="C189" s="383">
        <v>969</v>
      </c>
      <c r="D189" s="383">
        <v>0</v>
      </c>
      <c r="E189" s="383">
        <v>88</v>
      </c>
      <c r="F189" s="383">
        <v>152</v>
      </c>
      <c r="G189" s="383">
        <v>277</v>
      </c>
      <c r="H189" s="383">
        <v>1486</v>
      </c>
      <c r="I189" s="382">
        <v>1209</v>
      </c>
      <c r="J189" s="382">
        <v>0</v>
      </c>
      <c r="K189" s="384">
        <v>88.26</v>
      </c>
      <c r="L189" s="384">
        <v>86.85</v>
      </c>
      <c r="M189" s="384">
        <v>4.34</v>
      </c>
      <c r="N189" s="384">
        <v>91.78</v>
      </c>
      <c r="O189" s="385">
        <v>749</v>
      </c>
      <c r="P189" s="382">
        <v>99.73</v>
      </c>
      <c r="Q189" s="382">
        <v>88.29</v>
      </c>
      <c r="R189" s="382">
        <v>31.13</v>
      </c>
      <c r="S189" s="382">
        <v>127.06</v>
      </c>
      <c r="T189" s="382">
        <v>213</v>
      </c>
      <c r="U189" s="382">
        <v>97.43</v>
      </c>
      <c r="V189" s="382">
        <v>144</v>
      </c>
      <c r="W189" s="382">
        <v>0</v>
      </c>
      <c r="X189" s="382">
        <v>0</v>
      </c>
      <c r="Y189" s="382">
        <v>0</v>
      </c>
      <c r="Z189" s="382">
        <v>0</v>
      </c>
      <c r="AA189" s="382">
        <v>0</v>
      </c>
      <c r="AB189" s="382">
        <v>25</v>
      </c>
      <c r="AC189" s="382">
        <v>5</v>
      </c>
      <c r="AD189" s="386">
        <v>912</v>
      </c>
      <c r="AE189" s="386">
        <v>7</v>
      </c>
      <c r="AF189" s="386">
        <v>1</v>
      </c>
      <c r="AG189" s="386">
        <v>8</v>
      </c>
    </row>
    <row r="190" spans="1:33" x14ac:dyDescent="0.25">
      <c r="A190" s="381" t="s">
        <v>440</v>
      </c>
      <c r="B190" s="387" t="s">
        <v>441</v>
      </c>
      <c r="C190" s="383">
        <v>10846</v>
      </c>
      <c r="D190" s="383">
        <v>0</v>
      </c>
      <c r="E190" s="383">
        <v>157</v>
      </c>
      <c r="F190" s="383">
        <v>317</v>
      </c>
      <c r="G190" s="383">
        <v>71</v>
      </c>
      <c r="H190" s="383">
        <v>11391</v>
      </c>
      <c r="I190" s="382">
        <v>11320</v>
      </c>
      <c r="J190" s="382">
        <v>0</v>
      </c>
      <c r="K190" s="384">
        <v>80.680000000000007</v>
      </c>
      <c r="L190" s="384">
        <v>80.510000000000005</v>
      </c>
      <c r="M190" s="384">
        <v>3.14</v>
      </c>
      <c r="N190" s="384">
        <v>81.92</v>
      </c>
      <c r="O190" s="385">
        <v>10470</v>
      </c>
      <c r="P190" s="382">
        <v>95.64</v>
      </c>
      <c r="Q190" s="382">
        <v>79.650000000000006</v>
      </c>
      <c r="R190" s="382">
        <v>51.18</v>
      </c>
      <c r="S190" s="382">
        <v>142.57</v>
      </c>
      <c r="T190" s="382">
        <v>434</v>
      </c>
      <c r="U190" s="382">
        <v>94.33</v>
      </c>
      <c r="V190" s="382">
        <v>315</v>
      </c>
      <c r="W190" s="382">
        <v>113.86</v>
      </c>
      <c r="X190" s="382">
        <v>10</v>
      </c>
      <c r="Y190" s="382">
        <v>10</v>
      </c>
      <c r="Z190" s="382">
        <v>42</v>
      </c>
      <c r="AA190" s="382">
        <v>0</v>
      </c>
      <c r="AB190" s="382">
        <v>3</v>
      </c>
      <c r="AC190" s="382">
        <v>1</v>
      </c>
      <c r="AD190" s="386">
        <v>10806</v>
      </c>
      <c r="AE190" s="386">
        <v>109</v>
      </c>
      <c r="AF190" s="386">
        <v>23</v>
      </c>
      <c r="AG190" s="386">
        <v>132</v>
      </c>
    </row>
    <row r="191" spans="1:33" x14ac:dyDescent="0.25">
      <c r="A191" s="381" t="s">
        <v>442</v>
      </c>
      <c r="B191" s="387" t="s">
        <v>443</v>
      </c>
      <c r="C191" s="383">
        <v>5469</v>
      </c>
      <c r="D191" s="383">
        <v>0</v>
      </c>
      <c r="E191" s="383">
        <v>159</v>
      </c>
      <c r="F191" s="383">
        <v>658</v>
      </c>
      <c r="G191" s="383">
        <v>135</v>
      </c>
      <c r="H191" s="383">
        <v>6421</v>
      </c>
      <c r="I191" s="382">
        <v>6286</v>
      </c>
      <c r="J191" s="382">
        <v>14</v>
      </c>
      <c r="K191" s="384">
        <v>89.53</v>
      </c>
      <c r="L191" s="384">
        <v>88.83</v>
      </c>
      <c r="M191" s="384">
        <v>2.27</v>
      </c>
      <c r="N191" s="384">
        <v>91.1</v>
      </c>
      <c r="O191" s="385">
        <v>5016</v>
      </c>
      <c r="P191" s="382">
        <v>88.94</v>
      </c>
      <c r="Q191" s="382">
        <v>80.08</v>
      </c>
      <c r="R191" s="382">
        <v>22.53</v>
      </c>
      <c r="S191" s="382">
        <v>110.81</v>
      </c>
      <c r="T191" s="382">
        <v>785</v>
      </c>
      <c r="U191" s="382">
        <v>104.7</v>
      </c>
      <c r="V191" s="382">
        <v>429</v>
      </c>
      <c r="W191" s="382">
        <v>97.11</v>
      </c>
      <c r="X191" s="382">
        <v>28</v>
      </c>
      <c r="Y191" s="382">
        <v>0</v>
      </c>
      <c r="Z191" s="382">
        <v>24</v>
      </c>
      <c r="AA191" s="382">
        <v>1</v>
      </c>
      <c r="AB191" s="382">
        <v>4</v>
      </c>
      <c r="AC191" s="382">
        <v>0</v>
      </c>
      <c r="AD191" s="386">
        <v>5458</v>
      </c>
      <c r="AE191" s="386">
        <v>18</v>
      </c>
      <c r="AF191" s="386">
        <v>45</v>
      </c>
      <c r="AG191" s="386">
        <v>63</v>
      </c>
    </row>
    <row r="192" spans="1:33" x14ac:dyDescent="0.25">
      <c r="A192" s="381" t="s">
        <v>814</v>
      </c>
      <c r="B192" s="387" t="s">
        <v>812</v>
      </c>
      <c r="C192" s="383">
        <v>13319</v>
      </c>
      <c r="D192" s="383">
        <v>82</v>
      </c>
      <c r="E192" s="383">
        <v>687</v>
      </c>
      <c r="F192" s="383">
        <v>961</v>
      </c>
      <c r="G192" s="383">
        <v>1182</v>
      </c>
      <c r="H192" s="383">
        <v>16231</v>
      </c>
      <c r="I192" s="382">
        <v>15049</v>
      </c>
      <c r="J192" s="382">
        <v>21</v>
      </c>
      <c r="K192" s="384">
        <v>90.85</v>
      </c>
      <c r="L192" s="384">
        <v>90.23</v>
      </c>
      <c r="M192" s="384">
        <v>5.28</v>
      </c>
      <c r="N192" s="384">
        <v>93.32</v>
      </c>
      <c r="O192" s="385">
        <v>11394</v>
      </c>
      <c r="P192" s="382">
        <v>87.62</v>
      </c>
      <c r="Q192" s="382">
        <v>82.45</v>
      </c>
      <c r="R192" s="382">
        <v>38.53</v>
      </c>
      <c r="S192" s="382">
        <v>125.07</v>
      </c>
      <c r="T192" s="382">
        <v>1530</v>
      </c>
      <c r="U192" s="382">
        <v>105.39</v>
      </c>
      <c r="V192" s="382">
        <v>1005</v>
      </c>
      <c r="W192" s="382">
        <v>161.63999999999999</v>
      </c>
      <c r="X192" s="382">
        <v>7</v>
      </c>
      <c r="Y192" s="382">
        <v>25</v>
      </c>
      <c r="Z192" s="382">
        <v>37</v>
      </c>
      <c r="AA192" s="382">
        <v>4</v>
      </c>
      <c r="AB192" s="382">
        <v>130</v>
      </c>
      <c r="AC192" s="382">
        <v>35</v>
      </c>
      <c r="AD192" s="386">
        <v>12592</v>
      </c>
      <c r="AE192" s="386">
        <v>54</v>
      </c>
      <c r="AF192" s="386">
        <v>45</v>
      </c>
      <c r="AG192" s="386">
        <v>99</v>
      </c>
    </row>
    <row r="193" spans="1:33" x14ac:dyDescent="0.25">
      <c r="A193" s="381" t="s">
        <v>444</v>
      </c>
      <c r="B193" s="387" t="s">
        <v>445</v>
      </c>
      <c r="C193" s="383">
        <v>8164</v>
      </c>
      <c r="D193" s="383">
        <v>81</v>
      </c>
      <c r="E193" s="383">
        <v>408</v>
      </c>
      <c r="F193" s="383">
        <v>633</v>
      </c>
      <c r="G193" s="383">
        <v>444</v>
      </c>
      <c r="H193" s="383">
        <v>9730</v>
      </c>
      <c r="I193" s="382">
        <v>9286</v>
      </c>
      <c r="J193" s="382">
        <v>12</v>
      </c>
      <c r="K193" s="384">
        <v>95.24</v>
      </c>
      <c r="L193" s="384">
        <v>91.63</v>
      </c>
      <c r="M193" s="384">
        <v>5.85</v>
      </c>
      <c r="N193" s="384">
        <v>98.58</v>
      </c>
      <c r="O193" s="385">
        <v>7318</v>
      </c>
      <c r="P193" s="382">
        <v>100.56</v>
      </c>
      <c r="Q193" s="382">
        <v>88.95</v>
      </c>
      <c r="R193" s="382">
        <v>43.55</v>
      </c>
      <c r="S193" s="382">
        <v>143.78</v>
      </c>
      <c r="T193" s="382">
        <v>789</v>
      </c>
      <c r="U193" s="382">
        <v>126.27</v>
      </c>
      <c r="V193" s="382">
        <v>763</v>
      </c>
      <c r="W193" s="382">
        <v>153.26</v>
      </c>
      <c r="X193" s="382">
        <v>75</v>
      </c>
      <c r="Y193" s="382">
        <v>0</v>
      </c>
      <c r="Z193" s="382">
        <v>23</v>
      </c>
      <c r="AA193" s="382">
        <v>0</v>
      </c>
      <c r="AB193" s="382">
        <v>29</v>
      </c>
      <c r="AC193" s="382">
        <v>25</v>
      </c>
      <c r="AD193" s="386">
        <v>8069</v>
      </c>
      <c r="AE193" s="386">
        <v>38</v>
      </c>
      <c r="AF193" s="386">
        <v>9</v>
      </c>
      <c r="AG193" s="386">
        <v>47</v>
      </c>
    </row>
    <row r="194" spans="1:33" x14ac:dyDescent="0.25">
      <c r="A194" s="381" t="s">
        <v>446</v>
      </c>
      <c r="B194" s="387" t="s">
        <v>447</v>
      </c>
      <c r="C194" s="383">
        <v>4028</v>
      </c>
      <c r="D194" s="383">
        <v>63</v>
      </c>
      <c r="E194" s="383">
        <v>443</v>
      </c>
      <c r="F194" s="383">
        <v>1270</v>
      </c>
      <c r="G194" s="383">
        <v>271</v>
      </c>
      <c r="H194" s="383">
        <v>6075</v>
      </c>
      <c r="I194" s="382">
        <v>5804</v>
      </c>
      <c r="J194" s="382">
        <v>0</v>
      </c>
      <c r="K194" s="384">
        <v>81.819999999999993</v>
      </c>
      <c r="L194" s="384">
        <v>80.59</v>
      </c>
      <c r="M194" s="384">
        <v>8.5399999999999991</v>
      </c>
      <c r="N194" s="384">
        <v>88.48</v>
      </c>
      <c r="O194" s="385">
        <v>3367</v>
      </c>
      <c r="P194" s="382">
        <v>88.95</v>
      </c>
      <c r="Q194" s="382">
        <v>80.239999999999995</v>
      </c>
      <c r="R194" s="382">
        <v>43.48</v>
      </c>
      <c r="S194" s="382">
        <v>131.71</v>
      </c>
      <c r="T194" s="382">
        <v>1452</v>
      </c>
      <c r="U194" s="382">
        <v>97.46</v>
      </c>
      <c r="V194" s="382">
        <v>549</v>
      </c>
      <c r="W194" s="382">
        <v>166.55</v>
      </c>
      <c r="X194" s="382">
        <v>111</v>
      </c>
      <c r="Y194" s="382">
        <v>0</v>
      </c>
      <c r="Z194" s="382">
        <v>3</v>
      </c>
      <c r="AA194" s="382">
        <v>0</v>
      </c>
      <c r="AB194" s="382">
        <v>9</v>
      </c>
      <c r="AC194" s="382">
        <v>9</v>
      </c>
      <c r="AD194" s="386">
        <v>3870</v>
      </c>
      <c r="AE194" s="386">
        <v>28</v>
      </c>
      <c r="AF194" s="386">
        <v>20</v>
      </c>
      <c r="AG194" s="386">
        <v>48</v>
      </c>
    </row>
    <row r="195" spans="1:33" x14ac:dyDescent="0.25">
      <c r="A195" s="381" t="s">
        <v>448</v>
      </c>
      <c r="B195" s="387" t="s">
        <v>449</v>
      </c>
      <c r="C195" s="383">
        <v>1029</v>
      </c>
      <c r="D195" s="383">
        <v>2</v>
      </c>
      <c r="E195" s="383">
        <v>13</v>
      </c>
      <c r="F195" s="383">
        <v>49</v>
      </c>
      <c r="G195" s="383">
        <v>185</v>
      </c>
      <c r="H195" s="383">
        <v>1278</v>
      </c>
      <c r="I195" s="382">
        <v>1093</v>
      </c>
      <c r="J195" s="382">
        <v>4</v>
      </c>
      <c r="K195" s="384">
        <v>99.02</v>
      </c>
      <c r="L195" s="384">
        <v>96.95</v>
      </c>
      <c r="M195" s="384">
        <v>4.5</v>
      </c>
      <c r="N195" s="384">
        <v>101.56</v>
      </c>
      <c r="O195" s="385">
        <v>875</v>
      </c>
      <c r="P195" s="382">
        <v>90.79</v>
      </c>
      <c r="Q195" s="382">
        <v>90.78</v>
      </c>
      <c r="R195" s="382">
        <v>35.03</v>
      </c>
      <c r="S195" s="382">
        <v>120.19</v>
      </c>
      <c r="T195" s="382">
        <v>56</v>
      </c>
      <c r="U195" s="382">
        <v>110.08</v>
      </c>
      <c r="V195" s="382">
        <v>155</v>
      </c>
      <c r="W195" s="382">
        <v>0</v>
      </c>
      <c r="X195" s="382">
        <v>0</v>
      </c>
      <c r="Y195" s="382">
        <v>0</v>
      </c>
      <c r="Z195" s="382">
        <v>0</v>
      </c>
      <c r="AA195" s="382">
        <v>1</v>
      </c>
      <c r="AB195" s="382">
        <v>22</v>
      </c>
      <c r="AC195" s="382">
        <v>5</v>
      </c>
      <c r="AD195" s="386">
        <v>1029</v>
      </c>
      <c r="AE195" s="386">
        <v>4</v>
      </c>
      <c r="AF195" s="386">
        <v>4</v>
      </c>
      <c r="AG195" s="386">
        <v>8</v>
      </c>
    </row>
    <row r="196" spans="1:33" x14ac:dyDescent="0.25">
      <c r="A196" s="381" t="s">
        <v>450</v>
      </c>
      <c r="B196" s="387" t="s">
        <v>451</v>
      </c>
      <c r="C196" s="383">
        <v>1691</v>
      </c>
      <c r="D196" s="383">
        <v>0</v>
      </c>
      <c r="E196" s="383">
        <v>52</v>
      </c>
      <c r="F196" s="383">
        <v>203</v>
      </c>
      <c r="G196" s="383">
        <v>372</v>
      </c>
      <c r="H196" s="383">
        <v>2318</v>
      </c>
      <c r="I196" s="382">
        <v>1946</v>
      </c>
      <c r="J196" s="382">
        <v>0</v>
      </c>
      <c r="K196" s="384">
        <v>88.5</v>
      </c>
      <c r="L196" s="384">
        <v>88.13</v>
      </c>
      <c r="M196" s="384">
        <v>5.63</v>
      </c>
      <c r="N196" s="384">
        <v>92.95</v>
      </c>
      <c r="O196" s="385">
        <v>1374</v>
      </c>
      <c r="P196" s="382">
        <v>87.73</v>
      </c>
      <c r="Q196" s="382">
        <v>91.45</v>
      </c>
      <c r="R196" s="382">
        <v>39.29</v>
      </c>
      <c r="S196" s="382">
        <v>125.13</v>
      </c>
      <c r="T196" s="382">
        <v>250</v>
      </c>
      <c r="U196" s="382">
        <v>98.48</v>
      </c>
      <c r="V196" s="382">
        <v>288</v>
      </c>
      <c r="W196" s="382">
        <v>0</v>
      </c>
      <c r="X196" s="382">
        <v>0</v>
      </c>
      <c r="Y196" s="382">
        <v>0</v>
      </c>
      <c r="Z196" s="382">
        <v>2</v>
      </c>
      <c r="AA196" s="382">
        <v>0</v>
      </c>
      <c r="AB196" s="382">
        <v>22</v>
      </c>
      <c r="AC196" s="382">
        <v>13</v>
      </c>
      <c r="AD196" s="386">
        <v>1681</v>
      </c>
      <c r="AE196" s="386">
        <v>19</v>
      </c>
      <c r="AF196" s="386">
        <v>0</v>
      </c>
      <c r="AG196" s="386">
        <v>19</v>
      </c>
    </row>
    <row r="197" spans="1:33" x14ac:dyDescent="0.25">
      <c r="A197" s="381" t="s">
        <v>452</v>
      </c>
      <c r="B197" s="387" t="s">
        <v>453</v>
      </c>
      <c r="C197" s="383">
        <v>14100</v>
      </c>
      <c r="D197" s="383">
        <v>45</v>
      </c>
      <c r="E197" s="383">
        <v>313</v>
      </c>
      <c r="F197" s="383">
        <v>3216</v>
      </c>
      <c r="G197" s="383">
        <v>429</v>
      </c>
      <c r="H197" s="383">
        <v>18103</v>
      </c>
      <c r="I197" s="382">
        <v>17674</v>
      </c>
      <c r="J197" s="382">
        <v>18</v>
      </c>
      <c r="K197" s="384">
        <v>76.489999999999995</v>
      </c>
      <c r="L197" s="384">
        <v>75.55</v>
      </c>
      <c r="M197" s="384">
        <v>3.86</v>
      </c>
      <c r="N197" s="384">
        <v>78.45</v>
      </c>
      <c r="O197" s="385">
        <v>12946</v>
      </c>
      <c r="P197" s="382">
        <v>72.48</v>
      </c>
      <c r="Q197" s="382">
        <v>68.41</v>
      </c>
      <c r="R197" s="382">
        <v>19.96</v>
      </c>
      <c r="S197" s="382">
        <v>91.43</v>
      </c>
      <c r="T197" s="382">
        <v>3442</v>
      </c>
      <c r="U197" s="382">
        <v>98.57</v>
      </c>
      <c r="V197" s="382">
        <v>987</v>
      </c>
      <c r="W197" s="382">
        <v>125.95</v>
      </c>
      <c r="X197" s="382">
        <v>11</v>
      </c>
      <c r="Y197" s="382">
        <v>21</v>
      </c>
      <c r="Z197" s="382">
        <v>58</v>
      </c>
      <c r="AA197" s="382">
        <v>21</v>
      </c>
      <c r="AB197" s="382">
        <v>13</v>
      </c>
      <c r="AC197" s="382">
        <v>37</v>
      </c>
      <c r="AD197" s="386">
        <v>13889</v>
      </c>
      <c r="AE197" s="386">
        <v>124</v>
      </c>
      <c r="AF197" s="386">
        <v>40</v>
      </c>
      <c r="AG197" s="386">
        <v>164</v>
      </c>
    </row>
    <row r="198" spans="1:33" x14ac:dyDescent="0.25">
      <c r="A198" s="381" t="s">
        <v>454</v>
      </c>
      <c r="B198" s="387" t="s">
        <v>455</v>
      </c>
      <c r="C198" s="383">
        <v>3792</v>
      </c>
      <c r="D198" s="383">
        <v>0</v>
      </c>
      <c r="E198" s="383">
        <v>528</v>
      </c>
      <c r="F198" s="383">
        <v>1122</v>
      </c>
      <c r="G198" s="383">
        <v>282</v>
      </c>
      <c r="H198" s="383">
        <v>5724</v>
      </c>
      <c r="I198" s="382">
        <v>5442</v>
      </c>
      <c r="J198" s="382">
        <v>2</v>
      </c>
      <c r="K198" s="384">
        <v>89.63</v>
      </c>
      <c r="L198" s="384">
        <v>89.3</v>
      </c>
      <c r="M198" s="384">
        <v>6.29</v>
      </c>
      <c r="N198" s="384">
        <v>94.52</v>
      </c>
      <c r="O198" s="385">
        <v>3437</v>
      </c>
      <c r="P198" s="382">
        <v>87.84</v>
      </c>
      <c r="Q198" s="382">
        <v>83.25</v>
      </c>
      <c r="R198" s="382">
        <v>42.92</v>
      </c>
      <c r="S198" s="382">
        <v>129.32</v>
      </c>
      <c r="T198" s="382">
        <v>984</v>
      </c>
      <c r="U198" s="382">
        <v>106.1</v>
      </c>
      <c r="V198" s="382">
        <v>259</v>
      </c>
      <c r="W198" s="382">
        <v>0</v>
      </c>
      <c r="X198" s="382">
        <v>0</v>
      </c>
      <c r="Y198" s="382">
        <v>0</v>
      </c>
      <c r="Z198" s="382">
        <v>0</v>
      </c>
      <c r="AA198" s="382">
        <v>0</v>
      </c>
      <c r="AB198" s="382">
        <v>0</v>
      </c>
      <c r="AC198" s="382">
        <v>15</v>
      </c>
      <c r="AD198" s="386">
        <v>3775</v>
      </c>
      <c r="AE198" s="386">
        <v>7</v>
      </c>
      <c r="AF198" s="386">
        <v>4</v>
      </c>
      <c r="AG198" s="386">
        <v>11</v>
      </c>
    </row>
    <row r="199" spans="1:33" x14ac:dyDescent="0.25">
      <c r="A199" s="381" t="s">
        <v>456</v>
      </c>
      <c r="B199" s="387" t="s">
        <v>457</v>
      </c>
      <c r="C199" s="383">
        <v>6517</v>
      </c>
      <c r="D199" s="383">
        <v>8</v>
      </c>
      <c r="E199" s="383">
        <v>1107</v>
      </c>
      <c r="F199" s="383">
        <v>2358</v>
      </c>
      <c r="G199" s="383">
        <v>323</v>
      </c>
      <c r="H199" s="383">
        <v>10313</v>
      </c>
      <c r="I199" s="382">
        <v>9990</v>
      </c>
      <c r="J199" s="382">
        <v>25</v>
      </c>
      <c r="K199" s="384">
        <v>85.39</v>
      </c>
      <c r="L199" s="384">
        <v>83.76</v>
      </c>
      <c r="M199" s="384">
        <v>5.74</v>
      </c>
      <c r="N199" s="384">
        <v>88.93</v>
      </c>
      <c r="O199" s="385">
        <v>5691</v>
      </c>
      <c r="P199" s="382">
        <v>86.52</v>
      </c>
      <c r="Q199" s="382">
        <v>78.319999999999993</v>
      </c>
      <c r="R199" s="382">
        <v>39.659999999999997</v>
      </c>
      <c r="S199" s="382">
        <v>123.44</v>
      </c>
      <c r="T199" s="382">
        <v>2555</v>
      </c>
      <c r="U199" s="382">
        <v>99.81</v>
      </c>
      <c r="V199" s="382">
        <v>351</v>
      </c>
      <c r="W199" s="382">
        <v>157.55000000000001</v>
      </c>
      <c r="X199" s="382">
        <v>159</v>
      </c>
      <c r="Y199" s="382">
        <v>122</v>
      </c>
      <c r="Z199" s="382">
        <v>0</v>
      </c>
      <c r="AA199" s="382">
        <v>0</v>
      </c>
      <c r="AB199" s="382">
        <v>12</v>
      </c>
      <c r="AC199" s="382">
        <v>33</v>
      </c>
      <c r="AD199" s="386">
        <v>6486</v>
      </c>
      <c r="AE199" s="386">
        <v>42</v>
      </c>
      <c r="AF199" s="386">
        <v>57</v>
      </c>
      <c r="AG199" s="386">
        <v>99</v>
      </c>
    </row>
    <row r="200" spans="1:33" x14ac:dyDescent="0.25">
      <c r="A200" s="381" t="s">
        <v>458</v>
      </c>
      <c r="B200" s="387" t="s">
        <v>459</v>
      </c>
      <c r="C200" s="383">
        <v>2032</v>
      </c>
      <c r="D200" s="383">
        <v>5</v>
      </c>
      <c r="E200" s="383">
        <v>214</v>
      </c>
      <c r="F200" s="383">
        <v>365</v>
      </c>
      <c r="G200" s="383">
        <v>283</v>
      </c>
      <c r="H200" s="383">
        <v>2899</v>
      </c>
      <c r="I200" s="382">
        <v>2616</v>
      </c>
      <c r="J200" s="382">
        <v>26</v>
      </c>
      <c r="K200" s="384">
        <v>97.22</v>
      </c>
      <c r="L200" s="384">
        <v>94.53</v>
      </c>
      <c r="M200" s="384">
        <v>6.08</v>
      </c>
      <c r="N200" s="384">
        <v>102.29</v>
      </c>
      <c r="O200" s="385">
        <v>1704</v>
      </c>
      <c r="P200" s="382">
        <v>99.17</v>
      </c>
      <c r="Q200" s="382">
        <v>86.02</v>
      </c>
      <c r="R200" s="382">
        <v>39.65</v>
      </c>
      <c r="S200" s="382">
        <v>135.47999999999999</v>
      </c>
      <c r="T200" s="382">
        <v>356</v>
      </c>
      <c r="U200" s="382">
        <v>113.95</v>
      </c>
      <c r="V200" s="382">
        <v>287</v>
      </c>
      <c r="W200" s="382">
        <v>186.31</v>
      </c>
      <c r="X200" s="382">
        <v>60</v>
      </c>
      <c r="Y200" s="382">
        <v>0</v>
      </c>
      <c r="Z200" s="382">
        <v>1</v>
      </c>
      <c r="AA200" s="382">
        <v>0</v>
      </c>
      <c r="AB200" s="382">
        <v>10</v>
      </c>
      <c r="AC200" s="382">
        <v>12</v>
      </c>
      <c r="AD200" s="386">
        <v>2019</v>
      </c>
      <c r="AE200" s="386">
        <v>4</v>
      </c>
      <c r="AF200" s="386">
        <v>4</v>
      </c>
      <c r="AG200" s="386">
        <v>8</v>
      </c>
    </row>
    <row r="201" spans="1:33" x14ac:dyDescent="0.25">
      <c r="A201" s="381" t="s">
        <v>460</v>
      </c>
      <c r="B201" s="387" t="s">
        <v>461</v>
      </c>
      <c r="C201" s="383">
        <v>472</v>
      </c>
      <c r="D201" s="383">
        <v>0</v>
      </c>
      <c r="E201" s="383">
        <v>54</v>
      </c>
      <c r="F201" s="383">
        <v>94</v>
      </c>
      <c r="G201" s="383">
        <v>118</v>
      </c>
      <c r="H201" s="383">
        <v>738</v>
      </c>
      <c r="I201" s="382">
        <v>620</v>
      </c>
      <c r="J201" s="382">
        <v>0</v>
      </c>
      <c r="K201" s="384">
        <v>93.27</v>
      </c>
      <c r="L201" s="384">
        <v>90.78</v>
      </c>
      <c r="M201" s="384">
        <v>5.17</v>
      </c>
      <c r="N201" s="384">
        <v>96.17</v>
      </c>
      <c r="O201" s="385">
        <v>297</v>
      </c>
      <c r="P201" s="382">
        <v>103.62</v>
      </c>
      <c r="Q201" s="382">
        <v>78.14</v>
      </c>
      <c r="R201" s="382">
        <v>29.45</v>
      </c>
      <c r="S201" s="382">
        <v>133.07</v>
      </c>
      <c r="T201" s="382">
        <v>132</v>
      </c>
      <c r="U201" s="382">
        <v>104.69</v>
      </c>
      <c r="V201" s="382">
        <v>93</v>
      </c>
      <c r="W201" s="382">
        <v>0</v>
      </c>
      <c r="X201" s="382">
        <v>0</v>
      </c>
      <c r="Y201" s="382">
        <v>0</v>
      </c>
      <c r="Z201" s="382">
        <v>0</v>
      </c>
      <c r="AA201" s="382">
        <v>0</v>
      </c>
      <c r="AB201" s="382">
        <v>18</v>
      </c>
      <c r="AC201" s="382">
        <v>6</v>
      </c>
      <c r="AD201" s="386">
        <v>437</v>
      </c>
      <c r="AE201" s="386">
        <v>5</v>
      </c>
      <c r="AF201" s="386">
        <v>0</v>
      </c>
      <c r="AG201" s="386">
        <v>5</v>
      </c>
    </row>
    <row r="202" spans="1:33" x14ac:dyDescent="0.25">
      <c r="A202" s="381" t="s">
        <v>462</v>
      </c>
      <c r="B202" s="387" t="s">
        <v>463</v>
      </c>
      <c r="C202" s="383">
        <v>17517</v>
      </c>
      <c r="D202" s="383">
        <v>1</v>
      </c>
      <c r="E202" s="383">
        <v>519</v>
      </c>
      <c r="F202" s="383">
        <v>677</v>
      </c>
      <c r="G202" s="383">
        <v>203</v>
      </c>
      <c r="H202" s="383">
        <v>18917</v>
      </c>
      <c r="I202" s="382">
        <v>18714</v>
      </c>
      <c r="J202" s="382">
        <v>0</v>
      </c>
      <c r="K202" s="384">
        <v>77.95</v>
      </c>
      <c r="L202" s="384">
        <v>77.010000000000005</v>
      </c>
      <c r="M202" s="384">
        <v>2.5</v>
      </c>
      <c r="N202" s="384">
        <v>79.239999999999995</v>
      </c>
      <c r="O202" s="385">
        <v>15748</v>
      </c>
      <c r="P202" s="382">
        <v>79.290000000000006</v>
      </c>
      <c r="Q202" s="382">
        <v>73.709999999999994</v>
      </c>
      <c r="R202" s="382">
        <v>29.48</v>
      </c>
      <c r="S202" s="382">
        <v>105.09</v>
      </c>
      <c r="T202" s="382">
        <v>1170</v>
      </c>
      <c r="U202" s="382">
        <v>98.35</v>
      </c>
      <c r="V202" s="382">
        <v>1308</v>
      </c>
      <c r="W202" s="382">
        <v>0</v>
      </c>
      <c r="X202" s="382">
        <v>0</v>
      </c>
      <c r="Y202" s="382">
        <v>38</v>
      </c>
      <c r="Z202" s="382">
        <v>105</v>
      </c>
      <c r="AA202" s="382">
        <v>14</v>
      </c>
      <c r="AB202" s="382">
        <v>21</v>
      </c>
      <c r="AC202" s="382">
        <v>9</v>
      </c>
      <c r="AD202" s="386">
        <v>16922</v>
      </c>
      <c r="AE202" s="386">
        <v>44</v>
      </c>
      <c r="AF202" s="386">
        <v>117</v>
      </c>
      <c r="AG202" s="386">
        <v>161</v>
      </c>
    </row>
    <row r="203" spans="1:33" x14ac:dyDescent="0.25">
      <c r="A203" s="381" t="s">
        <v>464</v>
      </c>
      <c r="B203" s="387" t="s">
        <v>465</v>
      </c>
      <c r="C203" s="383">
        <v>2938</v>
      </c>
      <c r="D203" s="383">
        <v>99</v>
      </c>
      <c r="E203" s="383">
        <v>448</v>
      </c>
      <c r="F203" s="383">
        <v>852</v>
      </c>
      <c r="G203" s="383">
        <v>647</v>
      </c>
      <c r="H203" s="383">
        <v>4984</v>
      </c>
      <c r="I203" s="382">
        <v>4337</v>
      </c>
      <c r="J203" s="382">
        <v>8</v>
      </c>
      <c r="K203" s="384">
        <v>113.63</v>
      </c>
      <c r="L203" s="384">
        <v>110.38</v>
      </c>
      <c r="M203" s="384">
        <v>7.92</v>
      </c>
      <c r="N203" s="384">
        <v>119.86</v>
      </c>
      <c r="O203" s="385">
        <v>2956</v>
      </c>
      <c r="P203" s="382">
        <v>105.86</v>
      </c>
      <c r="Q203" s="382">
        <v>94.29</v>
      </c>
      <c r="R203" s="382">
        <v>39.86</v>
      </c>
      <c r="S203" s="382">
        <v>141.84</v>
      </c>
      <c r="T203" s="382">
        <v>1253</v>
      </c>
      <c r="U203" s="382">
        <v>165.41</v>
      </c>
      <c r="V203" s="382">
        <v>57</v>
      </c>
      <c r="W203" s="382">
        <v>0</v>
      </c>
      <c r="X203" s="382">
        <v>0</v>
      </c>
      <c r="Y203" s="382">
        <v>0</v>
      </c>
      <c r="Z203" s="382">
        <v>1</v>
      </c>
      <c r="AA203" s="382">
        <v>53</v>
      </c>
      <c r="AB203" s="382">
        <v>20</v>
      </c>
      <c r="AC203" s="382">
        <v>12</v>
      </c>
      <c r="AD203" s="386">
        <v>2937</v>
      </c>
      <c r="AE203" s="386">
        <v>13</v>
      </c>
      <c r="AF203" s="386">
        <v>5</v>
      </c>
      <c r="AG203" s="386">
        <v>18</v>
      </c>
    </row>
    <row r="204" spans="1:33" x14ac:dyDescent="0.25">
      <c r="A204" s="381" t="s">
        <v>466</v>
      </c>
      <c r="B204" s="387" t="s">
        <v>467</v>
      </c>
      <c r="C204" s="383">
        <v>4177</v>
      </c>
      <c r="D204" s="383">
        <v>1</v>
      </c>
      <c r="E204" s="383">
        <v>161</v>
      </c>
      <c r="F204" s="383">
        <v>286</v>
      </c>
      <c r="G204" s="383">
        <v>6</v>
      </c>
      <c r="H204" s="383">
        <v>4631</v>
      </c>
      <c r="I204" s="382">
        <v>4625</v>
      </c>
      <c r="J204" s="382">
        <v>12</v>
      </c>
      <c r="K204" s="384">
        <v>74.89</v>
      </c>
      <c r="L204" s="384">
        <v>74.41</v>
      </c>
      <c r="M204" s="384">
        <v>2.4700000000000002</v>
      </c>
      <c r="N204" s="384">
        <v>77.08</v>
      </c>
      <c r="O204" s="385">
        <v>3841</v>
      </c>
      <c r="P204" s="382">
        <v>86.47</v>
      </c>
      <c r="Q204" s="382">
        <v>72.02</v>
      </c>
      <c r="R204" s="382">
        <v>27.32</v>
      </c>
      <c r="S204" s="382">
        <v>113.12</v>
      </c>
      <c r="T204" s="382">
        <v>370</v>
      </c>
      <c r="U204" s="382">
        <v>93.03</v>
      </c>
      <c r="V204" s="382">
        <v>326</v>
      </c>
      <c r="W204" s="382">
        <v>0</v>
      </c>
      <c r="X204" s="382">
        <v>0</v>
      </c>
      <c r="Y204" s="382">
        <v>3</v>
      </c>
      <c r="Z204" s="382">
        <v>27</v>
      </c>
      <c r="AA204" s="382">
        <v>1</v>
      </c>
      <c r="AB204" s="382">
        <v>5</v>
      </c>
      <c r="AC204" s="382">
        <v>0</v>
      </c>
      <c r="AD204" s="386">
        <v>4177</v>
      </c>
      <c r="AE204" s="386">
        <v>27</v>
      </c>
      <c r="AF204" s="386">
        <v>13</v>
      </c>
      <c r="AG204" s="386">
        <v>40</v>
      </c>
    </row>
    <row r="205" spans="1:33" x14ac:dyDescent="0.25">
      <c r="A205" s="381" t="s">
        <v>468</v>
      </c>
      <c r="B205" s="387" t="s">
        <v>469</v>
      </c>
      <c r="C205" s="383">
        <v>12939</v>
      </c>
      <c r="D205" s="383">
        <v>40</v>
      </c>
      <c r="E205" s="383">
        <v>683</v>
      </c>
      <c r="F205" s="383">
        <v>2091</v>
      </c>
      <c r="G205" s="383">
        <v>871</v>
      </c>
      <c r="H205" s="383">
        <v>16624</v>
      </c>
      <c r="I205" s="382">
        <v>15753</v>
      </c>
      <c r="J205" s="382">
        <v>54</v>
      </c>
      <c r="K205" s="384">
        <v>87.51</v>
      </c>
      <c r="L205" s="384">
        <v>87.12</v>
      </c>
      <c r="M205" s="384">
        <v>5.29</v>
      </c>
      <c r="N205" s="384">
        <v>90.15</v>
      </c>
      <c r="O205" s="385">
        <v>11313</v>
      </c>
      <c r="P205" s="382">
        <v>88.98</v>
      </c>
      <c r="Q205" s="382">
        <v>86</v>
      </c>
      <c r="R205" s="382">
        <v>34.24</v>
      </c>
      <c r="S205" s="382">
        <v>121.74</v>
      </c>
      <c r="T205" s="382">
        <v>2518</v>
      </c>
      <c r="U205" s="382">
        <v>104.95</v>
      </c>
      <c r="V205" s="382">
        <v>1340</v>
      </c>
      <c r="W205" s="382">
        <v>193.85</v>
      </c>
      <c r="X205" s="382">
        <v>100</v>
      </c>
      <c r="Y205" s="382">
        <v>0</v>
      </c>
      <c r="Z205" s="382">
        <v>58</v>
      </c>
      <c r="AA205" s="382">
        <v>11</v>
      </c>
      <c r="AB205" s="382">
        <v>65</v>
      </c>
      <c r="AC205" s="382">
        <v>8</v>
      </c>
      <c r="AD205" s="386">
        <v>12939</v>
      </c>
      <c r="AE205" s="386">
        <v>47</v>
      </c>
      <c r="AF205" s="386">
        <v>32</v>
      </c>
      <c r="AG205" s="386">
        <v>79</v>
      </c>
    </row>
    <row r="206" spans="1:33" x14ac:dyDescent="0.25">
      <c r="A206" s="381" t="s">
        <v>470</v>
      </c>
      <c r="B206" s="387" t="s">
        <v>471</v>
      </c>
      <c r="C206" s="383">
        <v>18931</v>
      </c>
      <c r="D206" s="383">
        <v>0</v>
      </c>
      <c r="E206" s="383">
        <v>2391</v>
      </c>
      <c r="F206" s="383">
        <v>1073</v>
      </c>
      <c r="G206" s="383">
        <v>988</v>
      </c>
      <c r="H206" s="383">
        <v>23383</v>
      </c>
      <c r="I206" s="382">
        <v>22395</v>
      </c>
      <c r="J206" s="382">
        <v>4</v>
      </c>
      <c r="K206" s="384">
        <v>76.06</v>
      </c>
      <c r="L206" s="384">
        <v>75.959999999999994</v>
      </c>
      <c r="M206" s="384">
        <v>7.3</v>
      </c>
      <c r="N206" s="384">
        <v>80.52</v>
      </c>
      <c r="O206" s="385">
        <v>16016</v>
      </c>
      <c r="P206" s="382">
        <v>72.2</v>
      </c>
      <c r="Q206" s="382">
        <v>68.78</v>
      </c>
      <c r="R206" s="382">
        <v>25.74</v>
      </c>
      <c r="S206" s="382">
        <v>96.6</v>
      </c>
      <c r="T206" s="382">
        <v>3066</v>
      </c>
      <c r="U206" s="382">
        <v>106.22</v>
      </c>
      <c r="V206" s="382">
        <v>2451</v>
      </c>
      <c r="W206" s="382">
        <v>99.17</v>
      </c>
      <c r="X206" s="382">
        <v>210</v>
      </c>
      <c r="Y206" s="382">
        <v>92</v>
      </c>
      <c r="Z206" s="382">
        <v>111</v>
      </c>
      <c r="AA206" s="382">
        <v>14</v>
      </c>
      <c r="AB206" s="382">
        <v>54</v>
      </c>
      <c r="AC206" s="382">
        <v>26</v>
      </c>
      <c r="AD206" s="386">
        <v>18464</v>
      </c>
      <c r="AE206" s="386">
        <v>65</v>
      </c>
      <c r="AF206" s="386">
        <v>180</v>
      </c>
      <c r="AG206" s="386">
        <v>245</v>
      </c>
    </row>
    <row r="207" spans="1:33" x14ac:dyDescent="0.25">
      <c r="A207" s="381" t="s">
        <v>472</v>
      </c>
      <c r="B207" s="387" t="s">
        <v>473</v>
      </c>
      <c r="C207" s="383">
        <v>5184</v>
      </c>
      <c r="D207" s="383">
        <v>0</v>
      </c>
      <c r="E207" s="383">
        <v>451</v>
      </c>
      <c r="F207" s="383">
        <v>648</v>
      </c>
      <c r="G207" s="383">
        <v>721</v>
      </c>
      <c r="H207" s="383">
        <v>7004</v>
      </c>
      <c r="I207" s="382">
        <v>6283</v>
      </c>
      <c r="J207" s="382">
        <v>3</v>
      </c>
      <c r="K207" s="384">
        <v>99.13</v>
      </c>
      <c r="L207" s="384">
        <v>98.65</v>
      </c>
      <c r="M207" s="384">
        <v>9.1199999999999992</v>
      </c>
      <c r="N207" s="384">
        <v>106.3</v>
      </c>
      <c r="O207" s="385">
        <v>3827</v>
      </c>
      <c r="P207" s="382">
        <v>89.66</v>
      </c>
      <c r="Q207" s="382">
        <v>86.45</v>
      </c>
      <c r="R207" s="382">
        <v>31.46</v>
      </c>
      <c r="S207" s="382">
        <v>117.79</v>
      </c>
      <c r="T207" s="382">
        <v>491</v>
      </c>
      <c r="U207" s="382">
        <v>128.32</v>
      </c>
      <c r="V207" s="382">
        <v>806</v>
      </c>
      <c r="W207" s="382">
        <v>170.52</v>
      </c>
      <c r="X207" s="382">
        <v>264</v>
      </c>
      <c r="Y207" s="382">
        <v>159</v>
      </c>
      <c r="Z207" s="382">
        <v>0</v>
      </c>
      <c r="AA207" s="382">
        <v>3</v>
      </c>
      <c r="AB207" s="382">
        <v>50</v>
      </c>
      <c r="AC207" s="382">
        <v>21</v>
      </c>
      <c r="AD207" s="386">
        <v>4852</v>
      </c>
      <c r="AE207" s="386">
        <v>25</v>
      </c>
      <c r="AF207" s="386">
        <v>38</v>
      </c>
      <c r="AG207" s="386">
        <v>63</v>
      </c>
    </row>
    <row r="208" spans="1:33" x14ac:dyDescent="0.25">
      <c r="A208" s="381" t="s">
        <v>474</v>
      </c>
      <c r="B208" s="387" t="s">
        <v>475</v>
      </c>
      <c r="C208" s="383">
        <v>9988</v>
      </c>
      <c r="D208" s="383">
        <v>20</v>
      </c>
      <c r="E208" s="383">
        <v>407</v>
      </c>
      <c r="F208" s="383">
        <v>972</v>
      </c>
      <c r="G208" s="383">
        <v>226</v>
      </c>
      <c r="H208" s="383">
        <v>11613</v>
      </c>
      <c r="I208" s="382">
        <v>11387</v>
      </c>
      <c r="J208" s="382">
        <v>8</v>
      </c>
      <c r="K208" s="384">
        <v>78.739999999999995</v>
      </c>
      <c r="L208" s="384">
        <v>78.7</v>
      </c>
      <c r="M208" s="384">
        <v>6.58</v>
      </c>
      <c r="N208" s="384">
        <v>81.48</v>
      </c>
      <c r="O208" s="385">
        <v>9320</v>
      </c>
      <c r="P208" s="382">
        <v>81.02</v>
      </c>
      <c r="Q208" s="382">
        <v>72.790000000000006</v>
      </c>
      <c r="R208" s="382">
        <v>39.86</v>
      </c>
      <c r="S208" s="382">
        <v>120.16</v>
      </c>
      <c r="T208" s="382">
        <v>1338</v>
      </c>
      <c r="U208" s="382">
        <v>100.13</v>
      </c>
      <c r="V208" s="382">
        <v>664</v>
      </c>
      <c r="W208" s="382">
        <v>0</v>
      </c>
      <c r="X208" s="382">
        <v>0</v>
      </c>
      <c r="Y208" s="382">
        <v>99</v>
      </c>
      <c r="Z208" s="382">
        <v>39</v>
      </c>
      <c r="AA208" s="382">
        <v>1</v>
      </c>
      <c r="AB208" s="382">
        <v>27</v>
      </c>
      <c r="AC208" s="382">
        <v>10</v>
      </c>
      <c r="AD208" s="386">
        <v>9988</v>
      </c>
      <c r="AE208" s="386">
        <v>52</v>
      </c>
      <c r="AF208" s="386">
        <v>43</v>
      </c>
      <c r="AG208" s="386">
        <v>95</v>
      </c>
    </row>
    <row r="209" spans="1:33" x14ac:dyDescent="0.25">
      <c r="A209" s="381" t="s">
        <v>476</v>
      </c>
      <c r="B209" s="387" t="s">
        <v>477</v>
      </c>
      <c r="C209" s="383">
        <v>3660</v>
      </c>
      <c r="D209" s="383">
        <v>0</v>
      </c>
      <c r="E209" s="383">
        <v>325</v>
      </c>
      <c r="F209" s="383">
        <v>399</v>
      </c>
      <c r="G209" s="383">
        <v>854</v>
      </c>
      <c r="H209" s="383">
        <v>5238</v>
      </c>
      <c r="I209" s="382">
        <v>4384</v>
      </c>
      <c r="J209" s="382">
        <v>10</v>
      </c>
      <c r="K209" s="384">
        <v>118.78</v>
      </c>
      <c r="L209" s="384">
        <v>116.84</v>
      </c>
      <c r="M209" s="384">
        <v>9.44</v>
      </c>
      <c r="N209" s="384">
        <v>127.61</v>
      </c>
      <c r="O209" s="385">
        <v>2959</v>
      </c>
      <c r="P209" s="382">
        <v>114.18</v>
      </c>
      <c r="Q209" s="382">
        <v>103.7</v>
      </c>
      <c r="R209" s="382">
        <v>72.150000000000006</v>
      </c>
      <c r="S209" s="382">
        <v>183.75</v>
      </c>
      <c r="T209" s="382">
        <v>559</v>
      </c>
      <c r="U209" s="382">
        <v>157.34</v>
      </c>
      <c r="V209" s="382">
        <v>295</v>
      </c>
      <c r="W209" s="382">
        <v>150.82</v>
      </c>
      <c r="X209" s="382">
        <v>33</v>
      </c>
      <c r="Y209" s="382">
        <v>0</v>
      </c>
      <c r="Z209" s="382">
        <v>1</v>
      </c>
      <c r="AA209" s="382">
        <v>0</v>
      </c>
      <c r="AB209" s="382">
        <v>27</v>
      </c>
      <c r="AC209" s="382">
        <v>46</v>
      </c>
      <c r="AD209" s="386">
        <v>3489</v>
      </c>
      <c r="AE209" s="386">
        <v>12</v>
      </c>
      <c r="AF209" s="386">
        <v>7</v>
      </c>
      <c r="AG209" s="386">
        <v>19</v>
      </c>
    </row>
    <row r="210" spans="1:33" x14ac:dyDescent="0.25">
      <c r="A210" s="381" t="s">
        <v>478</v>
      </c>
      <c r="B210" s="387" t="s">
        <v>479</v>
      </c>
      <c r="C210" s="383">
        <v>3396</v>
      </c>
      <c r="D210" s="383">
        <v>0</v>
      </c>
      <c r="E210" s="383">
        <v>345</v>
      </c>
      <c r="F210" s="383">
        <v>1096</v>
      </c>
      <c r="G210" s="383">
        <v>576</v>
      </c>
      <c r="H210" s="383">
        <v>5413</v>
      </c>
      <c r="I210" s="382">
        <v>4837</v>
      </c>
      <c r="J210" s="382">
        <v>12</v>
      </c>
      <c r="K210" s="384">
        <v>131.33000000000001</v>
      </c>
      <c r="L210" s="384">
        <v>126.08</v>
      </c>
      <c r="M210" s="384">
        <v>11.06</v>
      </c>
      <c r="N210" s="384">
        <v>137.44999999999999</v>
      </c>
      <c r="O210" s="385">
        <v>2930</v>
      </c>
      <c r="P210" s="382">
        <v>104.49</v>
      </c>
      <c r="Q210" s="382">
        <v>100.93</v>
      </c>
      <c r="R210" s="382">
        <v>43.72</v>
      </c>
      <c r="S210" s="382">
        <v>147.44</v>
      </c>
      <c r="T210" s="382">
        <v>1252</v>
      </c>
      <c r="U210" s="382">
        <v>167.39</v>
      </c>
      <c r="V210" s="382">
        <v>173</v>
      </c>
      <c r="W210" s="382">
        <v>136.47</v>
      </c>
      <c r="X210" s="382">
        <v>53</v>
      </c>
      <c r="Y210" s="382">
        <v>0</v>
      </c>
      <c r="Z210" s="382">
        <v>0</v>
      </c>
      <c r="AA210" s="382">
        <v>3</v>
      </c>
      <c r="AB210" s="382">
        <v>26</v>
      </c>
      <c r="AC210" s="382">
        <v>20</v>
      </c>
      <c r="AD210" s="386">
        <v>3273</v>
      </c>
      <c r="AE210" s="386">
        <v>10</v>
      </c>
      <c r="AF210" s="386">
        <v>8</v>
      </c>
      <c r="AG210" s="386">
        <v>18</v>
      </c>
    </row>
    <row r="211" spans="1:33" x14ac:dyDescent="0.25">
      <c r="A211" s="381" t="s">
        <v>480</v>
      </c>
      <c r="B211" s="387" t="s">
        <v>481</v>
      </c>
      <c r="C211" s="383">
        <v>11349</v>
      </c>
      <c r="D211" s="383">
        <v>0</v>
      </c>
      <c r="E211" s="383">
        <v>200</v>
      </c>
      <c r="F211" s="383">
        <v>610</v>
      </c>
      <c r="G211" s="383">
        <v>234</v>
      </c>
      <c r="H211" s="383">
        <v>12393</v>
      </c>
      <c r="I211" s="382">
        <v>12159</v>
      </c>
      <c r="J211" s="382">
        <v>132</v>
      </c>
      <c r="K211" s="384">
        <v>88.23</v>
      </c>
      <c r="L211" s="384">
        <v>88.55</v>
      </c>
      <c r="M211" s="384">
        <v>5.89</v>
      </c>
      <c r="N211" s="384">
        <v>91.22</v>
      </c>
      <c r="O211" s="385">
        <v>10959</v>
      </c>
      <c r="P211" s="382">
        <v>84.67</v>
      </c>
      <c r="Q211" s="382">
        <v>79.010000000000005</v>
      </c>
      <c r="R211" s="382">
        <v>51.01</v>
      </c>
      <c r="S211" s="382">
        <v>135.36000000000001</v>
      </c>
      <c r="T211" s="382">
        <v>636</v>
      </c>
      <c r="U211" s="382">
        <v>107.57</v>
      </c>
      <c r="V211" s="382">
        <v>219</v>
      </c>
      <c r="W211" s="382">
        <v>152.12</v>
      </c>
      <c r="X211" s="382">
        <v>127</v>
      </c>
      <c r="Y211" s="382">
        <v>0</v>
      </c>
      <c r="Z211" s="382">
        <v>41</v>
      </c>
      <c r="AA211" s="382">
        <v>1</v>
      </c>
      <c r="AB211" s="382">
        <v>8</v>
      </c>
      <c r="AC211" s="382">
        <v>6</v>
      </c>
      <c r="AD211" s="386">
        <v>11349</v>
      </c>
      <c r="AE211" s="386">
        <v>60</v>
      </c>
      <c r="AF211" s="386">
        <v>79</v>
      </c>
      <c r="AG211" s="386">
        <v>139</v>
      </c>
    </row>
    <row r="212" spans="1:33" x14ac:dyDescent="0.25">
      <c r="A212" s="381" t="s">
        <v>482</v>
      </c>
      <c r="B212" s="387" t="s">
        <v>483</v>
      </c>
      <c r="C212" s="383">
        <v>1682</v>
      </c>
      <c r="D212" s="383">
        <v>0</v>
      </c>
      <c r="E212" s="383">
        <v>189</v>
      </c>
      <c r="F212" s="383">
        <v>179</v>
      </c>
      <c r="G212" s="383">
        <v>141</v>
      </c>
      <c r="H212" s="383">
        <v>2191</v>
      </c>
      <c r="I212" s="382">
        <v>2050</v>
      </c>
      <c r="J212" s="382">
        <v>0</v>
      </c>
      <c r="K212" s="384">
        <v>88.61</v>
      </c>
      <c r="L212" s="384">
        <v>85.91</v>
      </c>
      <c r="M212" s="384">
        <v>4.4800000000000004</v>
      </c>
      <c r="N212" s="384">
        <v>92.48</v>
      </c>
      <c r="O212" s="385">
        <v>1139</v>
      </c>
      <c r="P212" s="382">
        <v>100.82</v>
      </c>
      <c r="Q212" s="382">
        <v>87.67</v>
      </c>
      <c r="R212" s="382">
        <v>50.5</v>
      </c>
      <c r="S212" s="382">
        <v>150.28</v>
      </c>
      <c r="T212" s="382">
        <v>243</v>
      </c>
      <c r="U212" s="382">
        <v>109.52</v>
      </c>
      <c r="V212" s="382">
        <v>197</v>
      </c>
      <c r="W212" s="382">
        <v>187.98</v>
      </c>
      <c r="X212" s="382">
        <v>43</v>
      </c>
      <c r="Y212" s="382">
        <v>0</v>
      </c>
      <c r="Z212" s="382">
        <v>0</v>
      </c>
      <c r="AA212" s="382">
        <v>0</v>
      </c>
      <c r="AB212" s="382">
        <v>3</v>
      </c>
      <c r="AC212" s="382">
        <v>3</v>
      </c>
      <c r="AD212" s="386">
        <v>1405</v>
      </c>
      <c r="AE212" s="386">
        <v>2</v>
      </c>
      <c r="AF212" s="386">
        <v>0</v>
      </c>
      <c r="AG212" s="386">
        <v>2</v>
      </c>
    </row>
    <row r="213" spans="1:33" x14ac:dyDescent="0.25">
      <c r="A213" s="381" t="s">
        <v>484</v>
      </c>
      <c r="B213" s="387" t="s">
        <v>485</v>
      </c>
      <c r="C213" s="383">
        <v>6140</v>
      </c>
      <c r="D213" s="383">
        <v>9</v>
      </c>
      <c r="E213" s="383">
        <v>329</v>
      </c>
      <c r="F213" s="383">
        <v>659</v>
      </c>
      <c r="G213" s="383">
        <v>781</v>
      </c>
      <c r="H213" s="383">
        <v>7918</v>
      </c>
      <c r="I213" s="382">
        <v>7137</v>
      </c>
      <c r="J213" s="382">
        <v>3</v>
      </c>
      <c r="K213" s="384">
        <v>119.6</v>
      </c>
      <c r="L213" s="384">
        <v>120</v>
      </c>
      <c r="M213" s="384">
        <v>4.58</v>
      </c>
      <c r="N213" s="384">
        <v>123.97</v>
      </c>
      <c r="O213" s="385">
        <v>5162</v>
      </c>
      <c r="P213" s="382">
        <v>108.06</v>
      </c>
      <c r="Q213" s="382">
        <v>100</v>
      </c>
      <c r="R213" s="382">
        <v>22.89</v>
      </c>
      <c r="S213" s="382">
        <v>129.21</v>
      </c>
      <c r="T213" s="382">
        <v>670</v>
      </c>
      <c r="U213" s="382">
        <v>147.47</v>
      </c>
      <c r="V213" s="382">
        <v>886</v>
      </c>
      <c r="W213" s="382">
        <v>221.43</v>
      </c>
      <c r="X213" s="382">
        <v>63</v>
      </c>
      <c r="Y213" s="382">
        <v>15</v>
      </c>
      <c r="Z213" s="382">
        <v>13</v>
      </c>
      <c r="AA213" s="382">
        <v>0</v>
      </c>
      <c r="AB213" s="382">
        <v>57</v>
      </c>
      <c r="AC213" s="382">
        <v>25</v>
      </c>
      <c r="AD213" s="386">
        <v>6140</v>
      </c>
      <c r="AE213" s="386">
        <v>13</v>
      </c>
      <c r="AF213" s="386">
        <v>53</v>
      </c>
      <c r="AG213" s="386">
        <v>66</v>
      </c>
    </row>
    <row r="214" spans="1:33" x14ac:dyDescent="0.25">
      <c r="A214" s="381" t="s">
        <v>486</v>
      </c>
      <c r="B214" s="387" t="s">
        <v>487</v>
      </c>
      <c r="C214" s="383">
        <v>1228</v>
      </c>
      <c r="D214" s="383">
        <v>0</v>
      </c>
      <c r="E214" s="383">
        <v>86</v>
      </c>
      <c r="F214" s="383">
        <v>753</v>
      </c>
      <c r="G214" s="383">
        <v>237</v>
      </c>
      <c r="H214" s="383">
        <v>2304</v>
      </c>
      <c r="I214" s="382">
        <v>2067</v>
      </c>
      <c r="J214" s="382">
        <v>1</v>
      </c>
      <c r="K214" s="384">
        <v>85.96</v>
      </c>
      <c r="L214" s="384">
        <v>85.42</v>
      </c>
      <c r="M214" s="384">
        <v>3.16</v>
      </c>
      <c r="N214" s="384">
        <v>88.18</v>
      </c>
      <c r="O214" s="385">
        <v>957</v>
      </c>
      <c r="P214" s="382">
        <v>75.25</v>
      </c>
      <c r="Q214" s="382">
        <v>71.52</v>
      </c>
      <c r="R214" s="382">
        <v>15.67</v>
      </c>
      <c r="S214" s="382">
        <v>90.6</v>
      </c>
      <c r="T214" s="382">
        <v>781</v>
      </c>
      <c r="U214" s="382">
        <v>106.79</v>
      </c>
      <c r="V214" s="382">
        <v>258</v>
      </c>
      <c r="W214" s="382">
        <v>123.86</v>
      </c>
      <c r="X214" s="382">
        <v>18</v>
      </c>
      <c r="Y214" s="382">
        <v>7</v>
      </c>
      <c r="Z214" s="382">
        <v>4</v>
      </c>
      <c r="AA214" s="382">
        <v>0</v>
      </c>
      <c r="AB214" s="382">
        <v>36</v>
      </c>
      <c r="AC214" s="382">
        <v>0</v>
      </c>
      <c r="AD214" s="386">
        <v>1227</v>
      </c>
      <c r="AE214" s="386">
        <v>9</v>
      </c>
      <c r="AF214" s="386">
        <v>0</v>
      </c>
      <c r="AG214" s="386">
        <v>9</v>
      </c>
    </row>
    <row r="215" spans="1:33" x14ac:dyDescent="0.25">
      <c r="A215" s="381" t="s">
        <v>488</v>
      </c>
      <c r="B215" s="387" t="s">
        <v>489</v>
      </c>
      <c r="C215" s="383">
        <v>8789</v>
      </c>
      <c r="D215" s="383">
        <v>12</v>
      </c>
      <c r="E215" s="383">
        <v>305</v>
      </c>
      <c r="F215" s="383">
        <v>841</v>
      </c>
      <c r="G215" s="383">
        <v>473</v>
      </c>
      <c r="H215" s="383">
        <v>10420</v>
      </c>
      <c r="I215" s="382">
        <v>9947</v>
      </c>
      <c r="J215" s="382">
        <v>2</v>
      </c>
      <c r="K215" s="384">
        <v>122.82</v>
      </c>
      <c r="L215" s="384">
        <v>137.75</v>
      </c>
      <c r="M215" s="384">
        <v>9.58</v>
      </c>
      <c r="N215" s="384">
        <v>129.46</v>
      </c>
      <c r="O215" s="385">
        <v>7914</v>
      </c>
      <c r="P215" s="382">
        <v>119.49</v>
      </c>
      <c r="Q215" s="382">
        <v>118.98</v>
      </c>
      <c r="R215" s="382">
        <v>33.75</v>
      </c>
      <c r="S215" s="382">
        <v>151.03</v>
      </c>
      <c r="T215" s="382">
        <v>1086</v>
      </c>
      <c r="U215" s="382">
        <v>187.09</v>
      </c>
      <c r="V215" s="382">
        <v>679</v>
      </c>
      <c r="W215" s="382">
        <v>207.69</v>
      </c>
      <c r="X215" s="382">
        <v>11</v>
      </c>
      <c r="Y215" s="382">
        <v>0</v>
      </c>
      <c r="Z215" s="382">
        <v>5</v>
      </c>
      <c r="AA215" s="382">
        <v>1</v>
      </c>
      <c r="AB215" s="382">
        <v>12</v>
      </c>
      <c r="AC215" s="382">
        <v>13</v>
      </c>
      <c r="AD215" s="386">
        <v>8705</v>
      </c>
      <c r="AE215" s="386">
        <v>13</v>
      </c>
      <c r="AF215" s="386">
        <v>37</v>
      </c>
      <c r="AG215" s="386">
        <v>50</v>
      </c>
    </row>
    <row r="216" spans="1:33" x14ac:dyDescent="0.25">
      <c r="A216" s="381" t="s">
        <v>490</v>
      </c>
      <c r="B216" s="387" t="s">
        <v>491</v>
      </c>
      <c r="C216" s="383">
        <v>659</v>
      </c>
      <c r="D216" s="383">
        <v>4</v>
      </c>
      <c r="E216" s="383">
        <v>120</v>
      </c>
      <c r="F216" s="383">
        <v>96</v>
      </c>
      <c r="G216" s="383">
        <v>46</v>
      </c>
      <c r="H216" s="383">
        <v>925</v>
      </c>
      <c r="I216" s="382">
        <v>879</v>
      </c>
      <c r="J216" s="382">
        <v>4</v>
      </c>
      <c r="K216" s="384">
        <v>92.26</v>
      </c>
      <c r="L216" s="384">
        <v>92.11</v>
      </c>
      <c r="M216" s="384">
        <v>3.79</v>
      </c>
      <c r="N216" s="384">
        <v>95.02</v>
      </c>
      <c r="O216" s="385">
        <v>519</v>
      </c>
      <c r="P216" s="382">
        <v>111.26</v>
      </c>
      <c r="Q216" s="382">
        <v>96.43</v>
      </c>
      <c r="R216" s="382">
        <v>81.73</v>
      </c>
      <c r="S216" s="382">
        <v>192.99</v>
      </c>
      <c r="T216" s="382">
        <v>153</v>
      </c>
      <c r="U216" s="382">
        <v>104.36</v>
      </c>
      <c r="V216" s="382">
        <v>106</v>
      </c>
      <c r="W216" s="382">
        <v>157.72</v>
      </c>
      <c r="X216" s="382">
        <v>53</v>
      </c>
      <c r="Y216" s="382">
        <v>0</v>
      </c>
      <c r="Z216" s="382">
        <v>0</v>
      </c>
      <c r="AA216" s="382">
        <v>0</v>
      </c>
      <c r="AB216" s="382">
        <v>0</v>
      </c>
      <c r="AC216" s="382">
        <v>0</v>
      </c>
      <c r="AD216" s="386">
        <v>659</v>
      </c>
      <c r="AE216" s="386">
        <v>17</v>
      </c>
      <c r="AF216" s="386">
        <v>2</v>
      </c>
      <c r="AG216" s="386">
        <v>19</v>
      </c>
    </row>
    <row r="217" spans="1:33" x14ac:dyDescent="0.25">
      <c r="A217" s="381" t="s">
        <v>492</v>
      </c>
      <c r="B217" s="387" t="s">
        <v>493</v>
      </c>
      <c r="C217" s="383">
        <v>18386</v>
      </c>
      <c r="D217" s="383">
        <v>0</v>
      </c>
      <c r="E217" s="383">
        <v>519</v>
      </c>
      <c r="F217" s="383">
        <v>2044</v>
      </c>
      <c r="G217" s="383">
        <v>219</v>
      </c>
      <c r="H217" s="383">
        <v>21168</v>
      </c>
      <c r="I217" s="382">
        <v>20949</v>
      </c>
      <c r="J217" s="382">
        <v>2</v>
      </c>
      <c r="K217" s="384">
        <v>76.53</v>
      </c>
      <c r="L217" s="384">
        <v>76.22</v>
      </c>
      <c r="M217" s="384">
        <v>4.72</v>
      </c>
      <c r="N217" s="384">
        <v>80.72</v>
      </c>
      <c r="O217" s="385">
        <v>16941</v>
      </c>
      <c r="P217" s="382">
        <v>76.83</v>
      </c>
      <c r="Q217" s="382">
        <v>72.459999999999994</v>
      </c>
      <c r="R217" s="382">
        <v>27.26</v>
      </c>
      <c r="S217" s="382">
        <v>102.8</v>
      </c>
      <c r="T217" s="382">
        <v>2465</v>
      </c>
      <c r="U217" s="382">
        <v>94.91</v>
      </c>
      <c r="V217" s="382">
        <v>1274</v>
      </c>
      <c r="W217" s="382">
        <v>0</v>
      </c>
      <c r="X217" s="382">
        <v>0</v>
      </c>
      <c r="Y217" s="382">
        <v>0</v>
      </c>
      <c r="Z217" s="382">
        <v>170</v>
      </c>
      <c r="AA217" s="382">
        <v>8</v>
      </c>
      <c r="AB217" s="382">
        <v>0</v>
      </c>
      <c r="AC217" s="382">
        <v>2</v>
      </c>
      <c r="AD217" s="386">
        <v>18270</v>
      </c>
      <c r="AE217" s="386">
        <v>215</v>
      </c>
      <c r="AF217" s="386">
        <v>27</v>
      </c>
      <c r="AG217" s="386">
        <v>242</v>
      </c>
    </row>
    <row r="218" spans="1:33" x14ac:dyDescent="0.25">
      <c r="A218" s="381" t="s">
        <v>494</v>
      </c>
      <c r="B218" s="387" t="s">
        <v>495</v>
      </c>
      <c r="C218" s="383">
        <v>2069</v>
      </c>
      <c r="D218" s="383">
        <v>0</v>
      </c>
      <c r="E218" s="383">
        <v>48</v>
      </c>
      <c r="F218" s="383">
        <v>716</v>
      </c>
      <c r="G218" s="383">
        <v>85</v>
      </c>
      <c r="H218" s="383">
        <v>2918</v>
      </c>
      <c r="I218" s="382">
        <v>2833</v>
      </c>
      <c r="J218" s="382">
        <v>8</v>
      </c>
      <c r="K218" s="384">
        <v>101.06</v>
      </c>
      <c r="L218" s="384">
        <v>101.45</v>
      </c>
      <c r="M218" s="384">
        <v>6.01</v>
      </c>
      <c r="N218" s="384">
        <v>103.85</v>
      </c>
      <c r="O218" s="385">
        <v>1763</v>
      </c>
      <c r="P218" s="382">
        <v>87.83</v>
      </c>
      <c r="Q218" s="382">
        <v>86.92</v>
      </c>
      <c r="R218" s="382">
        <v>34.630000000000003</v>
      </c>
      <c r="S218" s="382">
        <v>120.82</v>
      </c>
      <c r="T218" s="382">
        <v>764</v>
      </c>
      <c r="U218" s="382">
        <v>139.57</v>
      </c>
      <c r="V218" s="382">
        <v>305</v>
      </c>
      <c r="W218" s="382">
        <v>0</v>
      </c>
      <c r="X218" s="382">
        <v>0</v>
      </c>
      <c r="Y218" s="382">
        <v>0</v>
      </c>
      <c r="Z218" s="382">
        <v>1</v>
      </c>
      <c r="AA218" s="382">
        <v>0</v>
      </c>
      <c r="AB218" s="382">
        <v>1</v>
      </c>
      <c r="AC218" s="382">
        <v>1</v>
      </c>
      <c r="AD218" s="386">
        <v>2069</v>
      </c>
      <c r="AE218" s="386">
        <v>3</v>
      </c>
      <c r="AF218" s="386">
        <v>10</v>
      </c>
      <c r="AG218" s="386">
        <v>13</v>
      </c>
    </row>
    <row r="219" spans="1:33" x14ac:dyDescent="0.25">
      <c r="A219" s="381" t="s">
        <v>496</v>
      </c>
      <c r="B219" s="387" t="s">
        <v>497</v>
      </c>
      <c r="C219" s="383">
        <v>4249</v>
      </c>
      <c r="D219" s="383">
        <v>0</v>
      </c>
      <c r="E219" s="383">
        <v>88</v>
      </c>
      <c r="F219" s="383">
        <v>290</v>
      </c>
      <c r="G219" s="383">
        <v>27</v>
      </c>
      <c r="H219" s="383">
        <v>4654</v>
      </c>
      <c r="I219" s="382">
        <v>4627</v>
      </c>
      <c r="J219" s="382">
        <v>0</v>
      </c>
      <c r="K219" s="384">
        <v>74.849999999999994</v>
      </c>
      <c r="L219" s="384">
        <v>75.430000000000007</v>
      </c>
      <c r="M219" s="384">
        <v>3.38</v>
      </c>
      <c r="N219" s="384">
        <v>75.63</v>
      </c>
      <c r="O219" s="385">
        <v>3811</v>
      </c>
      <c r="P219" s="382">
        <v>86.06</v>
      </c>
      <c r="Q219" s="382">
        <v>84.12</v>
      </c>
      <c r="R219" s="382">
        <v>32.26</v>
      </c>
      <c r="S219" s="382">
        <v>116.24</v>
      </c>
      <c r="T219" s="382">
        <v>356</v>
      </c>
      <c r="U219" s="382">
        <v>92.33</v>
      </c>
      <c r="V219" s="382">
        <v>429</v>
      </c>
      <c r="W219" s="382">
        <v>0</v>
      </c>
      <c r="X219" s="382">
        <v>0</v>
      </c>
      <c r="Y219" s="382">
        <v>4</v>
      </c>
      <c r="Z219" s="382">
        <v>20</v>
      </c>
      <c r="AA219" s="382">
        <v>0</v>
      </c>
      <c r="AB219" s="382">
        <v>8</v>
      </c>
      <c r="AC219" s="382">
        <v>3</v>
      </c>
      <c r="AD219" s="386">
        <v>4244</v>
      </c>
      <c r="AE219" s="386">
        <v>23</v>
      </c>
      <c r="AF219" s="386">
        <v>6</v>
      </c>
      <c r="AG219" s="386">
        <v>29</v>
      </c>
    </row>
    <row r="220" spans="1:33" x14ac:dyDescent="0.25">
      <c r="A220" s="381" t="s">
        <v>498</v>
      </c>
      <c r="B220" s="387" t="s">
        <v>499</v>
      </c>
      <c r="C220" s="383">
        <v>3629</v>
      </c>
      <c r="D220" s="383">
        <v>0</v>
      </c>
      <c r="E220" s="383">
        <v>132</v>
      </c>
      <c r="F220" s="383">
        <v>606</v>
      </c>
      <c r="G220" s="383">
        <v>199</v>
      </c>
      <c r="H220" s="383">
        <v>4566</v>
      </c>
      <c r="I220" s="382">
        <v>4367</v>
      </c>
      <c r="J220" s="382">
        <v>17</v>
      </c>
      <c r="K220" s="384">
        <v>97.4</v>
      </c>
      <c r="L220" s="384">
        <v>96.95</v>
      </c>
      <c r="M220" s="384">
        <v>3.54</v>
      </c>
      <c r="N220" s="384">
        <v>100.33</v>
      </c>
      <c r="O220" s="385">
        <v>3217</v>
      </c>
      <c r="P220" s="382">
        <v>89.97</v>
      </c>
      <c r="Q220" s="382">
        <v>89.57</v>
      </c>
      <c r="R220" s="382">
        <v>37.01</v>
      </c>
      <c r="S220" s="382">
        <v>126.53</v>
      </c>
      <c r="T220" s="382">
        <v>571</v>
      </c>
      <c r="U220" s="382">
        <v>119.48</v>
      </c>
      <c r="V220" s="382">
        <v>409</v>
      </c>
      <c r="W220" s="382">
        <v>86.41</v>
      </c>
      <c r="X220" s="382">
        <v>7</v>
      </c>
      <c r="Y220" s="382">
        <v>0</v>
      </c>
      <c r="Z220" s="382">
        <v>6</v>
      </c>
      <c r="AA220" s="382">
        <v>0</v>
      </c>
      <c r="AB220" s="382">
        <v>11</v>
      </c>
      <c r="AC220" s="382">
        <v>3</v>
      </c>
      <c r="AD220" s="386">
        <v>3602</v>
      </c>
      <c r="AE220" s="386">
        <v>13</v>
      </c>
      <c r="AF220" s="386">
        <v>18</v>
      </c>
      <c r="AG220" s="386">
        <v>31</v>
      </c>
    </row>
    <row r="221" spans="1:33" x14ac:dyDescent="0.25">
      <c r="A221" s="381" t="s">
        <v>500</v>
      </c>
      <c r="B221" s="387" t="s">
        <v>501</v>
      </c>
      <c r="C221" s="383">
        <v>3369</v>
      </c>
      <c r="D221" s="383">
        <v>0</v>
      </c>
      <c r="E221" s="383">
        <v>433</v>
      </c>
      <c r="F221" s="383">
        <v>864</v>
      </c>
      <c r="G221" s="383">
        <v>303</v>
      </c>
      <c r="H221" s="383">
        <v>4969</v>
      </c>
      <c r="I221" s="382">
        <v>4666</v>
      </c>
      <c r="J221" s="382">
        <v>7</v>
      </c>
      <c r="K221" s="384">
        <v>82.4</v>
      </c>
      <c r="L221" s="384">
        <v>80.98</v>
      </c>
      <c r="M221" s="384">
        <v>7.74</v>
      </c>
      <c r="N221" s="384">
        <v>86.11</v>
      </c>
      <c r="O221" s="385">
        <v>2903</v>
      </c>
      <c r="P221" s="382">
        <v>83.36</v>
      </c>
      <c r="Q221" s="382">
        <v>72.069999999999993</v>
      </c>
      <c r="R221" s="382">
        <v>33.950000000000003</v>
      </c>
      <c r="S221" s="382">
        <v>113.45</v>
      </c>
      <c r="T221" s="382">
        <v>1241</v>
      </c>
      <c r="U221" s="382">
        <v>98.22</v>
      </c>
      <c r="V221" s="382">
        <v>337</v>
      </c>
      <c r="W221" s="382">
        <v>92.46</v>
      </c>
      <c r="X221" s="382">
        <v>10</v>
      </c>
      <c r="Y221" s="382">
        <v>39</v>
      </c>
      <c r="Z221" s="382">
        <v>1</v>
      </c>
      <c r="AA221" s="382">
        <v>8</v>
      </c>
      <c r="AB221" s="382">
        <v>13</v>
      </c>
      <c r="AC221" s="382">
        <v>4</v>
      </c>
      <c r="AD221" s="386">
        <v>3330</v>
      </c>
      <c r="AE221" s="386">
        <v>45</v>
      </c>
      <c r="AF221" s="386">
        <v>62</v>
      </c>
      <c r="AG221" s="386">
        <v>107</v>
      </c>
    </row>
    <row r="222" spans="1:33" x14ac:dyDescent="0.25">
      <c r="A222" s="381" t="s">
        <v>502</v>
      </c>
      <c r="B222" s="387" t="s">
        <v>503</v>
      </c>
      <c r="C222" s="383">
        <v>2234</v>
      </c>
      <c r="D222" s="383">
        <v>4</v>
      </c>
      <c r="E222" s="383">
        <v>64</v>
      </c>
      <c r="F222" s="383">
        <v>235</v>
      </c>
      <c r="G222" s="383">
        <v>475</v>
      </c>
      <c r="H222" s="383">
        <v>3012</v>
      </c>
      <c r="I222" s="382">
        <v>2537</v>
      </c>
      <c r="J222" s="382">
        <v>25</v>
      </c>
      <c r="K222" s="384">
        <v>99.1</v>
      </c>
      <c r="L222" s="384">
        <v>97.54</v>
      </c>
      <c r="M222" s="384">
        <v>4.74</v>
      </c>
      <c r="N222" s="384">
        <v>102.55</v>
      </c>
      <c r="O222" s="385">
        <v>2030</v>
      </c>
      <c r="P222" s="382">
        <v>83.33</v>
      </c>
      <c r="Q222" s="382">
        <v>81.22</v>
      </c>
      <c r="R222" s="382">
        <v>30.39</v>
      </c>
      <c r="S222" s="382">
        <v>111.32</v>
      </c>
      <c r="T222" s="382">
        <v>177</v>
      </c>
      <c r="U222" s="382">
        <v>114.18</v>
      </c>
      <c r="V222" s="382">
        <v>166</v>
      </c>
      <c r="W222" s="382">
        <v>191.23</v>
      </c>
      <c r="X222" s="382">
        <v>68</v>
      </c>
      <c r="Y222" s="382">
        <v>0</v>
      </c>
      <c r="Z222" s="382">
        <v>0</v>
      </c>
      <c r="AA222" s="382">
        <v>0</v>
      </c>
      <c r="AB222" s="382">
        <v>1</v>
      </c>
      <c r="AC222" s="382">
        <v>7</v>
      </c>
      <c r="AD222" s="386">
        <v>2197</v>
      </c>
      <c r="AE222" s="386">
        <v>10</v>
      </c>
      <c r="AF222" s="386">
        <v>13</v>
      </c>
      <c r="AG222" s="386">
        <v>23</v>
      </c>
    </row>
    <row r="223" spans="1:33" x14ac:dyDescent="0.25">
      <c r="A223" s="381" t="s">
        <v>504</v>
      </c>
      <c r="B223" s="387" t="s">
        <v>505</v>
      </c>
      <c r="C223" s="383">
        <v>1257</v>
      </c>
      <c r="D223" s="383">
        <v>19</v>
      </c>
      <c r="E223" s="383">
        <v>71</v>
      </c>
      <c r="F223" s="383">
        <v>239</v>
      </c>
      <c r="G223" s="383">
        <v>302</v>
      </c>
      <c r="H223" s="383">
        <v>1888</v>
      </c>
      <c r="I223" s="382">
        <v>1586</v>
      </c>
      <c r="J223" s="382">
        <v>12</v>
      </c>
      <c r="K223" s="384">
        <v>123.38</v>
      </c>
      <c r="L223" s="384">
        <v>116.87</v>
      </c>
      <c r="M223" s="384">
        <v>9.65</v>
      </c>
      <c r="N223" s="384">
        <v>131.21</v>
      </c>
      <c r="O223" s="385">
        <v>945</v>
      </c>
      <c r="P223" s="382">
        <v>118.82</v>
      </c>
      <c r="Q223" s="382">
        <v>105.49</v>
      </c>
      <c r="R223" s="382">
        <v>25.3</v>
      </c>
      <c r="S223" s="382">
        <v>142.9</v>
      </c>
      <c r="T223" s="382">
        <v>270</v>
      </c>
      <c r="U223" s="382">
        <v>189.6</v>
      </c>
      <c r="V223" s="382">
        <v>150</v>
      </c>
      <c r="W223" s="382">
        <v>141.77000000000001</v>
      </c>
      <c r="X223" s="382">
        <v>32</v>
      </c>
      <c r="Y223" s="382">
        <v>0</v>
      </c>
      <c r="Z223" s="382">
        <v>2</v>
      </c>
      <c r="AA223" s="382">
        <v>0</v>
      </c>
      <c r="AB223" s="382">
        <v>8</v>
      </c>
      <c r="AC223" s="382">
        <v>8</v>
      </c>
      <c r="AD223" s="386">
        <v>1208</v>
      </c>
      <c r="AE223" s="386">
        <v>3</v>
      </c>
      <c r="AF223" s="386">
        <v>1</v>
      </c>
      <c r="AG223" s="386">
        <v>4</v>
      </c>
    </row>
    <row r="224" spans="1:33" x14ac:dyDescent="0.25">
      <c r="A224" s="381" t="s">
        <v>506</v>
      </c>
      <c r="B224" s="387" t="s">
        <v>507</v>
      </c>
      <c r="C224" s="383">
        <v>2705</v>
      </c>
      <c r="D224" s="383">
        <v>0</v>
      </c>
      <c r="E224" s="383">
        <v>97</v>
      </c>
      <c r="F224" s="383">
        <v>1379</v>
      </c>
      <c r="G224" s="383">
        <v>277</v>
      </c>
      <c r="H224" s="383">
        <v>4458</v>
      </c>
      <c r="I224" s="382">
        <v>4181</v>
      </c>
      <c r="J224" s="382">
        <v>53</v>
      </c>
      <c r="K224" s="384">
        <v>97.11</v>
      </c>
      <c r="L224" s="384">
        <v>100.33</v>
      </c>
      <c r="M224" s="384">
        <v>4.37</v>
      </c>
      <c r="N224" s="384">
        <v>98.66</v>
      </c>
      <c r="O224" s="385">
        <v>2481</v>
      </c>
      <c r="P224" s="382">
        <v>94.39</v>
      </c>
      <c r="Q224" s="382">
        <v>92.67</v>
      </c>
      <c r="R224" s="382">
        <v>15.06</v>
      </c>
      <c r="S224" s="382">
        <v>106.97</v>
      </c>
      <c r="T224" s="382">
        <v>1435</v>
      </c>
      <c r="U224" s="382">
        <v>108.86</v>
      </c>
      <c r="V224" s="382">
        <v>132</v>
      </c>
      <c r="W224" s="382">
        <v>183.02</v>
      </c>
      <c r="X224" s="382">
        <v>3</v>
      </c>
      <c r="Y224" s="382">
        <v>12</v>
      </c>
      <c r="Z224" s="382">
        <v>8</v>
      </c>
      <c r="AA224" s="382">
        <v>0</v>
      </c>
      <c r="AB224" s="382">
        <v>53</v>
      </c>
      <c r="AC224" s="382">
        <v>14</v>
      </c>
      <c r="AD224" s="386">
        <v>2693</v>
      </c>
      <c r="AE224" s="386">
        <v>7</v>
      </c>
      <c r="AF224" s="386">
        <v>7</v>
      </c>
      <c r="AG224" s="386">
        <v>14</v>
      </c>
    </row>
    <row r="225" spans="1:33" x14ac:dyDescent="0.25">
      <c r="A225" s="381" t="s">
        <v>508</v>
      </c>
      <c r="B225" s="387" t="s">
        <v>509</v>
      </c>
      <c r="C225" s="383">
        <v>5305</v>
      </c>
      <c r="D225" s="383">
        <v>1</v>
      </c>
      <c r="E225" s="383">
        <v>177</v>
      </c>
      <c r="F225" s="383">
        <v>723</v>
      </c>
      <c r="G225" s="383">
        <v>573</v>
      </c>
      <c r="H225" s="383">
        <v>6779</v>
      </c>
      <c r="I225" s="382">
        <v>6206</v>
      </c>
      <c r="J225" s="382">
        <v>3</v>
      </c>
      <c r="K225" s="384">
        <v>113.43</v>
      </c>
      <c r="L225" s="384">
        <v>112.21</v>
      </c>
      <c r="M225" s="384">
        <v>8.61</v>
      </c>
      <c r="N225" s="384">
        <v>118.34</v>
      </c>
      <c r="O225" s="385">
        <v>4452</v>
      </c>
      <c r="P225" s="382">
        <v>93.8</v>
      </c>
      <c r="Q225" s="382">
        <v>93.29</v>
      </c>
      <c r="R225" s="382">
        <v>36.229999999999997</v>
      </c>
      <c r="S225" s="382">
        <v>128.52000000000001</v>
      </c>
      <c r="T225" s="382">
        <v>885</v>
      </c>
      <c r="U225" s="382">
        <v>148.44</v>
      </c>
      <c r="V225" s="382">
        <v>744</v>
      </c>
      <c r="W225" s="382">
        <v>137.43</v>
      </c>
      <c r="X225" s="382">
        <v>15</v>
      </c>
      <c r="Y225" s="382">
        <v>0</v>
      </c>
      <c r="Z225" s="382">
        <v>6</v>
      </c>
      <c r="AA225" s="382">
        <v>0</v>
      </c>
      <c r="AB225" s="382">
        <v>20</v>
      </c>
      <c r="AC225" s="382">
        <v>14</v>
      </c>
      <c r="AD225" s="386">
        <v>5249</v>
      </c>
      <c r="AE225" s="386">
        <v>20</v>
      </c>
      <c r="AF225" s="386">
        <v>74</v>
      </c>
      <c r="AG225" s="386">
        <v>94</v>
      </c>
    </row>
    <row r="226" spans="1:33" x14ac:dyDescent="0.25">
      <c r="A226" s="381" t="s">
        <v>510</v>
      </c>
      <c r="B226" s="387" t="s">
        <v>511</v>
      </c>
      <c r="C226" s="383">
        <v>1461</v>
      </c>
      <c r="D226" s="383">
        <v>0</v>
      </c>
      <c r="E226" s="383">
        <v>34</v>
      </c>
      <c r="F226" s="383">
        <v>299</v>
      </c>
      <c r="G226" s="383">
        <v>154</v>
      </c>
      <c r="H226" s="383">
        <v>1948</v>
      </c>
      <c r="I226" s="382">
        <v>1794</v>
      </c>
      <c r="J226" s="382">
        <v>6</v>
      </c>
      <c r="K226" s="384">
        <v>90.6</v>
      </c>
      <c r="L226" s="384">
        <v>90</v>
      </c>
      <c r="M226" s="384">
        <v>5.4</v>
      </c>
      <c r="N226" s="384">
        <v>92.49</v>
      </c>
      <c r="O226" s="385">
        <v>1296</v>
      </c>
      <c r="P226" s="382">
        <v>86.07</v>
      </c>
      <c r="Q226" s="382">
        <v>80.83</v>
      </c>
      <c r="R226" s="382">
        <v>28.01</v>
      </c>
      <c r="S226" s="382">
        <v>105.23</v>
      </c>
      <c r="T226" s="382">
        <v>231</v>
      </c>
      <c r="U226" s="382">
        <v>110.58</v>
      </c>
      <c r="V226" s="382">
        <v>132</v>
      </c>
      <c r="W226" s="382">
        <v>0</v>
      </c>
      <c r="X226" s="382">
        <v>0</v>
      </c>
      <c r="Y226" s="382">
        <v>0</v>
      </c>
      <c r="Z226" s="382">
        <v>9</v>
      </c>
      <c r="AA226" s="382">
        <v>0</v>
      </c>
      <c r="AB226" s="382">
        <v>0</v>
      </c>
      <c r="AC226" s="382">
        <v>5</v>
      </c>
      <c r="AD226" s="386">
        <v>1447</v>
      </c>
      <c r="AE226" s="386">
        <v>5</v>
      </c>
      <c r="AF226" s="386">
        <v>13</v>
      </c>
      <c r="AG226" s="386">
        <v>18</v>
      </c>
    </row>
    <row r="227" spans="1:33" x14ac:dyDescent="0.25">
      <c r="A227" s="381" t="s">
        <v>512</v>
      </c>
      <c r="B227" s="387" t="s">
        <v>513</v>
      </c>
      <c r="C227" s="383">
        <v>3014</v>
      </c>
      <c r="D227" s="383">
        <v>6</v>
      </c>
      <c r="E227" s="383">
        <v>45</v>
      </c>
      <c r="F227" s="383">
        <v>125</v>
      </c>
      <c r="G227" s="383">
        <v>39</v>
      </c>
      <c r="H227" s="383">
        <v>3229</v>
      </c>
      <c r="I227" s="382">
        <v>3190</v>
      </c>
      <c r="J227" s="382">
        <v>3</v>
      </c>
      <c r="K227" s="384">
        <v>90.97</v>
      </c>
      <c r="L227" s="384">
        <v>87.37</v>
      </c>
      <c r="M227" s="384">
        <v>6.39</v>
      </c>
      <c r="N227" s="384">
        <v>93.82</v>
      </c>
      <c r="O227" s="385">
        <v>2007</v>
      </c>
      <c r="P227" s="382">
        <v>81.540000000000006</v>
      </c>
      <c r="Q227" s="382">
        <v>77.489999999999995</v>
      </c>
      <c r="R227" s="382">
        <v>58.03</v>
      </c>
      <c r="S227" s="382">
        <v>134.30000000000001</v>
      </c>
      <c r="T227" s="382">
        <v>154</v>
      </c>
      <c r="U227" s="382">
        <v>98.81</v>
      </c>
      <c r="V227" s="382">
        <v>900</v>
      </c>
      <c r="W227" s="382">
        <v>0</v>
      </c>
      <c r="X227" s="382">
        <v>0</v>
      </c>
      <c r="Y227" s="382">
        <v>0</v>
      </c>
      <c r="Z227" s="382">
        <v>5</v>
      </c>
      <c r="AA227" s="382">
        <v>1</v>
      </c>
      <c r="AB227" s="382">
        <v>1</v>
      </c>
      <c r="AC227" s="382">
        <v>1</v>
      </c>
      <c r="AD227" s="386">
        <v>2996</v>
      </c>
      <c r="AE227" s="386">
        <v>19</v>
      </c>
      <c r="AF227" s="386">
        <v>9</v>
      </c>
      <c r="AG227" s="386">
        <v>28</v>
      </c>
    </row>
    <row r="228" spans="1:33" x14ac:dyDescent="0.25">
      <c r="A228" s="381" t="s">
        <v>514</v>
      </c>
      <c r="B228" s="387" t="s">
        <v>515</v>
      </c>
      <c r="C228" s="383">
        <v>27179</v>
      </c>
      <c r="D228" s="383">
        <v>0</v>
      </c>
      <c r="E228" s="383">
        <v>1614</v>
      </c>
      <c r="F228" s="383">
        <v>1334</v>
      </c>
      <c r="G228" s="383">
        <v>301</v>
      </c>
      <c r="H228" s="383">
        <v>30428</v>
      </c>
      <c r="I228" s="382">
        <v>30127</v>
      </c>
      <c r="J228" s="382">
        <v>1023</v>
      </c>
      <c r="K228" s="384">
        <v>79.260000000000005</v>
      </c>
      <c r="L228" s="384">
        <v>79.36</v>
      </c>
      <c r="M228" s="384">
        <v>7.93</v>
      </c>
      <c r="N228" s="384">
        <v>82.89</v>
      </c>
      <c r="O228" s="385">
        <v>25288</v>
      </c>
      <c r="P228" s="382">
        <v>80.36</v>
      </c>
      <c r="Q228" s="382">
        <v>75.41</v>
      </c>
      <c r="R228" s="382">
        <v>32.43</v>
      </c>
      <c r="S228" s="382">
        <v>111.39</v>
      </c>
      <c r="T228" s="382">
        <v>2666</v>
      </c>
      <c r="U228" s="382">
        <v>109.11</v>
      </c>
      <c r="V228" s="382">
        <v>1692</v>
      </c>
      <c r="W228" s="382">
        <v>155.19</v>
      </c>
      <c r="X228" s="382">
        <v>66</v>
      </c>
      <c r="Y228" s="382">
        <v>0</v>
      </c>
      <c r="Z228" s="382">
        <v>179</v>
      </c>
      <c r="AA228" s="382">
        <v>103</v>
      </c>
      <c r="AB228" s="382">
        <v>85</v>
      </c>
      <c r="AC228" s="382">
        <v>12</v>
      </c>
      <c r="AD228" s="386">
        <v>27072</v>
      </c>
      <c r="AE228" s="386">
        <v>64</v>
      </c>
      <c r="AF228" s="386">
        <v>196</v>
      </c>
      <c r="AG228" s="386">
        <v>260</v>
      </c>
    </row>
    <row r="229" spans="1:33" x14ac:dyDescent="0.25">
      <c r="A229" s="381" t="s">
        <v>516</v>
      </c>
      <c r="B229" s="387" t="s">
        <v>517</v>
      </c>
      <c r="C229" s="383">
        <v>5625</v>
      </c>
      <c r="D229" s="383">
        <v>9</v>
      </c>
      <c r="E229" s="383">
        <v>448</v>
      </c>
      <c r="F229" s="383">
        <v>1103</v>
      </c>
      <c r="G229" s="383">
        <v>590</v>
      </c>
      <c r="H229" s="383">
        <v>7775</v>
      </c>
      <c r="I229" s="382">
        <v>7185</v>
      </c>
      <c r="J229" s="382">
        <v>2</v>
      </c>
      <c r="K229" s="384">
        <v>90.61</v>
      </c>
      <c r="L229" s="384">
        <v>89.43</v>
      </c>
      <c r="M229" s="384">
        <v>6.81</v>
      </c>
      <c r="N229" s="384">
        <v>95.89</v>
      </c>
      <c r="O229" s="385">
        <v>4497</v>
      </c>
      <c r="P229" s="382">
        <v>85.87</v>
      </c>
      <c r="Q229" s="382">
        <v>84.78</v>
      </c>
      <c r="R229" s="382">
        <v>45.22</v>
      </c>
      <c r="S229" s="382">
        <v>130.74</v>
      </c>
      <c r="T229" s="382">
        <v>1171</v>
      </c>
      <c r="U229" s="382">
        <v>110.31</v>
      </c>
      <c r="V229" s="382">
        <v>612</v>
      </c>
      <c r="W229" s="382">
        <v>186.54</v>
      </c>
      <c r="X229" s="382">
        <v>287</v>
      </c>
      <c r="Y229" s="382">
        <v>0</v>
      </c>
      <c r="Z229" s="382">
        <v>2</v>
      </c>
      <c r="AA229" s="382">
        <v>6</v>
      </c>
      <c r="AB229" s="382">
        <v>5</v>
      </c>
      <c r="AC229" s="382">
        <v>15</v>
      </c>
      <c r="AD229" s="386">
        <v>5393</v>
      </c>
      <c r="AE229" s="386">
        <v>35</v>
      </c>
      <c r="AF229" s="386">
        <v>16</v>
      </c>
      <c r="AG229" s="386">
        <v>51</v>
      </c>
    </row>
    <row r="230" spans="1:33" x14ac:dyDescent="0.25">
      <c r="A230" s="381" t="s">
        <v>518</v>
      </c>
      <c r="B230" s="387" t="s">
        <v>519</v>
      </c>
      <c r="C230" s="383">
        <v>5958</v>
      </c>
      <c r="D230" s="383">
        <v>21</v>
      </c>
      <c r="E230" s="383">
        <v>130</v>
      </c>
      <c r="F230" s="383">
        <v>576</v>
      </c>
      <c r="G230" s="383">
        <v>265</v>
      </c>
      <c r="H230" s="383">
        <v>6950</v>
      </c>
      <c r="I230" s="382">
        <v>6685</v>
      </c>
      <c r="J230" s="382">
        <v>83</v>
      </c>
      <c r="K230" s="384">
        <v>85.38</v>
      </c>
      <c r="L230" s="384">
        <v>85.18</v>
      </c>
      <c r="M230" s="384">
        <v>3.12</v>
      </c>
      <c r="N230" s="384">
        <v>86.6</v>
      </c>
      <c r="O230" s="385">
        <v>5554</v>
      </c>
      <c r="P230" s="382">
        <v>87.14</v>
      </c>
      <c r="Q230" s="382">
        <v>83.82</v>
      </c>
      <c r="R230" s="382">
        <v>28.62</v>
      </c>
      <c r="S230" s="382">
        <v>114.78</v>
      </c>
      <c r="T230" s="382">
        <v>579</v>
      </c>
      <c r="U230" s="382">
        <v>105.14</v>
      </c>
      <c r="V230" s="382">
        <v>395</v>
      </c>
      <c r="W230" s="382">
        <v>165.28</v>
      </c>
      <c r="X230" s="382">
        <v>64</v>
      </c>
      <c r="Y230" s="382">
        <v>0</v>
      </c>
      <c r="Z230" s="382">
        <v>15</v>
      </c>
      <c r="AA230" s="382">
        <v>6</v>
      </c>
      <c r="AB230" s="382">
        <v>39</v>
      </c>
      <c r="AC230" s="382">
        <v>13</v>
      </c>
      <c r="AD230" s="386">
        <v>5931</v>
      </c>
      <c r="AE230" s="386">
        <v>44</v>
      </c>
      <c r="AF230" s="386">
        <v>22</v>
      </c>
      <c r="AG230" s="386">
        <v>66</v>
      </c>
    </row>
    <row r="231" spans="1:33" x14ac:dyDescent="0.25">
      <c r="A231" s="381" t="s">
        <v>520</v>
      </c>
      <c r="B231" s="387" t="s">
        <v>521</v>
      </c>
      <c r="C231" s="383">
        <v>2823</v>
      </c>
      <c r="D231" s="383">
        <v>20</v>
      </c>
      <c r="E231" s="383">
        <v>257</v>
      </c>
      <c r="F231" s="383">
        <v>98</v>
      </c>
      <c r="G231" s="383">
        <v>227</v>
      </c>
      <c r="H231" s="383">
        <v>3425</v>
      </c>
      <c r="I231" s="382">
        <v>3198</v>
      </c>
      <c r="J231" s="382">
        <v>0</v>
      </c>
      <c r="K231" s="384">
        <v>93.55</v>
      </c>
      <c r="L231" s="384">
        <v>91.47</v>
      </c>
      <c r="M231" s="384">
        <v>4.32</v>
      </c>
      <c r="N231" s="384">
        <v>97.16</v>
      </c>
      <c r="O231" s="385">
        <v>1569</v>
      </c>
      <c r="P231" s="382">
        <v>77.16</v>
      </c>
      <c r="Q231" s="382">
        <v>71.650000000000006</v>
      </c>
      <c r="R231" s="382">
        <v>52.91</v>
      </c>
      <c r="S231" s="382">
        <v>127.73</v>
      </c>
      <c r="T231" s="382">
        <v>204</v>
      </c>
      <c r="U231" s="382">
        <v>113.94</v>
      </c>
      <c r="V231" s="382">
        <v>510</v>
      </c>
      <c r="W231" s="382">
        <v>0</v>
      </c>
      <c r="X231" s="382">
        <v>0</v>
      </c>
      <c r="Y231" s="382">
        <v>0</v>
      </c>
      <c r="Z231" s="382">
        <v>0</v>
      </c>
      <c r="AA231" s="382">
        <v>0</v>
      </c>
      <c r="AB231" s="382">
        <v>54</v>
      </c>
      <c r="AC231" s="382">
        <v>6</v>
      </c>
      <c r="AD231" s="386">
        <v>2013</v>
      </c>
      <c r="AE231" s="386">
        <v>12</v>
      </c>
      <c r="AF231" s="386">
        <v>9</v>
      </c>
      <c r="AG231" s="386">
        <v>21</v>
      </c>
    </row>
    <row r="232" spans="1:33" x14ac:dyDescent="0.25">
      <c r="A232" s="381" t="s">
        <v>522</v>
      </c>
      <c r="B232" s="387" t="s">
        <v>523</v>
      </c>
      <c r="C232" s="383">
        <v>15354</v>
      </c>
      <c r="D232" s="383">
        <v>13</v>
      </c>
      <c r="E232" s="383">
        <v>1555</v>
      </c>
      <c r="F232" s="383">
        <v>1645</v>
      </c>
      <c r="G232" s="383">
        <v>549</v>
      </c>
      <c r="H232" s="383">
        <v>19116</v>
      </c>
      <c r="I232" s="382">
        <v>18567</v>
      </c>
      <c r="J232" s="382">
        <v>7</v>
      </c>
      <c r="K232" s="384">
        <v>88</v>
      </c>
      <c r="L232" s="384">
        <v>85.02</v>
      </c>
      <c r="M232" s="384">
        <v>9.6300000000000008</v>
      </c>
      <c r="N232" s="384">
        <v>91.47</v>
      </c>
      <c r="O232" s="385">
        <v>14029</v>
      </c>
      <c r="P232" s="382">
        <v>81.62</v>
      </c>
      <c r="Q232" s="382">
        <v>78.709999999999994</v>
      </c>
      <c r="R232" s="382">
        <v>32.869999999999997</v>
      </c>
      <c r="S232" s="382">
        <v>113.8</v>
      </c>
      <c r="T232" s="382">
        <v>2783</v>
      </c>
      <c r="U232" s="382">
        <v>99.57</v>
      </c>
      <c r="V232" s="382">
        <v>758</v>
      </c>
      <c r="W232" s="382">
        <v>0</v>
      </c>
      <c r="X232" s="382">
        <v>0</v>
      </c>
      <c r="Y232" s="382">
        <v>30</v>
      </c>
      <c r="Z232" s="382">
        <v>88</v>
      </c>
      <c r="AA232" s="382">
        <v>84</v>
      </c>
      <c r="AB232" s="382">
        <v>0</v>
      </c>
      <c r="AC232" s="382">
        <v>5</v>
      </c>
      <c r="AD232" s="386">
        <v>14856</v>
      </c>
      <c r="AE232" s="386">
        <v>71</v>
      </c>
      <c r="AF232" s="386">
        <v>176</v>
      </c>
      <c r="AG232" s="386">
        <v>247</v>
      </c>
    </row>
    <row r="233" spans="1:33" x14ac:dyDescent="0.25">
      <c r="A233" s="381" t="s">
        <v>524</v>
      </c>
      <c r="B233" s="387" t="s">
        <v>525</v>
      </c>
      <c r="C233" s="383">
        <v>1423</v>
      </c>
      <c r="D233" s="383">
        <v>0</v>
      </c>
      <c r="E233" s="383">
        <v>46</v>
      </c>
      <c r="F233" s="383">
        <v>193</v>
      </c>
      <c r="G233" s="383">
        <v>193</v>
      </c>
      <c r="H233" s="383">
        <v>1855</v>
      </c>
      <c r="I233" s="382">
        <v>1662</v>
      </c>
      <c r="J233" s="382">
        <v>6</v>
      </c>
      <c r="K233" s="384">
        <v>91</v>
      </c>
      <c r="L233" s="384">
        <v>89.56</v>
      </c>
      <c r="M233" s="384">
        <v>5.41</v>
      </c>
      <c r="N233" s="384">
        <v>94.62</v>
      </c>
      <c r="O233" s="385">
        <v>1136</v>
      </c>
      <c r="P233" s="382">
        <v>104.26</v>
      </c>
      <c r="Q233" s="382">
        <v>88.33</v>
      </c>
      <c r="R233" s="382">
        <v>53.51</v>
      </c>
      <c r="S233" s="382">
        <v>156.4</v>
      </c>
      <c r="T233" s="382">
        <v>234</v>
      </c>
      <c r="U233" s="382">
        <v>100.05</v>
      </c>
      <c r="V233" s="382">
        <v>129</v>
      </c>
      <c r="W233" s="382">
        <v>0</v>
      </c>
      <c r="X233" s="382">
        <v>0</v>
      </c>
      <c r="Y233" s="382">
        <v>0</v>
      </c>
      <c r="Z233" s="382">
        <v>2</v>
      </c>
      <c r="AA233" s="382">
        <v>1</v>
      </c>
      <c r="AB233" s="382">
        <v>12</v>
      </c>
      <c r="AC233" s="382">
        <v>2</v>
      </c>
      <c r="AD233" s="386">
        <v>1403</v>
      </c>
      <c r="AE233" s="386">
        <v>23</v>
      </c>
      <c r="AF233" s="386">
        <v>4</v>
      </c>
      <c r="AG233" s="386">
        <v>27</v>
      </c>
    </row>
    <row r="234" spans="1:33" x14ac:dyDescent="0.25">
      <c r="A234" s="381" t="s">
        <v>526</v>
      </c>
      <c r="B234" s="387" t="s">
        <v>527</v>
      </c>
      <c r="C234" s="383">
        <v>5312</v>
      </c>
      <c r="D234" s="383">
        <v>8</v>
      </c>
      <c r="E234" s="383">
        <v>97</v>
      </c>
      <c r="F234" s="383">
        <v>1136</v>
      </c>
      <c r="G234" s="383">
        <v>742</v>
      </c>
      <c r="H234" s="383">
        <v>7295</v>
      </c>
      <c r="I234" s="382">
        <v>6553</v>
      </c>
      <c r="J234" s="382">
        <v>67</v>
      </c>
      <c r="K234" s="384">
        <v>108.77</v>
      </c>
      <c r="L234" s="384">
        <v>108.6</v>
      </c>
      <c r="M234" s="384">
        <v>3.67</v>
      </c>
      <c r="N234" s="384">
        <v>111.07</v>
      </c>
      <c r="O234" s="385">
        <v>5092</v>
      </c>
      <c r="P234" s="382">
        <v>92.67</v>
      </c>
      <c r="Q234" s="382">
        <v>97.31</v>
      </c>
      <c r="R234" s="382">
        <v>21.59</v>
      </c>
      <c r="S234" s="382">
        <v>113.67</v>
      </c>
      <c r="T234" s="382">
        <v>1000</v>
      </c>
      <c r="U234" s="382">
        <v>148.72999999999999</v>
      </c>
      <c r="V234" s="382">
        <v>175</v>
      </c>
      <c r="W234" s="382">
        <v>141.13999999999999</v>
      </c>
      <c r="X234" s="382">
        <v>76</v>
      </c>
      <c r="Y234" s="382">
        <v>0</v>
      </c>
      <c r="Z234" s="382">
        <v>6</v>
      </c>
      <c r="AA234" s="382">
        <v>0</v>
      </c>
      <c r="AB234" s="382">
        <v>52</v>
      </c>
      <c r="AC234" s="382">
        <v>11</v>
      </c>
      <c r="AD234" s="386">
        <v>5283</v>
      </c>
      <c r="AE234" s="386">
        <v>27</v>
      </c>
      <c r="AF234" s="386">
        <v>8</v>
      </c>
      <c r="AG234" s="386">
        <v>35</v>
      </c>
    </row>
    <row r="235" spans="1:33" x14ac:dyDescent="0.25">
      <c r="A235" s="381" t="s">
        <v>528</v>
      </c>
      <c r="B235" s="387" t="s">
        <v>529</v>
      </c>
      <c r="C235" s="383">
        <v>15399</v>
      </c>
      <c r="D235" s="383">
        <v>85</v>
      </c>
      <c r="E235" s="383">
        <v>1322</v>
      </c>
      <c r="F235" s="383">
        <v>957</v>
      </c>
      <c r="G235" s="383">
        <v>490</v>
      </c>
      <c r="H235" s="383">
        <v>18253</v>
      </c>
      <c r="I235" s="382">
        <v>17763</v>
      </c>
      <c r="J235" s="382">
        <v>7</v>
      </c>
      <c r="K235" s="384">
        <v>80.16</v>
      </c>
      <c r="L235" s="384">
        <v>79.099999999999994</v>
      </c>
      <c r="M235" s="384">
        <v>7.77</v>
      </c>
      <c r="N235" s="384">
        <v>82.71</v>
      </c>
      <c r="O235" s="385">
        <v>13554</v>
      </c>
      <c r="P235" s="382">
        <v>87.57</v>
      </c>
      <c r="Q235" s="382">
        <v>81</v>
      </c>
      <c r="R235" s="382">
        <v>53.86</v>
      </c>
      <c r="S235" s="382">
        <v>135.19999999999999</v>
      </c>
      <c r="T235" s="382">
        <v>1997</v>
      </c>
      <c r="U235" s="382">
        <v>96.12</v>
      </c>
      <c r="V235" s="382">
        <v>1682</v>
      </c>
      <c r="W235" s="382">
        <v>125.52</v>
      </c>
      <c r="X235" s="382">
        <v>35</v>
      </c>
      <c r="Y235" s="382">
        <v>82</v>
      </c>
      <c r="Z235" s="382">
        <v>51</v>
      </c>
      <c r="AA235" s="382">
        <v>13</v>
      </c>
      <c r="AB235" s="382">
        <v>22</v>
      </c>
      <c r="AC235" s="382">
        <v>14</v>
      </c>
      <c r="AD235" s="386">
        <v>15324</v>
      </c>
      <c r="AE235" s="386">
        <v>97</v>
      </c>
      <c r="AF235" s="386">
        <v>85</v>
      </c>
      <c r="AG235" s="386">
        <v>182</v>
      </c>
    </row>
    <row r="236" spans="1:33" x14ac:dyDescent="0.25">
      <c r="A236" s="381" t="s">
        <v>530</v>
      </c>
      <c r="B236" s="387" t="s">
        <v>531</v>
      </c>
      <c r="C236" s="383">
        <v>12365</v>
      </c>
      <c r="D236" s="383">
        <v>24</v>
      </c>
      <c r="E236" s="383">
        <v>217</v>
      </c>
      <c r="F236" s="383">
        <v>1568</v>
      </c>
      <c r="G236" s="383">
        <v>709</v>
      </c>
      <c r="H236" s="383">
        <v>14883</v>
      </c>
      <c r="I236" s="382">
        <v>14174</v>
      </c>
      <c r="J236" s="382">
        <v>3</v>
      </c>
      <c r="K236" s="384">
        <v>89.36</v>
      </c>
      <c r="L236" s="384">
        <v>89.01</v>
      </c>
      <c r="M236" s="384">
        <v>3.4</v>
      </c>
      <c r="N236" s="384">
        <v>91.17</v>
      </c>
      <c r="O236" s="385">
        <v>10376</v>
      </c>
      <c r="P236" s="382">
        <v>85.18</v>
      </c>
      <c r="Q236" s="382">
        <v>84.28</v>
      </c>
      <c r="R236" s="382">
        <v>20.8</v>
      </c>
      <c r="S236" s="382">
        <v>105.14</v>
      </c>
      <c r="T236" s="382">
        <v>1631</v>
      </c>
      <c r="U236" s="382">
        <v>106.44</v>
      </c>
      <c r="V236" s="382">
        <v>1329</v>
      </c>
      <c r="W236" s="382">
        <v>133.16999999999999</v>
      </c>
      <c r="X236" s="382">
        <v>130</v>
      </c>
      <c r="Y236" s="382">
        <v>0</v>
      </c>
      <c r="Z236" s="382">
        <v>38</v>
      </c>
      <c r="AA236" s="382">
        <v>21</v>
      </c>
      <c r="AB236" s="382">
        <v>27</v>
      </c>
      <c r="AC236" s="382">
        <v>10</v>
      </c>
      <c r="AD236" s="386">
        <v>11898</v>
      </c>
      <c r="AE236" s="386">
        <v>75</v>
      </c>
      <c r="AF236" s="386">
        <v>82</v>
      </c>
      <c r="AG236" s="386">
        <v>157</v>
      </c>
    </row>
    <row r="237" spans="1:33" x14ac:dyDescent="0.25">
      <c r="A237" s="381" t="s">
        <v>532</v>
      </c>
      <c r="B237" s="387" t="s">
        <v>533</v>
      </c>
      <c r="C237" s="383">
        <v>3526</v>
      </c>
      <c r="D237" s="383">
        <v>30</v>
      </c>
      <c r="E237" s="383">
        <v>354</v>
      </c>
      <c r="F237" s="383">
        <v>228</v>
      </c>
      <c r="G237" s="383">
        <v>491</v>
      </c>
      <c r="H237" s="383">
        <v>4629</v>
      </c>
      <c r="I237" s="382">
        <v>4138</v>
      </c>
      <c r="J237" s="382">
        <v>13</v>
      </c>
      <c r="K237" s="384">
        <v>122.04</v>
      </c>
      <c r="L237" s="384">
        <v>120.99</v>
      </c>
      <c r="M237" s="384">
        <v>7.21</v>
      </c>
      <c r="N237" s="384">
        <v>128.36000000000001</v>
      </c>
      <c r="O237" s="385">
        <v>3126</v>
      </c>
      <c r="P237" s="382">
        <v>98.74</v>
      </c>
      <c r="Q237" s="382">
        <v>98.2</v>
      </c>
      <c r="R237" s="382">
        <v>51.08</v>
      </c>
      <c r="S237" s="382">
        <v>139.75</v>
      </c>
      <c r="T237" s="382">
        <v>487</v>
      </c>
      <c r="U237" s="382">
        <v>149.30000000000001</v>
      </c>
      <c r="V237" s="382">
        <v>167</v>
      </c>
      <c r="W237" s="382">
        <v>0</v>
      </c>
      <c r="X237" s="382">
        <v>0</v>
      </c>
      <c r="Y237" s="382">
        <v>7</v>
      </c>
      <c r="Z237" s="382">
        <v>28</v>
      </c>
      <c r="AA237" s="382">
        <v>10</v>
      </c>
      <c r="AB237" s="382">
        <v>31</v>
      </c>
      <c r="AC237" s="382">
        <v>20</v>
      </c>
      <c r="AD237" s="386">
        <v>3354</v>
      </c>
      <c r="AE237" s="386">
        <v>14</v>
      </c>
      <c r="AF237" s="386">
        <v>7</v>
      </c>
      <c r="AG237" s="386">
        <v>21</v>
      </c>
    </row>
    <row r="238" spans="1:33" x14ac:dyDescent="0.25">
      <c r="A238" s="381" t="s">
        <v>534</v>
      </c>
      <c r="B238" s="387" t="s">
        <v>535</v>
      </c>
      <c r="C238" s="383">
        <v>2248</v>
      </c>
      <c r="D238" s="383">
        <v>0</v>
      </c>
      <c r="E238" s="383">
        <v>260</v>
      </c>
      <c r="F238" s="383">
        <v>475</v>
      </c>
      <c r="G238" s="383">
        <v>531</v>
      </c>
      <c r="H238" s="383">
        <v>3514</v>
      </c>
      <c r="I238" s="382">
        <v>2983</v>
      </c>
      <c r="J238" s="382">
        <v>1</v>
      </c>
      <c r="K238" s="384">
        <v>102.8</v>
      </c>
      <c r="L238" s="384">
        <v>102.81</v>
      </c>
      <c r="M238" s="384">
        <v>4.93</v>
      </c>
      <c r="N238" s="384">
        <v>106.71</v>
      </c>
      <c r="O238" s="385">
        <v>1773</v>
      </c>
      <c r="P238" s="382">
        <v>89.07</v>
      </c>
      <c r="Q238" s="382">
        <v>89.95</v>
      </c>
      <c r="R238" s="382">
        <v>61.98</v>
      </c>
      <c r="S238" s="382">
        <v>149.6</v>
      </c>
      <c r="T238" s="382">
        <v>517</v>
      </c>
      <c r="U238" s="382">
        <v>109.13</v>
      </c>
      <c r="V238" s="382">
        <v>426</v>
      </c>
      <c r="W238" s="382">
        <v>283</v>
      </c>
      <c r="X238" s="382">
        <v>33</v>
      </c>
      <c r="Y238" s="382">
        <v>0</v>
      </c>
      <c r="Z238" s="382">
        <v>0</v>
      </c>
      <c r="AA238" s="382">
        <v>4</v>
      </c>
      <c r="AB238" s="382">
        <v>44</v>
      </c>
      <c r="AC238" s="382">
        <v>18</v>
      </c>
      <c r="AD238" s="386">
        <v>2230</v>
      </c>
      <c r="AE238" s="386">
        <v>2</v>
      </c>
      <c r="AF238" s="386">
        <v>5</v>
      </c>
      <c r="AG238" s="386">
        <v>7</v>
      </c>
    </row>
    <row r="239" spans="1:33" x14ac:dyDescent="0.25">
      <c r="A239" s="381" t="s">
        <v>536</v>
      </c>
      <c r="B239" s="387" t="s">
        <v>537</v>
      </c>
      <c r="C239" s="383">
        <v>4040</v>
      </c>
      <c r="D239" s="383">
        <v>4</v>
      </c>
      <c r="E239" s="383">
        <v>345</v>
      </c>
      <c r="F239" s="383">
        <v>807</v>
      </c>
      <c r="G239" s="383">
        <v>466</v>
      </c>
      <c r="H239" s="383">
        <v>5662</v>
      </c>
      <c r="I239" s="382">
        <v>5196</v>
      </c>
      <c r="J239" s="382">
        <v>0</v>
      </c>
      <c r="K239" s="384">
        <v>97.49</v>
      </c>
      <c r="L239" s="384">
        <v>96.01</v>
      </c>
      <c r="M239" s="384">
        <v>4.51</v>
      </c>
      <c r="N239" s="384">
        <v>101.05</v>
      </c>
      <c r="O239" s="385">
        <v>3294</v>
      </c>
      <c r="P239" s="382">
        <v>89.27</v>
      </c>
      <c r="Q239" s="382">
        <v>88.38</v>
      </c>
      <c r="R239" s="382">
        <v>35.49</v>
      </c>
      <c r="S239" s="382">
        <v>123.25</v>
      </c>
      <c r="T239" s="382">
        <v>1011</v>
      </c>
      <c r="U239" s="382">
        <v>114.78</v>
      </c>
      <c r="V239" s="382">
        <v>345</v>
      </c>
      <c r="W239" s="382">
        <v>95.1</v>
      </c>
      <c r="X239" s="382">
        <v>1</v>
      </c>
      <c r="Y239" s="382">
        <v>2</v>
      </c>
      <c r="Z239" s="382">
        <v>5</v>
      </c>
      <c r="AA239" s="382">
        <v>18</v>
      </c>
      <c r="AB239" s="382">
        <v>58</v>
      </c>
      <c r="AC239" s="382">
        <v>10</v>
      </c>
      <c r="AD239" s="386">
        <v>3664</v>
      </c>
      <c r="AE239" s="386">
        <v>14</v>
      </c>
      <c r="AF239" s="386">
        <v>15</v>
      </c>
      <c r="AG239" s="386">
        <v>29</v>
      </c>
    </row>
    <row r="240" spans="1:33" x14ac:dyDescent="0.25">
      <c r="A240" s="381" t="s">
        <v>538</v>
      </c>
      <c r="B240" s="387" t="s">
        <v>539</v>
      </c>
      <c r="C240" s="383">
        <v>3174</v>
      </c>
      <c r="D240" s="383">
        <v>0</v>
      </c>
      <c r="E240" s="383">
        <v>332</v>
      </c>
      <c r="F240" s="383">
        <v>181</v>
      </c>
      <c r="G240" s="383">
        <v>1074</v>
      </c>
      <c r="H240" s="383">
        <v>4761</v>
      </c>
      <c r="I240" s="382">
        <v>3687</v>
      </c>
      <c r="J240" s="382">
        <v>27</v>
      </c>
      <c r="K240" s="384">
        <v>112.89</v>
      </c>
      <c r="L240" s="384">
        <v>110.71</v>
      </c>
      <c r="M240" s="384">
        <v>3.06</v>
      </c>
      <c r="N240" s="384">
        <v>115.29</v>
      </c>
      <c r="O240" s="385">
        <v>2302</v>
      </c>
      <c r="P240" s="382">
        <v>100.96</v>
      </c>
      <c r="Q240" s="382">
        <v>100.05</v>
      </c>
      <c r="R240" s="382">
        <v>41.43</v>
      </c>
      <c r="S240" s="382">
        <v>142.02000000000001</v>
      </c>
      <c r="T240" s="382">
        <v>227</v>
      </c>
      <c r="U240" s="382">
        <v>147.19999999999999</v>
      </c>
      <c r="V240" s="382">
        <v>412</v>
      </c>
      <c r="W240" s="382">
        <v>158.46</v>
      </c>
      <c r="X240" s="382">
        <v>65</v>
      </c>
      <c r="Y240" s="382">
        <v>0</v>
      </c>
      <c r="Z240" s="382">
        <v>0</v>
      </c>
      <c r="AA240" s="382">
        <v>0</v>
      </c>
      <c r="AB240" s="382">
        <v>41</v>
      </c>
      <c r="AC240" s="382">
        <v>37</v>
      </c>
      <c r="AD240" s="386">
        <v>2898</v>
      </c>
      <c r="AE240" s="386">
        <v>13</v>
      </c>
      <c r="AF240" s="386">
        <v>17</v>
      </c>
      <c r="AG240" s="386">
        <v>30</v>
      </c>
    </row>
    <row r="241" spans="1:33" x14ac:dyDescent="0.25">
      <c r="A241" s="381" t="s">
        <v>540</v>
      </c>
      <c r="B241" s="387" t="s">
        <v>541</v>
      </c>
      <c r="C241" s="383">
        <v>1093</v>
      </c>
      <c r="D241" s="383">
        <v>0</v>
      </c>
      <c r="E241" s="383">
        <v>103</v>
      </c>
      <c r="F241" s="383">
        <v>21</v>
      </c>
      <c r="G241" s="383">
        <v>139</v>
      </c>
      <c r="H241" s="383">
        <v>1356</v>
      </c>
      <c r="I241" s="382">
        <v>1217</v>
      </c>
      <c r="J241" s="382">
        <v>0</v>
      </c>
      <c r="K241" s="384">
        <v>93.32</v>
      </c>
      <c r="L241" s="384">
        <v>92.61</v>
      </c>
      <c r="M241" s="384">
        <v>4.57</v>
      </c>
      <c r="N241" s="384">
        <v>96.43</v>
      </c>
      <c r="O241" s="385">
        <v>925</v>
      </c>
      <c r="P241" s="382">
        <v>102.47</v>
      </c>
      <c r="Q241" s="382">
        <v>105.35</v>
      </c>
      <c r="R241" s="382">
        <v>76.69</v>
      </c>
      <c r="S241" s="382">
        <v>173.95</v>
      </c>
      <c r="T241" s="382">
        <v>103</v>
      </c>
      <c r="U241" s="382">
        <v>98.5</v>
      </c>
      <c r="V241" s="382">
        <v>151</v>
      </c>
      <c r="W241" s="382">
        <v>194.48</v>
      </c>
      <c r="X241" s="382">
        <v>18</v>
      </c>
      <c r="Y241" s="382">
        <v>0</v>
      </c>
      <c r="Z241" s="382">
        <v>2</v>
      </c>
      <c r="AA241" s="382">
        <v>0</v>
      </c>
      <c r="AB241" s="382">
        <v>11</v>
      </c>
      <c r="AC241" s="382">
        <v>13</v>
      </c>
      <c r="AD241" s="386">
        <v>1084</v>
      </c>
      <c r="AE241" s="386">
        <v>15</v>
      </c>
      <c r="AF241" s="386">
        <v>1</v>
      </c>
      <c r="AG241" s="386">
        <v>16</v>
      </c>
    </row>
    <row r="242" spans="1:33" x14ac:dyDescent="0.25">
      <c r="A242" s="381" t="s">
        <v>542</v>
      </c>
      <c r="B242" s="387" t="s">
        <v>543</v>
      </c>
      <c r="C242" s="383">
        <v>10197</v>
      </c>
      <c r="D242" s="383">
        <v>0</v>
      </c>
      <c r="E242" s="383">
        <v>278</v>
      </c>
      <c r="F242" s="383">
        <v>1761</v>
      </c>
      <c r="G242" s="383">
        <v>560</v>
      </c>
      <c r="H242" s="383">
        <v>12796</v>
      </c>
      <c r="I242" s="382">
        <v>12236</v>
      </c>
      <c r="J242" s="382">
        <v>0</v>
      </c>
      <c r="K242" s="384">
        <v>97.83</v>
      </c>
      <c r="L242" s="384">
        <v>99.38</v>
      </c>
      <c r="M242" s="384">
        <v>4.62</v>
      </c>
      <c r="N242" s="384">
        <v>100.36</v>
      </c>
      <c r="O242" s="385">
        <v>9292</v>
      </c>
      <c r="P242" s="382">
        <v>86.65</v>
      </c>
      <c r="Q242" s="382">
        <v>85.24</v>
      </c>
      <c r="R242" s="382">
        <v>19.62</v>
      </c>
      <c r="S242" s="382">
        <v>105.71</v>
      </c>
      <c r="T242" s="382">
        <v>1870</v>
      </c>
      <c r="U242" s="382">
        <v>132.72</v>
      </c>
      <c r="V242" s="382">
        <v>501</v>
      </c>
      <c r="W242" s="382">
        <v>188.53</v>
      </c>
      <c r="X242" s="382">
        <v>85</v>
      </c>
      <c r="Y242" s="382">
        <v>0</v>
      </c>
      <c r="Z242" s="382">
        <v>29</v>
      </c>
      <c r="AA242" s="382">
        <v>1</v>
      </c>
      <c r="AB242" s="382">
        <v>65</v>
      </c>
      <c r="AC242" s="382">
        <v>8</v>
      </c>
      <c r="AD242" s="386">
        <v>9857</v>
      </c>
      <c r="AE242" s="386">
        <v>52</v>
      </c>
      <c r="AF242" s="386">
        <v>76</v>
      </c>
      <c r="AG242" s="386">
        <v>128</v>
      </c>
    </row>
    <row r="243" spans="1:33" x14ac:dyDescent="0.25">
      <c r="A243" s="381" t="s">
        <v>544</v>
      </c>
      <c r="B243" s="387" t="s">
        <v>545</v>
      </c>
      <c r="C243" s="383">
        <v>4173</v>
      </c>
      <c r="D243" s="383">
        <v>0</v>
      </c>
      <c r="E243" s="383">
        <v>68</v>
      </c>
      <c r="F243" s="383">
        <v>219</v>
      </c>
      <c r="G243" s="383">
        <v>431</v>
      </c>
      <c r="H243" s="383">
        <v>4891</v>
      </c>
      <c r="I243" s="382">
        <v>4460</v>
      </c>
      <c r="J243" s="382">
        <v>2</v>
      </c>
      <c r="K243" s="384">
        <v>93.73</v>
      </c>
      <c r="L243" s="384">
        <v>89.78</v>
      </c>
      <c r="M243" s="384">
        <v>4.6399999999999997</v>
      </c>
      <c r="N243" s="384">
        <v>98.2</v>
      </c>
      <c r="O243" s="385">
        <v>3684</v>
      </c>
      <c r="P243" s="382">
        <v>81.98</v>
      </c>
      <c r="Q243" s="382">
        <v>60.08</v>
      </c>
      <c r="R243" s="382">
        <v>55.85</v>
      </c>
      <c r="S243" s="382">
        <v>133.13</v>
      </c>
      <c r="T243" s="382">
        <v>178</v>
      </c>
      <c r="U243" s="382">
        <v>124.22</v>
      </c>
      <c r="V243" s="382">
        <v>229</v>
      </c>
      <c r="W243" s="382">
        <v>113.99</v>
      </c>
      <c r="X243" s="382">
        <v>6</v>
      </c>
      <c r="Y243" s="382">
        <v>42</v>
      </c>
      <c r="Z243" s="382">
        <v>9</v>
      </c>
      <c r="AA243" s="382">
        <v>0</v>
      </c>
      <c r="AB243" s="382">
        <v>34</v>
      </c>
      <c r="AC243" s="382">
        <v>8</v>
      </c>
      <c r="AD243" s="386">
        <v>3934</v>
      </c>
      <c r="AE243" s="386">
        <v>3</v>
      </c>
      <c r="AF243" s="386">
        <v>21</v>
      </c>
      <c r="AG243" s="386">
        <v>24</v>
      </c>
    </row>
    <row r="244" spans="1:33" x14ac:dyDescent="0.25">
      <c r="A244" s="381" t="s">
        <v>546</v>
      </c>
      <c r="B244" s="387" t="s">
        <v>547</v>
      </c>
      <c r="C244" s="383">
        <v>963</v>
      </c>
      <c r="D244" s="383">
        <v>0</v>
      </c>
      <c r="E244" s="383">
        <v>91</v>
      </c>
      <c r="F244" s="383">
        <v>0</v>
      </c>
      <c r="G244" s="383">
        <v>219</v>
      </c>
      <c r="H244" s="383">
        <v>1273</v>
      </c>
      <c r="I244" s="382">
        <v>1054</v>
      </c>
      <c r="J244" s="382">
        <v>0</v>
      </c>
      <c r="K244" s="384">
        <v>86.54</v>
      </c>
      <c r="L244" s="384">
        <v>86.31</v>
      </c>
      <c r="M244" s="384">
        <v>4.2300000000000004</v>
      </c>
      <c r="N244" s="384">
        <v>89.92</v>
      </c>
      <c r="O244" s="385">
        <v>753</v>
      </c>
      <c r="P244" s="382">
        <v>121.34</v>
      </c>
      <c r="Q244" s="382">
        <v>68.75</v>
      </c>
      <c r="R244" s="382">
        <v>41.79</v>
      </c>
      <c r="S244" s="382">
        <v>163.13</v>
      </c>
      <c r="T244" s="382">
        <v>57</v>
      </c>
      <c r="U244" s="382">
        <v>105.7</v>
      </c>
      <c r="V244" s="382">
        <v>132</v>
      </c>
      <c r="W244" s="382">
        <v>0</v>
      </c>
      <c r="X244" s="382">
        <v>0</v>
      </c>
      <c r="Y244" s="382">
        <v>0</v>
      </c>
      <c r="Z244" s="382">
        <v>1</v>
      </c>
      <c r="AA244" s="382">
        <v>0</v>
      </c>
      <c r="AB244" s="382">
        <v>15</v>
      </c>
      <c r="AC244" s="382">
        <v>4</v>
      </c>
      <c r="AD244" s="386">
        <v>898</v>
      </c>
      <c r="AE244" s="386">
        <v>4</v>
      </c>
      <c r="AF244" s="386">
        <v>1</v>
      </c>
      <c r="AG244" s="386">
        <v>5</v>
      </c>
    </row>
    <row r="245" spans="1:33" x14ac:dyDescent="0.25">
      <c r="A245" s="381" t="s">
        <v>548</v>
      </c>
      <c r="B245" s="387" t="s">
        <v>549</v>
      </c>
      <c r="C245" s="383">
        <v>1594</v>
      </c>
      <c r="D245" s="383">
        <v>0</v>
      </c>
      <c r="E245" s="383">
        <v>167</v>
      </c>
      <c r="F245" s="383">
        <v>295</v>
      </c>
      <c r="G245" s="383">
        <v>437</v>
      </c>
      <c r="H245" s="383">
        <v>2493</v>
      </c>
      <c r="I245" s="382">
        <v>2056</v>
      </c>
      <c r="J245" s="382">
        <v>10</v>
      </c>
      <c r="K245" s="384">
        <v>89.04</v>
      </c>
      <c r="L245" s="384">
        <v>87.8</v>
      </c>
      <c r="M245" s="384">
        <v>5.12</v>
      </c>
      <c r="N245" s="384">
        <v>93.36</v>
      </c>
      <c r="O245" s="385">
        <v>1246</v>
      </c>
      <c r="P245" s="382">
        <v>91.61</v>
      </c>
      <c r="Q245" s="382">
        <v>72.44</v>
      </c>
      <c r="R245" s="382">
        <v>37.11</v>
      </c>
      <c r="S245" s="382">
        <v>128.61000000000001</v>
      </c>
      <c r="T245" s="382">
        <v>332</v>
      </c>
      <c r="U245" s="382">
        <v>104.85</v>
      </c>
      <c r="V245" s="382">
        <v>140</v>
      </c>
      <c r="W245" s="382">
        <v>0</v>
      </c>
      <c r="X245" s="382">
        <v>0</v>
      </c>
      <c r="Y245" s="382">
        <v>0</v>
      </c>
      <c r="Z245" s="382">
        <v>0</v>
      </c>
      <c r="AA245" s="382">
        <v>0</v>
      </c>
      <c r="AB245" s="382">
        <v>26</v>
      </c>
      <c r="AC245" s="382">
        <v>16</v>
      </c>
      <c r="AD245" s="386">
        <v>1518</v>
      </c>
      <c r="AE245" s="386">
        <v>8</v>
      </c>
      <c r="AF245" s="386">
        <v>0</v>
      </c>
      <c r="AG245" s="386">
        <v>8</v>
      </c>
    </row>
    <row r="246" spans="1:33" x14ac:dyDescent="0.25">
      <c r="A246" s="381" t="s">
        <v>550</v>
      </c>
      <c r="B246" s="387" t="s">
        <v>551</v>
      </c>
      <c r="C246" s="383">
        <v>3847</v>
      </c>
      <c r="D246" s="383">
        <v>66</v>
      </c>
      <c r="E246" s="383">
        <v>173</v>
      </c>
      <c r="F246" s="383">
        <v>605</v>
      </c>
      <c r="G246" s="383">
        <v>155</v>
      </c>
      <c r="H246" s="383">
        <v>4846</v>
      </c>
      <c r="I246" s="382">
        <v>4691</v>
      </c>
      <c r="J246" s="382">
        <v>16</v>
      </c>
      <c r="K246" s="384">
        <v>92.62</v>
      </c>
      <c r="L246" s="384">
        <v>93.78</v>
      </c>
      <c r="M246" s="384">
        <v>4.6500000000000004</v>
      </c>
      <c r="N246" s="384">
        <v>93.78</v>
      </c>
      <c r="O246" s="385">
        <v>3572</v>
      </c>
      <c r="P246" s="382">
        <v>83.54</v>
      </c>
      <c r="Q246" s="382">
        <v>83.3</v>
      </c>
      <c r="R246" s="382">
        <v>40.4</v>
      </c>
      <c r="S246" s="382">
        <v>123.4</v>
      </c>
      <c r="T246" s="382">
        <v>676</v>
      </c>
      <c r="U246" s="382">
        <v>115.34</v>
      </c>
      <c r="V246" s="382">
        <v>304</v>
      </c>
      <c r="W246" s="382">
        <v>205.22</v>
      </c>
      <c r="X246" s="382">
        <v>8</v>
      </c>
      <c r="Y246" s="382">
        <v>0</v>
      </c>
      <c r="Z246" s="382">
        <v>22</v>
      </c>
      <c r="AA246" s="382">
        <v>0</v>
      </c>
      <c r="AB246" s="382">
        <v>13</v>
      </c>
      <c r="AC246" s="382">
        <v>12</v>
      </c>
      <c r="AD246" s="386">
        <v>3812</v>
      </c>
      <c r="AE246" s="386">
        <v>19</v>
      </c>
      <c r="AF246" s="386">
        <v>5</v>
      </c>
      <c r="AG246" s="386">
        <v>24</v>
      </c>
    </row>
    <row r="247" spans="1:33" x14ac:dyDescent="0.25">
      <c r="A247" s="381" t="s">
        <v>552</v>
      </c>
      <c r="B247" s="387" t="s">
        <v>553</v>
      </c>
      <c r="C247" s="383">
        <v>5788</v>
      </c>
      <c r="D247" s="383">
        <v>0</v>
      </c>
      <c r="E247" s="383">
        <v>216</v>
      </c>
      <c r="F247" s="383">
        <v>924</v>
      </c>
      <c r="G247" s="383">
        <v>503</v>
      </c>
      <c r="H247" s="383">
        <v>7431</v>
      </c>
      <c r="I247" s="382">
        <v>6928</v>
      </c>
      <c r="J247" s="382">
        <v>4</v>
      </c>
      <c r="K247" s="384">
        <v>89.35</v>
      </c>
      <c r="L247" s="384">
        <v>89.22</v>
      </c>
      <c r="M247" s="384">
        <v>4.58</v>
      </c>
      <c r="N247" s="384">
        <v>90.5</v>
      </c>
      <c r="O247" s="385">
        <v>4601</v>
      </c>
      <c r="P247" s="382">
        <v>87.62</v>
      </c>
      <c r="Q247" s="382">
        <v>82.69</v>
      </c>
      <c r="R247" s="382">
        <v>31.06</v>
      </c>
      <c r="S247" s="382">
        <v>118.68</v>
      </c>
      <c r="T247" s="382">
        <v>1102</v>
      </c>
      <c r="U247" s="382">
        <v>111.89</v>
      </c>
      <c r="V247" s="382">
        <v>1090</v>
      </c>
      <c r="W247" s="382">
        <v>0</v>
      </c>
      <c r="X247" s="382">
        <v>0</v>
      </c>
      <c r="Y247" s="382">
        <v>0</v>
      </c>
      <c r="Z247" s="382">
        <v>37</v>
      </c>
      <c r="AA247" s="382">
        <v>0</v>
      </c>
      <c r="AB247" s="382">
        <v>12</v>
      </c>
      <c r="AC247" s="382">
        <v>3</v>
      </c>
      <c r="AD247" s="386">
        <v>5788</v>
      </c>
      <c r="AE247" s="386">
        <v>13</v>
      </c>
      <c r="AF247" s="386">
        <v>24</v>
      </c>
      <c r="AG247" s="386">
        <v>37</v>
      </c>
    </row>
    <row r="248" spans="1:33" x14ac:dyDescent="0.25">
      <c r="A248" s="381" t="s">
        <v>554</v>
      </c>
      <c r="B248" s="387" t="s">
        <v>555</v>
      </c>
      <c r="C248" s="383">
        <v>5770</v>
      </c>
      <c r="D248" s="383">
        <v>2</v>
      </c>
      <c r="E248" s="383">
        <v>184</v>
      </c>
      <c r="F248" s="383">
        <v>902</v>
      </c>
      <c r="G248" s="383">
        <v>626</v>
      </c>
      <c r="H248" s="383">
        <v>7484</v>
      </c>
      <c r="I248" s="382">
        <v>6858</v>
      </c>
      <c r="J248" s="382">
        <v>0</v>
      </c>
      <c r="K248" s="384">
        <v>112.33</v>
      </c>
      <c r="L248" s="384">
        <v>107.8</v>
      </c>
      <c r="M248" s="384">
        <v>4.4000000000000004</v>
      </c>
      <c r="N248" s="384">
        <v>113.75</v>
      </c>
      <c r="O248" s="385">
        <v>5235</v>
      </c>
      <c r="P248" s="382">
        <v>94.11</v>
      </c>
      <c r="Q248" s="382">
        <v>86.36</v>
      </c>
      <c r="R248" s="382">
        <v>20.55</v>
      </c>
      <c r="S248" s="382">
        <v>112.16</v>
      </c>
      <c r="T248" s="382">
        <v>897</v>
      </c>
      <c r="U248" s="382">
        <v>164.55</v>
      </c>
      <c r="V248" s="382">
        <v>348</v>
      </c>
      <c r="W248" s="382">
        <v>164.02</v>
      </c>
      <c r="X248" s="382">
        <v>37</v>
      </c>
      <c r="Y248" s="382">
        <v>0</v>
      </c>
      <c r="Z248" s="382">
        <v>9</v>
      </c>
      <c r="AA248" s="382">
        <v>5</v>
      </c>
      <c r="AB248" s="382">
        <v>63</v>
      </c>
      <c r="AC248" s="382">
        <v>14</v>
      </c>
      <c r="AD248" s="386">
        <v>5585</v>
      </c>
      <c r="AE248" s="386">
        <v>40</v>
      </c>
      <c r="AF248" s="386">
        <v>5</v>
      </c>
      <c r="AG248" s="386">
        <v>45</v>
      </c>
    </row>
    <row r="249" spans="1:33" x14ac:dyDescent="0.25">
      <c r="A249" s="381" t="s">
        <v>556</v>
      </c>
      <c r="B249" s="387" t="s">
        <v>557</v>
      </c>
      <c r="C249" s="383">
        <v>3846</v>
      </c>
      <c r="D249" s="383">
        <v>3</v>
      </c>
      <c r="E249" s="383">
        <v>205</v>
      </c>
      <c r="F249" s="383">
        <v>1123</v>
      </c>
      <c r="G249" s="383">
        <v>133</v>
      </c>
      <c r="H249" s="383">
        <v>5310</v>
      </c>
      <c r="I249" s="382">
        <v>5177</v>
      </c>
      <c r="J249" s="382">
        <v>129</v>
      </c>
      <c r="K249" s="384">
        <v>88.69</v>
      </c>
      <c r="L249" s="384">
        <v>88.01</v>
      </c>
      <c r="M249" s="384">
        <v>2.71</v>
      </c>
      <c r="N249" s="384">
        <v>91.3</v>
      </c>
      <c r="O249" s="385">
        <v>3529</v>
      </c>
      <c r="P249" s="382">
        <v>87.81</v>
      </c>
      <c r="Q249" s="382">
        <v>81.75</v>
      </c>
      <c r="R249" s="382">
        <v>27.37</v>
      </c>
      <c r="S249" s="382">
        <v>115.03</v>
      </c>
      <c r="T249" s="382">
        <v>1301</v>
      </c>
      <c r="U249" s="382">
        <v>100.73</v>
      </c>
      <c r="V249" s="382">
        <v>304</v>
      </c>
      <c r="W249" s="382">
        <v>0</v>
      </c>
      <c r="X249" s="382">
        <v>0</v>
      </c>
      <c r="Y249" s="382">
        <v>16</v>
      </c>
      <c r="Z249" s="382">
        <v>6</v>
      </c>
      <c r="AA249" s="382">
        <v>0</v>
      </c>
      <c r="AB249" s="382">
        <v>19</v>
      </c>
      <c r="AC249" s="382">
        <v>6</v>
      </c>
      <c r="AD249" s="386">
        <v>3843</v>
      </c>
      <c r="AE249" s="386">
        <v>24</v>
      </c>
      <c r="AF249" s="386">
        <v>2</v>
      </c>
      <c r="AG249" s="386">
        <v>26</v>
      </c>
    </row>
    <row r="250" spans="1:33" x14ac:dyDescent="0.25">
      <c r="A250" s="381" t="s">
        <v>558</v>
      </c>
      <c r="B250" s="387" t="s">
        <v>559</v>
      </c>
      <c r="C250" s="383">
        <v>9050</v>
      </c>
      <c r="D250" s="383">
        <v>4</v>
      </c>
      <c r="E250" s="383">
        <v>288</v>
      </c>
      <c r="F250" s="383">
        <v>1703</v>
      </c>
      <c r="G250" s="383">
        <v>593</v>
      </c>
      <c r="H250" s="383">
        <v>11638</v>
      </c>
      <c r="I250" s="382">
        <v>11045</v>
      </c>
      <c r="J250" s="382">
        <v>2</v>
      </c>
      <c r="K250" s="384">
        <v>93.59</v>
      </c>
      <c r="L250" s="384">
        <v>93.11</v>
      </c>
      <c r="M250" s="384">
        <v>4.45</v>
      </c>
      <c r="N250" s="384">
        <v>94.86</v>
      </c>
      <c r="O250" s="385">
        <v>8215</v>
      </c>
      <c r="P250" s="382">
        <v>86.87</v>
      </c>
      <c r="Q250" s="382">
        <v>84.81</v>
      </c>
      <c r="R250" s="382">
        <v>27.19</v>
      </c>
      <c r="S250" s="382">
        <v>113.42</v>
      </c>
      <c r="T250" s="382">
        <v>1948</v>
      </c>
      <c r="U250" s="382">
        <v>114.16</v>
      </c>
      <c r="V250" s="382">
        <v>519</v>
      </c>
      <c r="W250" s="382">
        <v>117.36</v>
      </c>
      <c r="X250" s="382">
        <v>15</v>
      </c>
      <c r="Y250" s="382">
        <v>40</v>
      </c>
      <c r="Z250" s="382">
        <v>28</v>
      </c>
      <c r="AA250" s="382">
        <v>1</v>
      </c>
      <c r="AB250" s="382">
        <v>7</v>
      </c>
      <c r="AC250" s="382">
        <v>8</v>
      </c>
      <c r="AD250" s="386">
        <v>8941</v>
      </c>
      <c r="AE250" s="386">
        <v>53</v>
      </c>
      <c r="AF250" s="386">
        <v>27</v>
      </c>
      <c r="AG250" s="386">
        <v>80</v>
      </c>
    </row>
    <row r="251" spans="1:33" x14ac:dyDescent="0.25">
      <c r="A251" s="381" t="s">
        <v>560</v>
      </c>
      <c r="B251" s="387" t="s">
        <v>561</v>
      </c>
      <c r="C251" s="383">
        <v>5661</v>
      </c>
      <c r="D251" s="383">
        <v>0</v>
      </c>
      <c r="E251" s="383">
        <v>263</v>
      </c>
      <c r="F251" s="383">
        <v>647</v>
      </c>
      <c r="G251" s="383">
        <v>248</v>
      </c>
      <c r="H251" s="383">
        <v>6819</v>
      </c>
      <c r="I251" s="382">
        <v>6571</v>
      </c>
      <c r="J251" s="382">
        <v>0</v>
      </c>
      <c r="K251" s="384">
        <v>89.2</v>
      </c>
      <c r="L251" s="384">
        <v>89.04</v>
      </c>
      <c r="M251" s="384">
        <v>4.2</v>
      </c>
      <c r="N251" s="384">
        <v>90.33</v>
      </c>
      <c r="O251" s="385">
        <v>5537</v>
      </c>
      <c r="P251" s="382">
        <v>81.69</v>
      </c>
      <c r="Q251" s="382">
        <v>81.8</v>
      </c>
      <c r="R251" s="382">
        <v>42.26</v>
      </c>
      <c r="S251" s="382">
        <v>123.8</v>
      </c>
      <c r="T251" s="382">
        <v>804</v>
      </c>
      <c r="U251" s="382">
        <v>103.63</v>
      </c>
      <c r="V251" s="382">
        <v>91</v>
      </c>
      <c r="W251" s="382">
        <v>165</v>
      </c>
      <c r="X251" s="382">
        <v>102</v>
      </c>
      <c r="Y251" s="382">
        <v>0</v>
      </c>
      <c r="Z251" s="382">
        <v>12</v>
      </c>
      <c r="AA251" s="382">
        <v>0</v>
      </c>
      <c r="AB251" s="382">
        <v>9</v>
      </c>
      <c r="AC251" s="382">
        <v>7</v>
      </c>
      <c r="AD251" s="386">
        <v>5661</v>
      </c>
      <c r="AE251" s="386">
        <v>35</v>
      </c>
      <c r="AF251" s="386">
        <v>4</v>
      </c>
      <c r="AG251" s="386">
        <v>39</v>
      </c>
    </row>
    <row r="252" spans="1:33" x14ac:dyDescent="0.25">
      <c r="A252" s="381" t="s">
        <v>562</v>
      </c>
      <c r="B252" s="387" t="s">
        <v>563</v>
      </c>
      <c r="C252" s="383">
        <v>3716</v>
      </c>
      <c r="D252" s="383">
        <v>6</v>
      </c>
      <c r="E252" s="383">
        <v>434</v>
      </c>
      <c r="F252" s="383">
        <v>756</v>
      </c>
      <c r="G252" s="383">
        <v>203</v>
      </c>
      <c r="H252" s="383">
        <v>5115</v>
      </c>
      <c r="I252" s="382">
        <v>4912</v>
      </c>
      <c r="J252" s="382">
        <v>0</v>
      </c>
      <c r="K252" s="384">
        <v>80.61</v>
      </c>
      <c r="L252" s="384">
        <v>79.95</v>
      </c>
      <c r="M252" s="384">
        <v>3.37</v>
      </c>
      <c r="N252" s="384">
        <v>82.91</v>
      </c>
      <c r="O252" s="385">
        <v>3215</v>
      </c>
      <c r="P252" s="382">
        <v>83.46</v>
      </c>
      <c r="Q252" s="382">
        <v>77.59</v>
      </c>
      <c r="R252" s="382">
        <v>47.98</v>
      </c>
      <c r="S252" s="382">
        <v>130.77000000000001</v>
      </c>
      <c r="T252" s="382">
        <v>929</v>
      </c>
      <c r="U252" s="382">
        <v>97.12</v>
      </c>
      <c r="V252" s="382">
        <v>428</v>
      </c>
      <c r="W252" s="382">
        <v>106.16</v>
      </c>
      <c r="X252" s="382">
        <v>180</v>
      </c>
      <c r="Y252" s="382">
        <v>13</v>
      </c>
      <c r="Z252" s="382">
        <v>3</v>
      </c>
      <c r="AA252" s="382">
        <v>2</v>
      </c>
      <c r="AB252" s="382">
        <v>2</v>
      </c>
      <c r="AC252" s="382">
        <v>9</v>
      </c>
      <c r="AD252" s="386">
        <v>3596</v>
      </c>
      <c r="AE252" s="386">
        <v>39</v>
      </c>
      <c r="AF252" s="386">
        <v>32</v>
      </c>
      <c r="AG252" s="386">
        <v>71</v>
      </c>
    </row>
    <row r="253" spans="1:33" x14ac:dyDescent="0.25">
      <c r="A253" s="381" t="s">
        <v>564</v>
      </c>
      <c r="B253" s="387" t="s">
        <v>565</v>
      </c>
      <c r="C253" s="383">
        <v>5744</v>
      </c>
      <c r="D253" s="383">
        <v>83</v>
      </c>
      <c r="E253" s="383">
        <v>846</v>
      </c>
      <c r="F253" s="383">
        <v>1105</v>
      </c>
      <c r="G253" s="383">
        <v>1011</v>
      </c>
      <c r="H253" s="383">
        <v>8789</v>
      </c>
      <c r="I253" s="382">
        <v>7778</v>
      </c>
      <c r="J253" s="382">
        <v>52</v>
      </c>
      <c r="K253" s="384">
        <v>106.69</v>
      </c>
      <c r="L253" s="384">
        <v>106.07</v>
      </c>
      <c r="M253" s="384">
        <v>6.98</v>
      </c>
      <c r="N253" s="384">
        <v>112.78</v>
      </c>
      <c r="O253" s="385">
        <v>4580</v>
      </c>
      <c r="P253" s="382">
        <v>92.25</v>
      </c>
      <c r="Q253" s="382">
        <v>90.43</v>
      </c>
      <c r="R253" s="382">
        <v>36.51</v>
      </c>
      <c r="S253" s="382">
        <v>126.48</v>
      </c>
      <c r="T253" s="382">
        <v>1716</v>
      </c>
      <c r="U253" s="382">
        <v>140.25</v>
      </c>
      <c r="V253" s="382">
        <v>820</v>
      </c>
      <c r="W253" s="382">
        <v>123.28</v>
      </c>
      <c r="X253" s="382">
        <v>2</v>
      </c>
      <c r="Y253" s="382">
        <v>188</v>
      </c>
      <c r="Z253" s="382">
        <v>1</v>
      </c>
      <c r="AA253" s="382">
        <v>0</v>
      </c>
      <c r="AB253" s="382">
        <v>81</v>
      </c>
      <c r="AC253" s="382">
        <v>44</v>
      </c>
      <c r="AD253" s="386">
        <v>5625</v>
      </c>
      <c r="AE253" s="386">
        <v>26</v>
      </c>
      <c r="AF253" s="386">
        <v>37</v>
      </c>
      <c r="AG253" s="386">
        <v>63</v>
      </c>
    </row>
    <row r="254" spans="1:33" x14ac:dyDescent="0.25">
      <c r="A254" s="381" t="s">
        <v>566</v>
      </c>
      <c r="B254" s="387" t="s">
        <v>567</v>
      </c>
      <c r="C254" s="383">
        <v>2775</v>
      </c>
      <c r="D254" s="383">
        <v>0</v>
      </c>
      <c r="E254" s="383">
        <v>426</v>
      </c>
      <c r="F254" s="383">
        <v>325</v>
      </c>
      <c r="G254" s="383">
        <v>250</v>
      </c>
      <c r="H254" s="383">
        <v>3776</v>
      </c>
      <c r="I254" s="382">
        <v>3526</v>
      </c>
      <c r="J254" s="382">
        <v>2</v>
      </c>
      <c r="K254" s="384">
        <v>98.98</v>
      </c>
      <c r="L254" s="384">
        <v>97.45</v>
      </c>
      <c r="M254" s="384">
        <v>11.77</v>
      </c>
      <c r="N254" s="384">
        <v>108.49</v>
      </c>
      <c r="O254" s="385">
        <v>2489</v>
      </c>
      <c r="P254" s="382">
        <v>89.82</v>
      </c>
      <c r="Q254" s="382">
        <v>85.75</v>
      </c>
      <c r="R254" s="382">
        <v>55.3</v>
      </c>
      <c r="S254" s="382">
        <v>142.57</v>
      </c>
      <c r="T254" s="382">
        <v>499</v>
      </c>
      <c r="U254" s="382">
        <v>150.87</v>
      </c>
      <c r="V254" s="382">
        <v>271</v>
      </c>
      <c r="W254" s="382">
        <v>0</v>
      </c>
      <c r="X254" s="382">
        <v>0</v>
      </c>
      <c r="Y254" s="382">
        <v>0</v>
      </c>
      <c r="Z254" s="382">
        <v>1</v>
      </c>
      <c r="AA254" s="382">
        <v>1</v>
      </c>
      <c r="AB254" s="382">
        <v>32</v>
      </c>
      <c r="AC254" s="382">
        <v>4</v>
      </c>
      <c r="AD254" s="386">
        <v>2775</v>
      </c>
      <c r="AE254" s="386">
        <v>26</v>
      </c>
      <c r="AF254" s="386">
        <v>14</v>
      </c>
      <c r="AG254" s="386">
        <v>40</v>
      </c>
    </row>
    <row r="255" spans="1:33" x14ac:dyDescent="0.25">
      <c r="A255" s="381" t="s">
        <v>568</v>
      </c>
      <c r="B255" s="387" t="s">
        <v>569</v>
      </c>
      <c r="C255" s="383">
        <v>14777</v>
      </c>
      <c r="D255" s="383">
        <v>82</v>
      </c>
      <c r="E255" s="383">
        <v>1528</v>
      </c>
      <c r="F255" s="383">
        <v>647</v>
      </c>
      <c r="G255" s="383">
        <v>2745</v>
      </c>
      <c r="H255" s="383">
        <v>19779</v>
      </c>
      <c r="I255" s="382">
        <v>17034</v>
      </c>
      <c r="J255" s="382">
        <v>74</v>
      </c>
      <c r="K255" s="384">
        <v>122.47</v>
      </c>
      <c r="L255" s="384">
        <v>125.5</v>
      </c>
      <c r="M255" s="384">
        <v>11.27</v>
      </c>
      <c r="N255" s="384">
        <v>130.88999999999999</v>
      </c>
      <c r="O255" s="385">
        <v>12124</v>
      </c>
      <c r="P255" s="382">
        <v>106.29</v>
      </c>
      <c r="Q255" s="382">
        <v>105.86</v>
      </c>
      <c r="R255" s="382">
        <v>50.06</v>
      </c>
      <c r="S255" s="382">
        <v>151.51</v>
      </c>
      <c r="T255" s="382">
        <v>1967</v>
      </c>
      <c r="U255" s="382">
        <v>201.76</v>
      </c>
      <c r="V255" s="382">
        <v>913</v>
      </c>
      <c r="W255" s="382">
        <v>200.1</v>
      </c>
      <c r="X255" s="382">
        <v>20</v>
      </c>
      <c r="Y255" s="382">
        <v>33</v>
      </c>
      <c r="Z255" s="382">
        <v>4</v>
      </c>
      <c r="AA255" s="382">
        <v>15</v>
      </c>
      <c r="AB255" s="382">
        <v>271</v>
      </c>
      <c r="AC255" s="382">
        <v>122</v>
      </c>
      <c r="AD255" s="386">
        <v>13967</v>
      </c>
      <c r="AE255" s="386">
        <v>89</v>
      </c>
      <c r="AF255" s="386">
        <v>73</v>
      </c>
      <c r="AG255" s="386">
        <v>162</v>
      </c>
    </row>
    <row r="256" spans="1:33" x14ac:dyDescent="0.25">
      <c r="A256" s="381" t="s">
        <v>570</v>
      </c>
      <c r="B256" s="387" t="s">
        <v>571</v>
      </c>
      <c r="C256" s="382">
        <v>4888</v>
      </c>
      <c r="D256" s="382">
        <v>0</v>
      </c>
      <c r="E256" s="382">
        <v>115</v>
      </c>
      <c r="F256" s="382">
        <v>313</v>
      </c>
      <c r="G256" s="382">
        <v>432</v>
      </c>
      <c r="H256" s="382">
        <v>5748</v>
      </c>
      <c r="I256" s="382">
        <v>5316</v>
      </c>
      <c r="J256" s="382">
        <v>72</v>
      </c>
      <c r="K256" s="382">
        <v>117.98</v>
      </c>
      <c r="L256" s="384">
        <v>113.14</v>
      </c>
      <c r="M256" s="384">
        <v>5.38</v>
      </c>
      <c r="N256" s="384">
        <v>122.84</v>
      </c>
      <c r="O256" s="385">
        <v>4758</v>
      </c>
      <c r="P256" s="382">
        <v>111.01</v>
      </c>
      <c r="Q256" s="382">
        <v>102.52</v>
      </c>
      <c r="R256" s="382">
        <v>67.7</v>
      </c>
      <c r="S256" s="382">
        <v>175.86</v>
      </c>
      <c r="T256" s="382">
        <v>357</v>
      </c>
      <c r="U256" s="382">
        <v>215.82</v>
      </c>
      <c r="V256" s="382">
        <v>121</v>
      </c>
      <c r="W256" s="382">
        <v>135.97</v>
      </c>
      <c r="X256" s="382">
        <v>6</v>
      </c>
      <c r="Y256" s="382">
        <v>0</v>
      </c>
      <c r="Z256" s="382">
        <v>4</v>
      </c>
      <c r="AA256" s="382">
        <v>0</v>
      </c>
      <c r="AB256" s="382">
        <v>12</v>
      </c>
      <c r="AC256" s="382">
        <v>11</v>
      </c>
      <c r="AD256" s="382">
        <v>4882</v>
      </c>
      <c r="AE256" s="382">
        <v>14</v>
      </c>
      <c r="AF256" s="382">
        <v>9</v>
      </c>
      <c r="AG256" s="382">
        <v>23</v>
      </c>
    </row>
    <row r="257" spans="1:33" x14ac:dyDescent="0.25">
      <c r="A257" s="381" t="s">
        <v>572</v>
      </c>
      <c r="B257" s="387" t="s">
        <v>573</v>
      </c>
      <c r="C257" s="382">
        <v>1886</v>
      </c>
      <c r="D257" s="382">
        <v>83</v>
      </c>
      <c r="E257" s="382">
        <v>242</v>
      </c>
      <c r="F257" s="382">
        <v>193</v>
      </c>
      <c r="G257" s="382">
        <v>196</v>
      </c>
      <c r="H257" s="382">
        <v>2600</v>
      </c>
      <c r="I257" s="382">
        <v>2404</v>
      </c>
      <c r="J257" s="382">
        <v>6</v>
      </c>
      <c r="K257" s="382">
        <v>123.04</v>
      </c>
      <c r="L257" s="384">
        <v>119.56</v>
      </c>
      <c r="M257" s="384">
        <v>7.05</v>
      </c>
      <c r="N257" s="384">
        <v>129.16</v>
      </c>
      <c r="O257" s="385">
        <v>1581</v>
      </c>
      <c r="P257" s="382">
        <v>111.25</v>
      </c>
      <c r="Q257" s="382">
        <v>99.29</v>
      </c>
      <c r="R257" s="382">
        <v>36.229999999999997</v>
      </c>
      <c r="S257" s="382">
        <v>145.94</v>
      </c>
      <c r="T257" s="382">
        <v>374</v>
      </c>
      <c r="U257" s="382">
        <v>179.06</v>
      </c>
      <c r="V257" s="382">
        <v>193</v>
      </c>
      <c r="W257" s="382">
        <v>197.67</v>
      </c>
      <c r="X257" s="382">
        <v>38</v>
      </c>
      <c r="Y257" s="382">
        <v>0</v>
      </c>
      <c r="Z257" s="382">
        <v>13</v>
      </c>
      <c r="AA257" s="382">
        <v>0</v>
      </c>
      <c r="AB257" s="382">
        <v>23</v>
      </c>
      <c r="AC257" s="382">
        <v>7</v>
      </c>
      <c r="AD257" s="382">
        <v>1881</v>
      </c>
      <c r="AE257" s="382">
        <v>17</v>
      </c>
      <c r="AF257" s="382">
        <v>5</v>
      </c>
      <c r="AG257" s="382">
        <v>22</v>
      </c>
    </row>
    <row r="258" spans="1:33" x14ac:dyDescent="0.25">
      <c r="A258" s="381" t="s">
        <v>574</v>
      </c>
      <c r="B258" s="387" t="s">
        <v>575</v>
      </c>
      <c r="C258" s="382">
        <v>14591</v>
      </c>
      <c r="D258" s="382">
        <v>2</v>
      </c>
      <c r="E258" s="382">
        <v>638</v>
      </c>
      <c r="F258" s="382">
        <v>2071</v>
      </c>
      <c r="G258" s="382">
        <v>430</v>
      </c>
      <c r="H258" s="382">
        <v>17732</v>
      </c>
      <c r="I258" s="382">
        <v>17302</v>
      </c>
      <c r="J258" s="382">
        <v>6</v>
      </c>
      <c r="K258" s="382">
        <v>89.88</v>
      </c>
      <c r="L258" s="384">
        <v>89.99</v>
      </c>
      <c r="M258" s="384">
        <v>1.83</v>
      </c>
      <c r="N258" s="384">
        <v>91.53</v>
      </c>
      <c r="O258" s="385">
        <v>13568</v>
      </c>
      <c r="P258" s="382">
        <v>92.96</v>
      </c>
      <c r="Q258" s="382">
        <v>88.13</v>
      </c>
      <c r="R258" s="382">
        <v>31.87</v>
      </c>
      <c r="S258" s="382">
        <v>123.78</v>
      </c>
      <c r="T258" s="382">
        <v>2515</v>
      </c>
      <c r="U258" s="382">
        <v>101.46</v>
      </c>
      <c r="V258" s="382">
        <v>946</v>
      </c>
      <c r="W258" s="382">
        <v>0</v>
      </c>
      <c r="X258" s="382">
        <v>0</v>
      </c>
      <c r="Y258" s="382">
        <v>0</v>
      </c>
      <c r="Z258" s="382">
        <v>76</v>
      </c>
      <c r="AA258" s="382">
        <v>32</v>
      </c>
      <c r="AB258" s="382">
        <v>28</v>
      </c>
      <c r="AC258" s="382">
        <v>8</v>
      </c>
      <c r="AD258" s="382">
        <v>14545</v>
      </c>
      <c r="AE258" s="382">
        <v>139</v>
      </c>
      <c r="AF258" s="382">
        <v>167</v>
      </c>
      <c r="AG258" s="382">
        <v>306</v>
      </c>
    </row>
    <row r="259" spans="1:33" x14ac:dyDescent="0.25">
      <c r="A259" s="381" t="s">
        <v>576</v>
      </c>
      <c r="B259" s="387" t="s">
        <v>577</v>
      </c>
      <c r="C259" s="383">
        <v>6039</v>
      </c>
      <c r="D259" s="383">
        <v>1</v>
      </c>
      <c r="E259" s="383">
        <v>251</v>
      </c>
      <c r="F259" s="383">
        <v>1682</v>
      </c>
      <c r="G259" s="383">
        <v>337</v>
      </c>
      <c r="H259" s="383">
        <v>8310</v>
      </c>
      <c r="I259" s="382">
        <v>7973</v>
      </c>
      <c r="J259" s="382">
        <v>3</v>
      </c>
      <c r="K259" s="384">
        <v>84.14</v>
      </c>
      <c r="L259" s="384">
        <v>84.38</v>
      </c>
      <c r="M259" s="384">
        <v>4.01</v>
      </c>
      <c r="N259" s="384">
        <v>86.41</v>
      </c>
      <c r="O259" s="385">
        <v>5516</v>
      </c>
      <c r="P259" s="382">
        <v>78.05</v>
      </c>
      <c r="Q259" s="382">
        <v>86.27</v>
      </c>
      <c r="R259" s="382">
        <v>17.41</v>
      </c>
      <c r="S259" s="382">
        <v>94.93</v>
      </c>
      <c r="T259" s="382">
        <v>1767</v>
      </c>
      <c r="U259" s="382">
        <v>104</v>
      </c>
      <c r="V259" s="382">
        <v>519</v>
      </c>
      <c r="W259" s="382">
        <v>161.25</v>
      </c>
      <c r="X259" s="382">
        <v>130</v>
      </c>
      <c r="Y259" s="382">
        <v>0</v>
      </c>
      <c r="Z259" s="382">
        <v>14</v>
      </c>
      <c r="AA259" s="382">
        <v>8</v>
      </c>
      <c r="AB259" s="382">
        <v>57</v>
      </c>
      <c r="AC259" s="382">
        <v>5</v>
      </c>
      <c r="AD259" s="386">
        <v>6039</v>
      </c>
      <c r="AE259" s="386">
        <v>22</v>
      </c>
      <c r="AF259" s="386">
        <v>25</v>
      </c>
      <c r="AG259" s="386">
        <v>47</v>
      </c>
    </row>
    <row r="260" spans="1:33" x14ac:dyDescent="0.25">
      <c r="A260" s="381" t="s">
        <v>578</v>
      </c>
      <c r="B260" s="387" t="s">
        <v>579</v>
      </c>
      <c r="C260" s="383">
        <v>2656</v>
      </c>
      <c r="D260" s="383">
        <v>2</v>
      </c>
      <c r="E260" s="383">
        <v>121</v>
      </c>
      <c r="F260" s="383">
        <v>1038</v>
      </c>
      <c r="G260" s="383">
        <v>73</v>
      </c>
      <c r="H260" s="383">
        <v>3890</v>
      </c>
      <c r="I260" s="382">
        <v>3817</v>
      </c>
      <c r="J260" s="382">
        <v>11</v>
      </c>
      <c r="K260" s="384">
        <v>87.08</v>
      </c>
      <c r="L260" s="384">
        <v>86.98</v>
      </c>
      <c r="M260" s="384">
        <v>5.24</v>
      </c>
      <c r="N260" s="384">
        <v>88.32</v>
      </c>
      <c r="O260" s="385">
        <v>2396</v>
      </c>
      <c r="P260" s="382">
        <v>83.03</v>
      </c>
      <c r="Q260" s="382">
        <v>82.69</v>
      </c>
      <c r="R260" s="382">
        <v>19.14</v>
      </c>
      <c r="S260" s="382">
        <v>101.65</v>
      </c>
      <c r="T260" s="382">
        <v>1044</v>
      </c>
      <c r="U260" s="382">
        <v>96.39</v>
      </c>
      <c r="V260" s="382">
        <v>201</v>
      </c>
      <c r="W260" s="382">
        <v>138.03</v>
      </c>
      <c r="X260" s="382">
        <v>63</v>
      </c>
      <c r="Y260" s="382">
        <v>0</v>
      </c>
      <c r="Z260" s="382">
        <v>17</v>
      </c>
      <c r="AA260" s="382">
        <v>0</v>
      </c>
      <c r="AB260" s="382">
        <v>11</v>
      </c>
      <c r="AC260" s="382">
        <v>3</v>
      </c>
      <c r="AD260" s="386">
        <v>2498</v>
      </c>
      <c r="AE260" s="386">
        <v>27</v>
      </c>
      <c r="AF260" s="386">
        <v>4</v>
      </c>
      <c r="AG260" s="386">
        <v>31</v>
      </c>
    </row>
    <row r="261" spans="1:33" x14ac:dyDescent="0.25">
      <c r="A261" s="381" t="s">
        <v>580</v>
      </c>
      <c r="B261" s="387" t="s">
        <v>581</v>
      </c>
      <c r="C261" s="383">
        <v>1668</v>
      </c>
      <c r="D261" s="383">
        <v>3</v>
      </c>
      <c r="E261" s="383">
        <v>148</v>
      </c>
      <c r="F261" s="383">
        <v>313</v>
      </c>
      <c r="G261" s="383">
        <v>390</v>
      </c>
      <c r="H261" s="383">
        <v>2522</v>
      </c>
      <c r="I261" s="382">
        <v>2132</v>
      </c>
      <c r="J261" s="382">
        <v>7</v>
      </c>
      <c r="K261" s="384">
        <v>115.26</v>
      </c>
      <c r="L261" s="384">
        <v>114.28</v>
      </c>
      <c r="M261" s="384">
        <v>7.29</v>
      </c>
      <c r="N261" s="384">
        <v>121.6</v>
      </c>
      <c r="O261" s="385">
        <v>1389</v>
      </c>
      <c r="P261" s="382">
        <v>101.55</v>
      </c>
      <c r="Q261" s="382">
        <v>90.26</v>
      </c>
      <c r="R261" s="382">
        <v>33.71</v>
      </c>
      <c r="S261" s="382">
        <v>135.18</v>
      </c>
      <c r="T261" s="382">
        <v>407</v>
      </c>
      <c r="U261" s="382">
        <v>133.1</v>
      </c>
      <c r="V261" s="382">
        <v>132</v>
      </c>
      <c r="W261" s="382">
        <v>0</v>
      </c>
      <c r="X261" s="382">
        <v>0</v>
      </c>
      <c r="Y261" s="382">
        <v>0</v>
      </c>
      <c r="Z261" s="382">
        <v>0</v>
      </c>
      <c r="AA261" s="382">
        <v>0</v>
      </c>
      <c r="AB261" s="382">
        <v>122</v>
      </c>
      <c r="AC261" s="382">
        <v>26</v>
      </c>
      <c r="AD261" s="386">
        <v>1541</v>
      </c>
      <c r="AE261" s="386">
        <v>7</v>
      </c>
      <c r="AF261" s="386">
        <v>1</v>
      </c>
      <c r="AG261" s="386">
        <v>8</v>
      </c>
    </row>
    <row r="262" spans="1:33" x14ac:dyDescent="0.25">
      <c r="A262" s="381" t="s">
        <v>582</v>
      </c>
      <c r="B262" s="387" t="s">
        <v>583</v>
      </c>
      <c r="C262" s="383">
        <v>4327</v>
      </c>
      <c r="D262" s="383">
        <v>0</v>
      </c>
      <c r="E262" s="383">
        <v>403</v>
      </c>
      <c r="F262" s="383">
        <v>1323</v>
      </c>
      <c r="G262" s="383">
        <v>1167</v>
      </c>
      <c r="H262" s="383">
        <v>7220</v>
      </c>
      <c r="I262" s="382">
        <v>6053</v>
      </c>
      <c r="J262" s="382">
        <v>39</v>
      </c>
      <c r="K262" s="384">
        <v>84.42</v>
      </c>
      <c r="L262" s="384">
        <v>83.75</v>
      </c>
      <c r="M262" s="384">
        <v>7.68</v>
      </c>
      <c r="N262" s="384">
        <v>88.65</v>
      </c>
      <c r="O262" s="385">
        <v>3766</v>
      </c>
      <c r="P262" s="382">
        <v>84.47</v>
      </c>
      <c r="Q262" s="382">
        <v>78.400000000000006</v>
      </c>
      <c r="R262" s="382">
        <v>27.96</v>
      </c>
      <c r="S262" s="382">
        <v>111.66</v>
      </c>
      <c r="T262" s="382">
        <v>1626</v>
      </c>
      <c r="U262" s="382">
        <v>109.56</v>
      </c>
      <c r="V262" s="382">
        <v>420</v>
      </c>
      <c r="W262" s="382">
        <v>148.08000000000001</v>
      </c>
      <c r="X262" s="382">
        <v>64</v>
      </c>
      <c r="Y262" s="382">
        <v>12</v>
      </c>
      <c r="Z262" s="382">
        <v>6</v>
      </c>
      <c r="AA262" s="382">
        <v>0</v>
      </c>
      <c r="AB262" s="382">
        <v>16</v>
      </c>
      <c r="AC262" s="382">
        <v>18</v>
      </c>
      <c r="AD262" s="386">
        <v>4120</v>
      </c>
      <c r="AE262" s="386">
        <v>12</v>
      </c>
      <c r="AF262" s="386">
        <v>16</v>
      </c>
      <c r="AG262" s="386">
        <v>28</v>
      </c>
    </row>
    <row r="263" spans="1:33" x14ac:dyDescent="0.25">
      <c r="A263" s="381" t="s">
        <v>584</v>
      </c>
      <c r="B263" s="387" t="s">
        <v>585</v>
      </c>
      <c r="C263" s="383">
        <v>12700</v>
      </c>
      <c r="D263" s="383">
        <v>4</v>
      </c>
      <c r="E263" s="383">
        <v>298</v>
      </c>
      <c r="F263" s="383">
        <v>802</v>
      </c>
      <c r="G263" s="383">
        <v>170</v>
      </c>
      <c r="H263" s="383">
        <v>13974</v>
      </c>
      <c r="I263" s="382">
        <v>13804</v>
      </c>
      <c r="J263" s="382">
        <v>266</v>
      </c>
      <c r="K263" s="384">
        <v>81.95</v>
      </c>
      <c r="L263" s="384">
        <v>82.36</v>
      </c>
      <c r="M263" s="384">
        <v>9.49</v>
      </c>
      <c r="N263" s="384">
        <v>84.59</v>
      </c>
      <c r="O263" s="385">
        <v>11143</v>
      </c>
      <c r="P263" s="382">
        <v>84.32</v>
      </c>
      <c r="Q263" s="382">
        <v>79.86</v>
      </c>
      <c r="R263" s="382">
        <v>44.41</v>
      </c>
      <c r="S263" s="382">
        <v>127.65</v>
      </c>
      <c r="T263" s="382">
        <v>1023</v>
      </c>
      <c r="U263" s="382">
        <v>97.45</v>
      </c>
      <c r="V263" s="382">
        <v>1485</v>
      </c>
      <c r="W263" s="382">
        <v>174.85</v>
      </c>
      <c r="X263" s="382">
        <v>53</v>
      </c>
      <c r="Y263" s="382">
        <v>6</v>
      </c>
      <c r="Z263" s="382">
        <v>62</v>
      </c>
      <c r="AA263" s="382">
        <v>0</v>
      </c>
      <c r="AB263" s="382">
        <v>12</v>
      </c>
      <c r="AC263" s="382">
        <v>2</v>
      </c>
      <c r="AD263" s="386">
        <v>12700</v>
      </c>
      <c r="AE263" s="386">
        <v>97</v>
      </c>
      <c r="AF263" s="386">
        <v>105</v>
      </c>
      <c r="AG263" s="386">
        <v>202</v>
      </c>
    </row>
    <row r="264" spans="1:33" x14ac:dyDescent="0.25">
      <c r="A264" s="381" t="s">
        <v>586</v>
      </c>
      <c r="B264" s="387" t="s">
        <v>587</v>
      </c>
      <c r="C264" s="383">
        <v>5838</v>
      </c>
      <c r="D264" s="383">
        <v>71</v>
      </c>
      <c r="E264" s="383">
        <v>803</v>
      </c>
      <c r="F264" s="383">
        <v>1284</v>
      </c>
      <c r="G264" s="383">
        <v>273</v>
      </c>
      <c r="H264" s="383">
        <v>8269</v>
      </c>
      <c r="I264" s="382">
        <v>7996</v>
      </c>
      <c r="J264" s="382">
        <v>11</v>
      </c>
      <c r="K264" s="384">
        <v>77.17</v>
      </c>
      <c r="L264" s="384">
        <v>77.099999999999994</v>
      </c>
      <c r="M264" s="384">
        <v>4.34</v>
      </c>
      <c r="N264" s="384">
        <v>80.150000000000006</v>
      </c>
      <c r="O264" s="385">
        <v>4933</v>
      </c>
      <c r="P264" s="382">
        <v>93.03</v>
      </c>
      <c r="Q264" s="382">
        <v>89.48</v>
      </c>
      <c r="R264" s="382">
        <v>55.57</v>
      </c>
      <c r="S264" s="382">
        <v>146.6</v>
      </c>
      <c r="T264" s="382">
        <v>1670</v>
      </c>
      <c r="U264" s="382">
        <v>92.23</v>
      </c>
      <c r="V264" s="382">
        <v>445</v>
      </c>
      <c r="W264" s="382">
        <v>185.75</v>
      </c>
      <c r="X264" s="382">
        <v>120</v>
      </c>
      <c r="Y264" s="382">
        <v>0</v>
      </c>
      <c r="Z264" s="382">
        <v>6</v>
      </c>
      <c r="AA264" s="382">
        <v>1</v>
      </c>
      <c r="AB264" s="382">
        <v>3</v>
      </c>
      <c r="AC264" s="382">
        <v>6</v>
      </c>
      <c r="AD264" s="386">
        <v>5354</v>
      </c>
      <c r="AE264" s="386">
        <v>31</v>
      </c>
      <c r="AF264" s="386">
        <v>38</v>
      </c>
      <c r="AG264" s="386">
        <v>69</v>
      </c>
    </row>
    <row r="265" spans="1:33" x14ac:dyDescent="0.25">
      <c r="A265" s="381" t="s">
        <v>588</v>
      </c>
      <c r="B265" s="387" t="s">
        <v>589</v>
      </c>
      <c r="C265" s="383">
        <v>6571</v>
      </c>
      <c r="D265" s="383">
        <v>2</v>
      </c>
      <c r="E265" s="383">
        <v>85</v>
      </c>
      <c r="F265" s="383">
        <v>659</v>
      </c>
      <c r="G265" s="383">
        <v>592</v>
      </c>
      <c r="H265" s="383">
        <v>7909</v>
      </c>
      <c r="I265" s="382">
        <v>7317</v>
      </c>
      <c r="J265" s="382">
        <v>159</v>
      </c>
      <c r="K265" s="384">
        <v>105.69</v>
      </c>
      <c r="L265" s="384">
        <v>103</v>
      </c>
      <c r="M265" s="384">
        <v>4.63</v>
      </c>
      <c r="N265" s="384">
        <v>107.29</v>
      </c>
      <c r="O265" s="385">
        <v>6037</v>
      </c>
      <c r="P265" s="382">
        <v>85.57</v>
      </c>
      <c r="Q265" s="382">
        <v>89.43</v>
      </c>
      <c r="R265" s="382">
        <v>28.54</v>
      </c>
      <c r="S265" s="382">
        <v>113.77</v>
      </c>
      <c r="T265" s="382">
        <v>669</v>
      </c>
      <c r="U265" s="382">
        <v>133.9</v>
      </c>
      <c r="V265" s="382">
        <v>190</v>
      </c>
      <c r="W265" s="382">
        <v>164.68</v>
      </c>
      <c r="X265" s="382">
        <v>7</v>
      </c>
      <c r="Y265" s="382">
        <v>0</v>
      </c>
      <c r="Z265" s="382">
        <v>17</v>
      </c>
      <c r="AA265" s="382">
        <v>0</v>
      </c>
      <c r="AB265" s="382">
        <v>63</v>
      </c>
      <c r="AC265" s="382">
        <v>10</v>
      </c>
      <c r="AD265" s="386">
        <v>6194</v>
      </c>
      <c r="AE265" s="386">
        <v>37</v>
      </c>
      <c r="AF265" s="386">
        <v>81</v>
      </c>
      <c r="AG265" s="386">
        <v>118</v>
      </c>
    </row>
    <row r="266" spans="1:33" x14ac:dyDescent="0.25">
      <c r="A266" s="381" t="s">
        <v>590</v>
      </c>
      <c r="B266" s="387" t="s">
        <v>591</v>
      </c>
      <c r="C266" s="383">
        <v>1365</v>
      </c>
      <c r="D266" s="383">
        <v>0</v>
      </c>
      <c r="E266" s="383">
        <v>128</v>
      </c>
      <c r="F266" s="383">
        <v>146</v>
      </c>
      <c r="G266" s="383">
        <v>303</v>
      </c>
      <c r="H266" s="383">
        <v>1942</v>
      </c>
      <c r="I266" s="382">
        <v>1639</v>
      </c>
      <c r="J266" s="382">
        <v>0</v>
      </c>
      <c r="K266" s="384">
        <v>99.84</v>
      </c>
      <c r="L266" s="384">
        <v>97.38</v>
      </c>
      <c r="M266" s="384">
        <v>4.5599999999999996</v>
      </c>
      <c r="N266" s="384">
        <v>103.48</v>
      </c>
      <c r="O266" s="385">
        <v>1020</v>
      </c>
      <c r="P266" s="382">
        <v>87.92</v>
      </c>
      <c r="Q266" s="382">
        <v>82.14</v>
      </c>
      <c r="R266" s="382">
        <v>35.67</v>
      </c>
      <c r="S266" s="382">
        <v>118.64</v>
      </c>
      <c r="T266" s="382">
        <v>245</v>
      </c>
      <c r="U266" s="382">
        <v>124.78</v>
      </c>
      <c r="V266" s="382">
        <v>272</v>
      </c>
      <c r="W266" s="382">
        <v>0</v>
      </c>
      <c r="X266" s="382">
        <v>0</v>
      </c>
      <c r="Y266" s="382">
        <v>0</v>
      </c>
      <c r="Z266" s="382">
        <v>1</v>
      </c>
      <c r="AA266" s="382">
        <v>0</v>
      </c>
      <c r="AB266" s="382">
        <v>10</v>
      </c>
      <c r="AC266" s="382">
        <v>7</v>
      </c>
      <c r="AD266" s="386">
        <v>1299</v>
      </c>
      <c r="AE266" s="386">
        <v>3</v>
      </c>
      <c r="AF266" s="386">
        <v>2</v>
      </c>
      <c r="AG266" s="386">
        <v>5</v>
      </c>
    </row>
    <row r="267" spans="1:33" x14ac:dyDescent="0.25">
      <c r="A267" s="381" t="s">
        <v>592</v>
      </c>
      <c r="B267" s="387" t="s">
        <v>593</v>
      </c>
      <c r="C267" s="383">
        <v>31708</v>
      </c>
      <c r="D267" s="383">
        <v>38</v>
      </c>
      <c r="E267" s="383">
        <v>529</v>
      </c>
      <c r="F267" s="383">
        <v>1972</v>
      </c>
      <c r="G267" s="383">
        <v>292</v>
      </c>
      <c r="H267" s="383">
        <v>34539</v>
      </c>
      <c r="I267" s="382">
        <v>34247</v>
      </c>
      <c r="J267" s="382">
        <v>2638</v>
      </c>
      <c r="K267" s="384">
        <v>80.430000000000007</v>
      </c>
      <c r="L267" s="384">
        <v>80.33</v>
      </c>
      <c r="M267" s="384">
        <v>6.24</v>
      </c>
      <c r="N267" s="384">
        <v>81.61</v>
      </c>
      <c r="O267" s="385">
        <v>29894</v>
      </c>
      <c r="P267" s="382">
        <v>82.74</v>
      </c>
      <c r="Q267" s="382">
        <v>76.83</v>
      </c>
      <c r="R267" s="382">
        <v>32.99</v>
      </c>
      <c r="S267" s="382">
        <v>114.42</v>
      </c>
      <c r="T267" s="382">
        <v>2010</v>
      </c>
      <c r="U267" s="382">
        <v>99.89</v>
      </c>
      <c r="V267" s="382">
        <v>1498</v>
      </c>
      <c r="W267" s="382">
        <v>164.37</v>
      </c>
      <c r="X267" s="382">
        <v>433</v>
      </c>
      <c r="Y267" s="382">
        <v>6</v>
      </c>
      <c r="Z267" s="382">
        <v>4</v>
      </c>
      <c r="AA267" s="382">
        <v>0</v>
      </c>
      <c r="AB267" s="382">
        <v>72</v>
      </c>
      <c r="AC267" s="382">
        <v>7</v>
      </c>
      <c r="AD267" s="386">
        <v>31419</v>
      </c>
      <c r="AE267" s="386">
        <v>335</v>
      </c>
      <c r="AF267" s="386">
        <v>73</v>
      </c>
      <c r="AG267" s="386">
        <v>408</v>
      </c>
    </row>
    <row r="268" spans="1:33" x14ac:dyDescent="0.25">
      <c r="A268" s="381" t="s">
        <v>594</v>
      </c>
      <c r="B268" s="387" t="s">
        <v>595</v>
      </c>
      <c r="C268" s="383">
        <v>3003</v>
      </c>
      <c r="D268" s="383">
        <v>1</v>
      </c>
      <c r="E268" s="383">
        <v>127</v>
      </c>
      <c r="F268" s="383">
        <v>307</v>
      </c>
      <c r="G268" s="383">
        <v>261</v>
      </c>
      <c r="H268" s="383">
        <v>3699</v>
      </c>
      <c r="I268" s="382">
        <v>3438</v>
      </c>
      <c r="J268" s="382">
        <v>281</v>
      </c>
      <c r="K268" s="384">
        <v>114.24</v>
      </c>
      <c r="L268" s="384">
        <v>110.16</v>
      </c>
      <c r="M268" s="384">
        <v>5.0999999999999996</v>
      </c>
      <c r="N268" s="384">
        <v>116.47</v>
      </c>
      <c r="O268" s="385">
        <v>2978</v>
      </c>
      <c r="P268" s="382">
        <v>101.97</v>
      </c>
      <c r="Q268" s="382">
        <v>90.74</v>
      </c>
      <c r="R268" s="382">
        <v>25.46</v>
      </c>
      <c r="S268" s="382">
        <v>127.17</v>
      </c>
      <c r="T268" s="382">
        <v>394</v>
      </c>
      <c r="U268" s="382">
        <v>229.93</v>
      </c>
      <c r="V268" s="382">
        <v>20</v>
      </c>
      <c r="W268" s="382">
        <v>0</v>
      </c>
      <c r="X268" s="382">
        <v>0</v>
      </c>
      <c r="Y268" s="382">
        <v>3</v>
      </c>
      <c r="Z268" s="382">
        <v>4</v>
      </c>
      <c r="AA268" s="382">
        <v>0</v>
      </c>
      <c r="AB268" s="382">
        <v>25</v>
      </c>
      <c r="AC268" s="382">
        <v>15</v>
      </c>
      <c r="AD268" s="386">
        <v>3003</v>
      </c>
      <c r="AE268" s="386">
        <v>11</v>
      </c>
      <c r="AF268" s="386">
        <v>4</v>
      </c>
      <c r="AG268" s="386">
        <v>15</v>
      </c>
    </row>
    <row r="269" spans="1:33" x14ac:dyDescent="0.25">
      <c r="A269" s="381" t="s">
        <v>596</v>
      </c>
      <c r="B269" s="387" t="s">
        <v>597</v>
      </c>
      <c r="C269" s="383">
        <v>4662</v>
      </c>
      <c r="D269" s="383">
        <v>8</v>
      </c>
      <c r="E269" s="383">
        <v>368</v>
      </c>
      <c r="F269" s="383">
        <v>852</v>
      </c>
      <c r="G269" s="383">
        <v>587</v>
      </c>
      <c r="H269" s="383">
        <v>6477</v>
      </c>
      <c r="I269" s="382">
        <v>5890</v>
      </c>
      <c r="J269" s="382">
        <v>21</v>
      </c>
      <c r="K269" s="384">
        <v>119.7</v>
      </c>
      <c r="L269" s="384">
        <v>119.45</v>
      </c>
      <c r="M269" s="384">
        <v>7.68</v>
      </c>
      <c r="N269" s="384">
        <v>127</v>
      </c>
      <c r="O269" s="385">
        <v>4045</v>
      </c>
      <c r="P269" s="382">
        <v>112.55</v>
      </c>
      <c r="Q269" s="382">
        <v>103.73</v>
      </c>
      <c r="R269" s="382">
        <v>44.34</v>
      </c>
      <c r="S269" s="382">
        <v>154.57</v>
      </c>
      <c r="T269" s="382">
        <v>728</v>
      </c>
      <c r="U269" s="382">
        <v>180.85</v>
      </c>
      <c r="V269" s="382">
        <v>365</v>
      </c>
      <c r="W269" s="382">
        <v>220.29</v>
      </c>
      <c r="X269" s="382">
        <v>87</v>
      </c>
      <c r="Y269" s="382">
        <v>0</v>
      </c>
      <c r="Z269" s="382">
        <v>8</v>
      </c>
      <c r="AA269" s="382">
        <v>3</v>
      </c>
      <c r="AB269" s="382">
        <v>18</v>
      </c>
      <c r="AC269" s="382">
        <v>17</v>
      </c>
      <c r="AD269" s="386">
        <v>4464</v>
      </c>
      <c r="AE269" s="386">
        <v>21</v>
      </c>
      <c r="AF269" s="386">
        <v>17</v>
      </c>
      <c r="AG269" s="386">
        <v>38</v>
      </c>
    </row>
    <row r="270" spans="1:33" x14ac:dyDescent="0.25">
      <c r="A270" s="381" t="s">
        <v>598</v>
      </c>
      <c r="B270" s="387" t="s">
        <v>599</v>
      </c>
      <c r="C270" s="383">
        <v>7567</v>
      </c>
      <c r="D270" s="383">
        <v>0</v>
      </c>
      <c r="E270" s="383">
        <v>236</v>
      </c>
      <c r="F270" s="383">
        <v>437</v>
      </c>
      <c r="G270" s="383">
        <v>569</v>
      </c>
      <c r="H270" s="383">
        <v>8809</v>
      </c>
      <c r="I270" s="382">
        <v>8240</v>
      </c>
      <c r="J270" s="382">
        <v>2</v>
      </c>
      <c r="K270" s="384">
        <v>99.18</v>
      </c>
      <c r="L270" s="384">
        <v>98.82</v>
      </c>
      <c r="M270" s="384">
        <v>5.21</v>
      </c>
      <c r="N270" s="384">
        <v>101.61</v>
      </c>
      <c r="O270" s="385">
        <v>6510</v>
      </c>
      <c r="P270" s="382">
        <v>90.32</v>
      </c>
      <c r="Q270" s="382">
        <v>86.04</v>
      </c>
      <c r="R270" s="382">
        <v>45.89</v>
      </c>
      <c r="S270" s="382">
        <v>135.6</v>
      </c>
      <c r="T270" s="382">
        <v>602</v>
      </c>
      <c r="U270" s="382">
        <v>127.29</v>
      </c>
      <c r="V270" s="382">
        <v>944</v>
      </c>
      <c r="W270" s="382">
        <v>176.33</v>
      </c>
      <c r="X270" s="382">
        <v>1</v>
      </c>
      <c r="Y270" s="382">
        <v>14</v>
      </c>
      <c r="Z270" s="382">
        <v>4</v>
      </c>
      <c r="AA270" s="382">
        <v>0</v>
      </c>
      <c r="AB270" s="382">
        <v>54</v>
      </c>
      <c r="AC270" s="382">
        <v>15</v>
      </c>
      <c r="AD270" s="386">
        <v>7500</v>
      </c>
      <c r="AE270" s="386">
        <v>43</v>
      </c>
      <c r="AF270" s="386">
        <v>31</v>
      </c>
      <c r="AG270" s="386">
        <v>74</v>
      </c>
    </row>
    <row r="271" spans="1:33" x14ac:dyDescent="0.25">
      <c r="A271" s="381" t="s">
        <v>600</v>
      </c>
      <c r="B271" s="387" t="s">
        <v>601</v>
      </c>
      <c r="C271" s="383">
        <v>3630</v>
      </c>
      <c r="D271" s="383">
        <v>0</v>
      </c>
      <c r="E271" s="383">
        <v>528</v>
      </c>
      <c r="F271" s="383">
        <v>919</v>
      </c>
      <c r="G271" s="383">
        <v>902</v>
      </c>
      <c r="H271" s="383">
        <v>5979</v>
      </c>
      <c r="I271" s="382">
        <v>5077</v>
      </c>
      <c r="J271" s="382">
        <v>1</v>
      </c>
      <c r="K271" s="384">
        <v>98.63</v>
      </c>
      <c r="L271" s="384">
        <v>96.61</v>
      </c>
      <c r="M271" s="384">
        <v>7.34</v>
      </c>
      <c r="N271" s="384">
        <v>104.33</v>
      </c>
      <c r="O271" s="385">
        <v>3013</v>
      </c>
      <c r="P271" s="382">
        <v>84.37</v>
      </c>
      <c r="Q271" s="382">
        <v>81.14</v>
      </c>
      <c r="R271" s="382">
        <v>42.62</v>
      </c>
      <c r="S271" s="382">
        <v>124.76</v>
      </c>
      <c r="T271" s="382">
        <v>1320</v>
      </c>
      <c r="U271" s="382">
        <v>123.53</v>
      </c>
      <c r="V271" s="382">
        <v>378</v>
      </c>
      <c r="W271" s="382">
        <v>173.11</v>
      </c>
      <c r="X271" s="382">
        <v>78</v>
      </c>
      <c r="Y271" s="382">
        <v>0</v>
      </c>
      <c r="Z271" s="382">
        <v>2</v>
      </c>
      <c r="AA271" s="382">
        <v>0</v>
      </c>
      <c r="AB271" s="382">
        <v>58</v>
      </c>
      <c r="AC271" s="382">
        <v>36</v>
      </c>
      <c r="AD271" s="386">
        <v>3513</v>
      </c>
      <c r="AE271" s="386">
        <v>11</v>
      </c>
      <c r="AF271" s="386">
        <v>3</v>
      </c>
      <c r="AG271" s="386">
        <v>14</v>
      </c>
    </row>
    <row r="272" spans="1:33" x14ac:dyDescent="0.25">
      <c r="A272" s="381" t="s">
        <v>602</v>
      </c>
      <c r="B272" s="387" t="s">
        <v>603</v>
      </c>
      <c r="C272" s="383">
        <v>20105</v>
      </c>
      <c r="D272" s="383">
        <v>0</v>
      </c>
      <c r="E272" s="383">
        <v>516</v>
      </c>
      <c r="F272" s="383">
        <v>1600</v>
      </c>
      <c r="G272" s="383">
        <v>182</v>
      </c>
      <c r="H272" s="383">
        <v>22403</v>
      </c>
      <c r="I272" s="382">
        <v>22221</v>
      </c>
      <c r="J272" s="382">
        <v>55</v>
      </c>
      <c r="K272" s="384">
        <v>83.21</v>
      </c>
      <c r="L272" s="384">
        <v>80.06</v>
      </c>
      <c r="M272" s="384">
        <v>3.48</v>
      </c>
      <c r="N272" s="384">
        <v>86.37</v>
      </c>
      <c r="O272" s="385">
        <v>17284</v>
      </c>
      <c r="P272" s="382">
        <v>83.41</v>
      </c>
      <c r="Q272" s="382">
        <v>72.42</v>
      </c>
      <c r="R272" s="382">
        <v>33.56</v>
      </c>
      <c r="S272" s="382">
        <v>113.83</v>
      </c>
      <c r="T272" s="382">
        <v>1979</v>
      </c>
      <c r="U272" s="382">
        <v>103.76</v>
      </c>
      <c r="V272" s="382">
        <v>1760</v>
      </c>
      <c r="W272" s="382">
        <v>108.25</v>
      </c>
      <c r="X272" s="382">
        <v>22</v>
      </c>
      <c r="Y272" s="382">
        <v>10</v>
      </c>
      <c r="Z272" s="382">
        <v>63</v>
      </c>
      <c r="AA272" s="382">
        <v>0</v>
      </c>
      <c r="AB272" s="382">
        <v>0</v>
      </c>
      <c r="AC272" s="382">
        <v>3</v>
      </c>
      <c r="AD272" s="386">
        <v>19074</v>
      </c>
      <c r="AE272" s="386">
        <v>83</v>
      </c>
      <c r="AF272" s="386">
        <v>68</v>
      </c>
      <c r="AG272" s="386">
        <v>151</v>
      </c>
    </row>
    <row r="273" spans="1:33" x14ac:dyDescent="0.25">
      <c r="A273" s="381" t="s">
        <v>604</v>
      </c>
      <c r="B273" s="387" t="s">
        <v>605</v>
      </c>
      <c r="C273" s="383">
        <v>1412</v>
      </c>
      <c r="D273" s="383">
        <v>0</v>
      </c>
      <c r="E273" s="383">
        <v>124</v>
      </c>
      <c r="F273" s="383">
        <v>109</v>
      </c>
      <c r="G273" s="383">
        <v>127</v>
      </c>
      <c r="H273" s="383">
        <v>1772</v>
      </c>
      <c r="I273" s="382">
        <v>1645</v>
      </c>
      <c r="J273" s="382">
        <v>0</v>
      </c>
      <c r="K273" s="384">
        <v>89.31</v>
      </c>
      <c r="L273" s="384">
        <v>87.83</v>
      </c>
      <c r="M273" s="384">
        <v>5.1100000000000003</v>
      </c>
      <c r="N273" s="384">
        <v>93.44</v>
      </c>
      <c r="O273" s="385">
        <v>1235</v>
      </c>
      <c r="P273" s="382">
        <v>83.76</v>
      </c>
      <c r="Q273" s="382">
        <v>79.73</v>
      </c>
      <c r="R273" s="382">
        <v>30.87</v>
      </c>
      <c r="S273" s="382">
        <v>113.56</v>
      </c>
      <c r="T273" s="382">
        <v>201</v>
      </c>
      <c r="U273" s="382">
        <v>107.64</v>
      </c>
      <c r="V273" s="382">
        <v>159</v>
      </c>
      <c r="W273" s="382">
        <v>0</v>
      </c>
      <c r="X273" s="382">
        <v>0</v>
      </c>
      <c r="Y273" s="382">
        <v>0</v>
      </c>
      <c r="Z273" s="382">
        <v>0</v>
      </c>
      <c r="AA273" s="382">
        <v>0</v>
      </c>
      <c r="AB273" s="382">
        <v>0</v>
      </c>
      <c r="AC273" s="382">
        <v>6</v>
      </c>
      <c r="AD273" s="386">
        <v>1412</v>
      </c>
      <c r="AE273" s="386">
        <v>3</v>
      </c>
      <c r="AF273" s="386">
        <v>4</v>
      </c>
      <c r="AG273" s="386">
        <v>7</v>
      </c>
    </row>
    <row r="274" spans="1:33" x14ac:dyDescent="0.25">
      <c r="A274" s="381" t="s">
        <v>606</v>
      </c>
      <c r="B274" s="387" t="s">
        <v>607</v>
      </c>
      <c r="C274" s="383">
        <v>1036</v>
      </c>
      <c r="D274" s="383">
        <v>0</v>
      </c>
      <c r="E274" s="383">
        <v>115</v>
      </c>
      <c r="F274" s="383">
        <v>70</v>
      </c>
      <c r="G274" s="383">
        <v>213</v>
      </c>
      <c r="H274" s="383">
        <v>1434</v>
      </c>
      <c r="I274" s="382">
        <v>1221</v>
      </c>
      <c r="J274" s="382">
        <v>0</v>
      </c>
      <c r="K274" s="384">
        <v>125.57</v>
      </c>
      <c r="L274" s="384">
        <v>123.64</v>
      </c>
      <c r="M274" s="384">
        <v>6.87</v>
      </c>
      <c r="N274" s="384">
        <v>132.06</v>
      </c>
      <c r="O274" s="385">
        <v>679</v>
      </c>
      <c r="P274" s="382">
        <v>136.22</v>
      </c>
      <c r="Q274" s="382">
        <v>101.56</v>
      </c>
      <c r="R274" s="382">
        <v>52.83</v>
      </c>
      <c r="S274" s="382">
        <v>189.05</v>
      </c>
      <c r="T274" s="382">
        <v>86</v>
      </c>
      <c r="U274" s="382">
        <v>178.51</v>
      </c>
      <c r="V274" s="382">
        <v>256</v>
      </c>
      <c r="W274" s="382">
        <v>131.30000000000001</v>
      </c>
      <c r="X274" s="382">
        <v>7</v>
      </c>
      <c r="Y274" s="382">
        <v>0</v>
      </c>
      <c r="Z274" s="382">
        <v>0</v>
      </c>
      <c r="AA274" s="382">
        <v>0</v>
      </c>
      <c r="AB274" s="382">
        <v>6</v>
      </c>
      <c r="AC274" s="382">
        <v>3</v>
      </c>
      <c r="AD274" s="386">
        <v>990</v>
      </c>
      <c r="AE274" s="386">
        <v>2</v>
      </c>
      <c r="AF274" s="386">
        <v>1</v>
      </c>
      <c r="AG274" s="386">
        <v>3</v>
      </c>
    </row>
    <row r="275" spans="1:33" x14ac:dyDescent="0.25">
      <c r="A275" s="381" t="s">
        <v>608</v>
      </c>
      <c r="B275" s="387" t="s">
        <v>609</v>
      </c>
      <c r="C275" s="383">
        <v>4047</v>
      </c>
      <c r="D275" s="383">
        <v>0</v>
      </c>
      <c r="E275" s="383">
        <v>167</v>
      </c>
      <c r="F275" s="383">
        <v>1394</v>
      </c>
      <c r="G275" s="383">
        <v>580</v>
      </c>
      <c r="H275" s="383">
        <v>6188</v>
      </c>
      <c r="I275" s="382">
        <v>5608</v>
      </c>
      <c r="J275" s="382">
        <v>1</v>
      </c>
      <c r="K275" s="384">
        <v>88.84</v>
      </c>
      <c r="L275" s="384">
        <v>86.36</v>
      </c>
      <c r="M275" s="384">
        <v>3.87</v>
      </c>
      <c r="N275" s="384">
        <v>92.51</v>
      </c>
      <c r="O275" s="385">
        <v>3423</v>
      </c>
      <c r="P275" s="382">
        <v>86.33</v>
      </c>
      <c r="Q275" s="382">
        <v>80.59</v>
      </c>
      <c r="R275" s="382">
        <v>18.55</v>
      </c>
      <c r="S275" s="382">
        <v>104.15</v>
      </c>
      <c r="T275" s="382">
        <v>1284</v>
      </c>
      <c r="U275" s="382">
        <v>126.77</v>
      </c>
      <c r="V275" s="382">
        <v>562</v>
      </c>
      <c r="W275" s="382">
        <v>98.4</v>
      </c>
      <c r="X275" s="382">
        <v>10</v>
      </c>
      <c r="Y275" s="382">
        <v>0</v>
      </c>
      <c r="Z275" s="382">
        <v>13</v>
      </c>
      <c r="AA275" s="382">
        <v>0</v>
      </c>
      <c r="AB275" s="382">
        <v>41</v>
      </c>
      <c r="AC275" s="382">
        <v>2</v>
      </c>
      <c r="AD275" s="386">
        <v>4012</v>
      </c>
      <c r="AE275" s="386">
        <v>7</v>
      </c>
      <c r="AF275" s="386">
        <v>20</v>
      </c>
      <c r="AG275" s="386">
        <v>27</v>
      </c>
    </row>
    <row r="276" spans="1:33" x14ac:dyDescent="0.25">
      <c r="A276" s="381" t="s">
        <v>610</v>
      </c>
      <c r="B276" s="387" t="s">
        <v>611</v>
      </c>
      <c r="C276" s="383">
        <v>11289</v>
      </c>
      <c r="D276" s="383">
        <v>0</v>
      </c>
      <c r="E276" s="383">
        <v>333</v>
      </c>
      <c r="F276" s="383">
        <v>1858</v>
      </c>
      <c r="G276" s="383">
        <v>409</v>
      </c>
      <c r="H276" s="383">
        <v>13889</v>
      </c>
      <c r="I276" s="382">
        <v>13480</v>
      </c>
      <c r="J276" s="382">
        <v>19</v>
      </c>
      <c r="K276" s="384">
        <v>90.93</v>
      </c>
      <c r="L276" s="384">
        <v>87.73</v>
      </c>
      <c r="M276" s="384">
        <v>5.77</v>
      </c>
      <c r="N276" s="384">
        <v>93.11</v>
      </c>
      <c r="O276" s="385">
        <v>10234</v>
      </c>
      <c r="P276" s="382">
        <v>87.7</v>
      </c>
      <c r="Q276" s="382">
        <v>87.1</v>
      </c>
      <c r="R276" s="382">
        <v>37.4</v>
      </c>
      <c r="S276" s="382">
        <v>124.16</v>
      </c>
      <c r="T276" s="382">
        <v>1868</v>
      </c>
      <c r="U276" s="382">
        <v>110.84</v>
      </c>
      <c r="V276" s="382">
        <v>762</v>
      </c>
      <c r="W276" s="382">
        <v>183.44</v>
      </c>
      <c r="X276" s="382">
        <v>208</v>
      </c>
      <c r="Y276" s="382">
        <v>0</v>
      </c>
      <c r="Z276" s="382">
        <v>63</v>
      </c>
      <c r="AA276" s="382">
        <v>134</v>
      </c>
      <c r="AB276" s="382">
        <v>74</v>
      </c>
      <c r="AC276" s="382">
        <v>5</v>
      </c>
      <c r="AD276" s="386">
        <v>11249</v>
      </c>
      <c r="AE276" s="386">
        <v>25</v>
      </c>
      <c r="AF276" s="386">
        <v>204</v>
      </c>
      <c r="AG276" s="386">
        <v>229</v>
      </c>
    </row>
    <row r="277" spans="1:33" x14ac:dyDescent="0.25">
      <c r="A277" s="381" t="s">
        <v>612</v>
      </c>
      <c r="B277" s="387" t="s">
        <v>613</v>
      </c>
      <c r="C277" s="383">
        <v>1904</v>
      </c>
      <c r="D277" s="383">
        <v>0</v>
      </c>
      <c r="E277" s="383">
        <v>237</v>
      </c>
      <c r="F277" s="383">
        <v>547</v>
      </c>
      <c r="G277" s="383">
        <v>78</v>
      </c>
      <c r="H277" s="383">
        <v>2766</v>
      </c>
      <c r="I277" s="382">
        <v>2688</v>
      </c>
      <c r="J277" s="382">
        <v>0</v>
      </c>
      <c r="K277" s="384">
        <v>99.32</v>
      </c>
      <c r="L277" s="384">
        <v>99</v>
      </c>
      <c r="M277" s="384">
        <v>4.16</v>
      </c>
      <c r="N277" s="384">
        <v>102.73</v>
      </c>
      <c r="O277" s="385">
        <v>1683</v>
      </c>
      <c r="P277" s="382">
        <v>91.83</v>
      </c>
      <c r="Q277" s="382">
        <v>85.24</v>
      </c>
      <c r="R277" s="382">
        <v>34.51</v>
      </c>
      <c r="S277" s="382">
        <v>125.9</v>
      </c>
      <c r="T277" s="382">
        <v>765</v>
      </c>
      <c r="U277" s="382">
        <v>122.12</v>
      </c>
      <c r="V277" s="382">
        <v>160</v>
      </c>
      <c r="W277" s="382">
        <v>0</v>
      </c>
      <c r="X277" s="382">
        <v>0</v>
      </c>
      <c r="Y277" s="382">
        <v>2</v>
      </c>
      <c r="Z277" s="382">
        <v>0</v>
      </c>
      <c r="AA277" s="382">
        <v>7</v>
      </c>
      <c r="AB277" s="382">
        <v>1</v>
      </c>
      <c r="AC277" s="382">
        <v>1</v>
      </c>
      <c r="AD277" s="386">
        <v>1892</v>
      </c>
      <c r="AE277" s="386">
        <v>5</v>
      </c>
      <c r="AF277" s="386">
        <v>2</v>
      </c>
      <c r="AG277" s="386">
        <v>7</v>
      </c>
    </row>
    <row r="278" spans="1:33" x14ac:dyDescent="0.25">
      <c r="A278" s="381" t="s">
        <v>614</v>
      </c>
      <c r="B278" s="387" t="s">
        <v>615</v>
      </c>
      <c r="C278" s="383">
        <v>7043</v>
      </c>
      <c r="D278" s="383">
        <v>0</v>
      </c>
      <c r="E278" s="383">
        <v>356</v>
      </c>
      <c r="F278" s="383">
        <v>362</v>
      </c>
      <c r="G278" s="383">
        <v>680</v>
      </c>
      <c r="H278" s="383">
        <v>8441</v>
      </c>
      <c r="I278" s="382">
        <v>7761</v>
      </c>
      <c r="J278" s="382">
        <v>1</v>
      </c>
      <c r="K278" s="384">
        <v>107.95</v>
      </c>
      <c r="L278" s="384">
        <v>107.86</v>
      </c>
      <c r="M278" s="384">
        <v>3.48</v>
      </c>
      <c r="N278" s="384">
        <v>111.03</v>
      </c>
      <c r="O278" s="385">
        <v>6197</v>
      </c>
      <c r="P278" s="382">
        <v>93.45</v>
      </c>
      <c r="Q278" s="382">
        <v>91</v>
      </c>
      <c r="R278" s="382">
        <v>32.869999999999997</v>
      </c>
      <c r="S278" s="382">
        <v>125.9</v>
      </c>
      <c r="T278" s="382">
        <v>555</v>
      </c>
      <c r="U278" s="382">
        <v>141.5</v>
      </c>
      <c r="V278" s="382">
        <v>597</v>
      </c>
      <c r="W278" s="382">
        <v>153.53</v>
      </c>
      <c r="X278" s="382">
        <v>1</v>
      </c>
      <c r="Y278" s="382">
        <v>220</v>
      </c>
      <c r="Z278" s="382">
        <v>12</v>
      </c>
      <c r="AA278" s="382">
        <v>5</v>
      </c>
      <c r="AB278" s="382">
        <v>77</v>
      </c>
      <c r="AC278" s="382">
        <v>11</v>
      </c>
      <c r="AD278" s="386">
        <v>6878</v>
      </c>
      <c r="AE278" s="386">
        <v>20</v>
      </c>
      <c r="AF278" s="386">
        <v>9</v>
      </c>
      <c r="AG278" s="386">
        <v>29</v>
      </c>
    </row>
    <row r="279" spans="1:33" x14ac:dyDescent="0.25">
      <c r="A279" s="381" t="s">
        <v>616</v>
      </c>
      <c r="B279" s="387" t="s">
        <v>617</v>
      </c>
      <c r="C279" s="383">
        <v>4252</v>
      </c>
      <c r="D279" s="383">
        <v>0</v>
      </c>
      <c r="E279" s="383">
        <v>81</v>
      </c>
      <c r="F279" s="383">
        <v>557</v>
      </c>
      <c r="G279" s="383">
        <v>583</v>
      </c>
      <c r="H279" s="383">
        <v>5473</v>
      </c>
      <c r="I279" s="382">
        <v>4890</v>
      </c>
      <c r="J279" s="382">
        <v>0</v>
      </c>
      <c r="K279" s="384">
        <v>96.28</v>
      </c>
      <c r="L279" s="384">
        <v>95.78</v>
      </c>
      <c r="M279" s="384">
        <v>3.94</v>
      </c>
      <c r="N279" s="384">
        <v>98.57</v>
      </c>
      <c r="O279" s="385">
        <v>3831</v>
      </c>
      <c r="P279" s="382">
        <v>87.96</v>
      </c>
      <c r="Q279" s="382">
        <v>84.25</v>
      </c>
      <c r="R279" s="382">
        <v>33.24</v>
      </c>
      <c r="S279" s="382">
        <v>121.15</v>
      </c>
      <c r="T279" s="382">
        <v>624</v>
      </c>
      <c r="U279" s="382">
        <v>131.94999999999999</v>
      </c>
      <c r="V279" s="382">
        <v>412</v>
      </c>
      <c r="W279" s="382">
        <v>154.69999999999999</v>
      </c>
      <c r="X279" s="382">
        <v>4</v>
      </c>
      <c r="Y279" s="382">
        <v>0</v>
      </c>
      <c r="Z279" s="382">
        <v>15</v>
      </c>
      <c r="AA279" s="382">
        <v>1</v>
      </c>
      <c r="AB279" s="382">
        <v>113</v>
      </c>
      <c r="AC279" s="382">
        <v>9</v>
      </c>
      <c r="AD279" s="386">
        <v>4246</v>
      </c>
      <c r="AE279" s="386">
        <v>27</v>
      </c>
      <c r="AF279" s="386">
        <v>5</v>
      </c>
      <c r="AG279" s="386">
        <v>32</v>
      </c>
    </row>
    <row r="280" spans="1:33" x14ac:dyDescent="0.25">
      <c r="A280" s="381" t="s">
        <v>618</v>
      </c>
      <c r="B280" s="387" t="s">
        <v>619</v>
      </c>
      <c r="C280" s="383">
        <v>3974</v>
      </c>
      <c r="D280" s="383">
        <v>0</v>
      </c>
      <c r="E280" s="383">
        <v>112</v>
      </c>
      <c r="F280" s="383">
        <v>682</v>
      </c>
      <c r="G280" s="383">
        <v>134</v>
      </c>
      <c r="H280" s="383">
        <v>4902</v>
      </c>
      <c r="I280" s="382">
        <v>4768</v>
      </c>
      <c r="J280" s="382">
        <v>31</v>
      </c>
      <c r="K280" s="384">
        <v>92.57</v>
      </c>
      <c r="L280" s="384">
        <v>90.1</v>
      </c>
      <c r="M280" s="384">
        <v>7.15</v>
      </c>
      <c r="N280" s="384">
        <v>97.64</v>
      </c>
      <c r="O280" s="385">
        <v>3697</v>
      </c>
      <c r="P280" s="382">
        <v>94.52</v>
      </c>
      <c r="Q280" s="382">
        <v>82.03</v>
      </c>
      <c r="R280" s="382">
        <v>35.07</v>
      </c>
      <c r="S280" s="382">
        <v>129.18</v>
      </c>
      <c r="T280" s="382">
        <v>776</v>
      </c>
      <c r="U280" s="382">
        <v>119.84</v>
      </c>
      <c r="V280" s="382">
        <v>238</v>
      </c>
      <c r="W280" s="382">
        <v>0</v>
      </c>
      <c r="X280" s="382">
        <v>0</v>
      </c>
      <c r="Y280" s="382">
        <v>0</v>
      </c>
      <c r="Z280" s="382">
        <v>5</v>
      </c>
      <c r="AA280" s="382">
        <v>9</v>
      </c>
      <c r="AB280" s="382">
        <v>11</v>
      </c>
      <c r="AC280" s="382">
        <v>5</v>
      </c>
      <c r="AD280" s="386">
        <v>3974</v>
      </c>
      <c r="AE280" s="386">
        <v>15</v>
      </c>
      <c r="AF280" s="386">
        <v>33</v>
      </c>
      <c r="AG280" s="386">
        <v>48</v>
      </c>
    </row>
    <row r="281" spans="1:33" x14ac:dyDescent="0.25">
      <c r="A281" s="381" t="s">
        <v>620</v>
      </c>
      <c r="B281" s="387" t="s">
        <v>621</v>
      </c>
      <c r="C281" s="383">
        <v>4599</v>
      </c>
      <c r="D281" s="383">
        <v>46</v>
      </c>
      <c r="E281" s="383">
        <v>77</v>
      </c>
      <c r="F281" s="383">
        <v>885</v>
      </c>
      <c r="G281" s="383">
        <v>184</v>
      </c>
      <c r="H281" s="383">
        <v>5791</v>
      </c>
      <c r="I281" s="382">
        <v>5607</v>
      </c>
      <c r="J281" s="382">
        <v>88</v>
      </c>
      <c r="K281" s="384">
        <v>114.39</v>
      </c>
      <c r="L281" s="384">
        <v>118.68</v>
      </c>
      <c r="M281" s="384">
        <v>6.01</v>
      </c>
      <c r="N281" s="384">
        <v>117.03</v>
      </c>
      <c r="O281" s="385">
        <v>4363</v>
      </c>
      <c r="P281" s="382">
        <v>100.53</v>
      </c>
      <c r="Q281" s="382">
        <v>98.27</v>
      </c>
      <c r="R281" s="382">
        <v>18.22</v>
      </c>
      <c r="S281" s="382">
        <v>117.81</v>
      </c>
      <c r="T281" s="382">
        <v>904</v>
      </c>
      <c r="U281" s="382">
        <v>162.12</v>
      </c>
      <c r="V281" s="382">
        <v>163</v>
      </c>
      <c r="W281" s="382">
        <v>0</v>
      </c>
      <c r="X281" s="382">
        <v>0</v>
      </c>
      <c r="Y281" s="382">
        <v>0</v>
      </c>
      <c r="Z281" s="382">
        <v>8</v>
      </c>
      <c r="AA281" s="382">
        <v>0</v>
      </c>
      <c r="AB281" s="382">
        <v>0</v>
      </c>
      <c r="AC281" s="382">
        <v>1</v>
      </c>
      <c r="AD281" s="386">
        <v>4589</v>
      </c>
      <c r="AE281" s="386">
        <v>7</v>
      </c>
      <c r="AF281" s="386">
        <v>38</v>
      </c>
      <c r="AG281" s="386">
        <v>45</v>
      </c>
    </row>
    <row r="282" spans="1:33" x14ac:dyDescent="0.25">
      <c r="A282" s="381" t="s">
        <v>622</v>
      </c>
      <c r="B282" s="387" t="s">
        <v>623</v>
      </c>
      <c r="C282" s="383">
        <v>1647</v>
      </c>
      <c r="D282" s="383">
        <v>0</v>
      </c>
      <c r="E282" s="383">
        <v>72</v>
      </c>
      <c r="F282" s="383">
        <v>91</v>
      </c>
      <c r="G282" s="383">
        <v>294</v>
      </c>
      <c r="H282" s="383">
        <v>2104</v>
      </c>
      <c r="I282" s="382">
        <v>1810</v>
      </c>
      <c r="J282" s="382">
        <v>1</v>
      </c>
      <c r="K282" s="384">
        <v>105.6</v>
      </c>
      <c r="L282" s="384">
        <v>105.35</v>
      </c>
      <c r="M282" s="384">
        <v>7.39</v>
      </c>
      <c r="N282" s="384">
        <v>110.52</v>
      </c>
      <c r="O282" s="385">
        <v>1235</v>
      </c>
      <c r="P282" s="382">
        <v>110.93</v>
      </c>
      <c r="Q282" s="382">
        <v>106.33</v>
      </c>
      <c r="R282" s="382">
        <v>58.92</v>
      </c>
      <c r="S282" s="382">
        <v>159.96</v>
      </c>
      <c r="T282" s="382">
        <v>131</v>
      </c>
      <c r="U282" s="382">
        <v>151.80000000000001</v>
      </c>
      <c r="V282" s="382">
        <v>344</v>
      </c>
      <c r="W282" s="382">
        <v>0</v>
      </c>
      <c r="X282" s="382">
        <v>0</v>
      </c>
      <c r="Y282" s="382">
        <v>0</v>
      </c>
      <c r="Z282" s="382">
        <v>1</v>
      </c>
      <c r="AA282" s="382">
        <v>0</v>
      </c>
      <c r="AB282" s="382">
        <v>24</v>
      </c>
      <c r="AC282" s="382">
        <v>10</v>
      </c>
      <c r="AD282" s="386">
        <v>1630</v>
      </c>
      <c r="AE282" s="386">
        <v>23</v>
      </c>
      <c r="AF282" s="386">
        <v>8</v>
      </c>
      <c r="AG282" s="386">
        <v>31</v>
      </c>
    </row>
    <row r="283" spans="1:33" x14ac:dyDescent="0.25">
      <c r="A283" s="381" t="s">
        <v>624</v>
      </c>
      <c r="B283" s="387" t="s">
        <v>625</v>
      </c>
      <c r="C283" s="383">
        <v>7546</v>
      </c>
      <c r="D283" s="383">
        <v>16</v>
      </c>
      <c r="E283" s="383">
        <v>41</v>
      </c>
      <c r="F283" s="383">
        <v>535</v>
      </c>
      <c r="G283" s="383">
        <v>923</v>
      </c>
      <c r="H283" s="383">
        <v>9061</v>
      </c>
      <c r="I283" s="382">
        <v>8138</v>
      </c>
      <c r="J283" s="382">
        <v>1</v>
      </c>
      <c r="K283" s="384">
        <v>115.17</v>
      </c>
      <c r="L283" s="384">
        <v>115.16</v>
      </c>
      <c r="M283" s="384">
        <v>1.1000000000000001</v>
      </c>
      <c r="N283" s="384">
        <v>116.26</v>
      </c>
      <c r="O283" s="385">
        <v>6430</v>
      </c>
      <c r="P283" s="382">
        <v>95.83</v>
      </c>
      <c r="Q283" s="382">
        <v>93.89</v>
      </c>
      <c r="R283" s="382">
        <v>22.58</v>
      </c>
      <c r="S283" s="382">
        <v>118.28</v>
      </c>
      <c r="T283" s="382">
        <v>552</v>
      </c>
      <c r="U283" s="382">
        <v>142.05000000000001</v>
      </c>
      <c r="V283" s="382">
        <v>1033</v>
      </c>
      <c r="W283" s="382">
        <v>0</v>
      </c>
      <c r="X283" s="382">
        <v>0</v>
      </c>
      <c r="Y283" s="382">
        <v>0</v>
      </c>
      <c r="Z283" s="382">
        <v>7</v>
      </c>
      <c r="AA283" s="382">
        <v>0</v>
      </c>
      <c r="AB283" s="382">
        <v>62</v>
      </c>
      <c r="AC283" s="382">
        <v>16</v>
      </c>
      <c r="AD283" s="386">
        <v>7538</v>
      </c>
      <c r="AE283" s="386">
        <v>21</v>
      </c>
      <c r="AF283" s="386">
        <v>15</v>
      </c>
      <c r="AG283" s="386">
        <v>36</v>
      </c>
    </row>
    <row r="284" spans="1:33" x14ac:dyDescent="0.25">
      <c r="A284" s="381" t="s">
        <v>626</v>
      </c>
      <c r="B284" s="387" t="s">
        <v>627</v>
      </c>
      <c r="C284" s="383">
        <v>4151</v>
      </c>
      <c r="D284" s="383">
        <v>43</v>
      </c>
      <c r="E284" s="383">
        <v>263</v>
      </c>
      <c r="F284" s="383">
        <v>941</v>
      </c>
      <c r="G284" s="383">
        <v>522</v>
      </c>
      <c r="H284" s="383">
        <v>5920</v>
      </c>
      <c r="I284" s="382">
        <v>5398</v>
      </c>
      <c r="J284" s="382">
        <v>11</v>
      </c>
      <c r="K284" s="384">
        <v>89.78</v>
      </c>
      <c r="L284" s="384">
        <v>84.9</v>
      </c>
      <c r="M284" s="384">
        <v>7.03</v>
      </c>
      <c r="N284" s="384">
        <v>95.56</v>
      </c>
      <c r="O284" s="385">
        <v>3756</v>
      </c>
      <c r="P284" s="382">
        <v>86.3</v>
      </c>
      <c r="Q284" s="382">
        <v>76.989999999999995</v>
      </c>
      <c r="R284" s="382">
        <v>44.61</v>
      </c>
      <c r="S284" s="382">
        <v>127.93</v>
      </c>
      <c r="T284" s="382">
        <v>913</v>
      </c>
      <c r="U284" s="382">
        <v>114.95</v>
      </c>
      <c r="V284" s="382">
        <v>411</v>
      </c>
      <c r="W284" s="382">
        <v>153.47</v>
      </c>
      <c r="X284" s="382">
        <v>1</v>
      </c>
      <c r="Y284" s="382">
        <v>0</v>
      </c>
      <c r="Z284" s="382">
        <v>13</v>
      </c>
      <c r="AA284" s="382">
        <v>0</v>
      </c>
      <c r="AB284" s="382">
        <v>13</v>
      </c>
      <c r="AC284" s="382">
        <v>10</v>
      </c>
      <c r="AD284" s="386">
        <v>4144</v>
      </c>
      <c r="AE284" s="386">
        <v>16</v>
      </c>
      <c r="AF284" s="386">
        <v>10</v>
      </c>
      <c r="AG284" s="386">
        <v>26</v>
      </c>
    </row>
    <row r="285" spans="1:33" x14ac:dyDescent="0.25">
      <c r="A285" s="381" t="s">
        <v>628</v>
      </c>
      <c r="B285" s="387" t="s">
        <v>629</v>
      </c>
      <c r="C285" s="383">
        <v>2420</v>
      </c>
      <c r="D285" s="383">
        <v>0</v>
      </c>
      <c r="E285" s="383">
        <v>13</v>
      </c>
      <c r="F285" s="383">
        <v>345</v>
      </c>
      <c r="G285" s="383">
        <v>191</v>
      </c>
      <c r="H285" s="383">
        <v>2969</v>
      </c>
      <c r="I285" s="382">
        <v>2778</v>
      </c>
      <c r="J285" s="382">
        <v>7</v>
      </c>
      <c r="K285" s="384">
        <v>84.08</v>
      </c>
      <c r="L285" s="384">
        <v>81.349999999999994</v>
      </c>
      <c r="M285" s="384">
        <v>5.04</v>
      </c>
      <c r="N285" s="384">
        <v>86.75</v>
      </c>
      <c r="O285" s="385">
        <v>2310</v>
      </c>
      <c r="P285" s="382">
        <v>68.86</v>
      </c>
      <c r="Q285" s="382">
        <v>66.180000000000007</v>
      </c>
      <c r="R285" s="382">
        <v>29.29</v>
      </c>
      <c r="S285" s="382">
        <v>90.53</v>
      </c>
      <c r="T285" s="382">
        <v>296</v>
      </c>
      <c r="U285" s="382">
        <v>108.4</v>
      </c>
      <c r="V285" s="382">
        <v>90</v>
      </c>
      <c r="W285" s="382">
        <v>147.85</v>
      </c>
      <c r="X285" s="382">
        <v>41</v>
      </c>
      <c r="Y285" s="382">
        <v>43</v>
      </c>
      <c r="Z285" s="382">
        <v>0</v>
      </c>
      <c r="AA285" s="382">
        <v>0</v>
      </c>
      <c r="AB285" s="382">
        <v>1</v>
      </c>
      <c r="AC285" s="382">
        <v>1</v>
      </c>
      <c r="AD285" s="386">
        <v>2412</v>
      </c>
      <c r="AE285" s="386">
        <v>5</v>
      </c>
      <c r="AF285" s="386">
        <v>2</v>
      </c>
      <c r="AG285" s="386">
        <v>7</v>
      </c>
    </row>
    <row r="286" spans="1:33" x14ac:dyDescent="0.25">
      <c r="A286" s="381" t="s">
        <v>630</v>
      </c>
      <c r="B286" s="387" t="s">
        <v>631</v>
      </c>
      <c r="C286" s="383">
        <v>29070</v>
      </c>
      <c r="D286" s="383">
        <v>102</v>
      </c>
      <c r="E286" s="383">
        <v>1435</v>
      </c>
      <c r="F286" s="383">
        <v>886</v>
      </c>
      <c r="G286" s="383">
        <v>2988</v>
      </c>
      <c r="H286" s="383">
        <v>34481</v>
      </c>
      <c r="I286" s="382">
        <v>31493</v>
      </c>
      <c r="J286" s="382">
        <v>104</v>
      </c>
      <c r="K286" s="384">
        <v>125.85</v>
      </c>
      <c r="L286" s="384">
        <v>124.06</v>
      </c>
      <c r="M286" s="384">
        <v>13.5</v>
      </c>
      <c r="N286" s="384">
        <v>138.38999999999999</v>
      </c>
      <c r="O286" s="385">
        <v>25608</v>
      </c>
      <c r="P286" s="382">
        <v>112.06</v>
      </c>
      <c r="Q286" s="382">
        <v>111.81</v>
      </c>
      <c r="R286" s="382">
        <v>48.4</v>
      </c>
      <c r="S286" s="382">
        <v>158.49</v>
      </c>
      <c r="T286" s="382">
        <v>1885</v>
      </c>
      <c r="U286" s="382">
        <v>204.26</v>
      </c>
      <c r="V286" s="382">
        <v>1777</v>
      </c>
      <c r="W286" s="382">
        <v>198.29</v>
      </c>
      <c r="X286" s="382">
        <v>119</v>
      </c>
      <c r="Y286" s="382">
        <v>0</v>
      </c>
      <c r="Z286" s="382">
        <v>71</v>
      </c>
      <c r="AA286" s="382">
        <v>116</v>
      </c>
      <c r="AB286" s="382">
        <v>389</v>
      </c>
      <c r="AC286" s="382">
        <v>144</v>
      </c>
      <c r="AD286" s="386">
        <v>27864</v>
      </c>
      <c r="AE286" s="386">
        <v>173</v>
      </c>
      <c r="AF286" s="386">
        <v>248</v>
      </c>
      <c r="AG286" s="386">
        <v>421</v>
      </c>
    </row>
    <row r="287" spans="1:33" x14ac:dyDescent="0.25">
      <c r="A287" s="381" t="s">
        <v>632</v>
      </c>
      <c r="B287" s="387" t="s">
        <v>633</v>
      </c>
      <c r="C287" s="383">
        <v>11744</v>
      </c>
      <c r="D287" s="383">
        <v>4</v>
      </c>
      <c r="E287" s="383">
        <v>430</v>
      </c>
      <c r="F287" s="383">
        <v>3349</v>
      </c>
      <c r="G287" s="383">
        <v>568</v>
      </c>
      <c r="H287" s="383">
        <v>16095</v>
      </c>
      <c r="I287" s="382">
        <v>15527</v>
      </c>
      <c r="J287" s="382">
        <v>9</v>
      </c>
      <c r="K287" s="384">
        <v>89.19</v>
      </c>
      <c r="L287" s="384">
        <v>90.53</v>
      </c>
      <c r="M287" s="384">
        <v>4.29</v>
      </c>
      <c r="N287" s="384">
        <v>93.12</v>
      </c>
      <c r="O287" s="385">
        <v>9925</v>
      </c>
      <c r="P287" s="382">
        <v>89.28</v>
      </c>
      <c r="Q287" s="382">
        <v>88.39</v>
      </c>
      <c r="R287" s="382">
        <v>21.19</v>
      </c>
      <c r="S287" s="382">
        <v>110.46</v>
      </c>
      <c r="T287" s="382">
        <v>3642</v>
      </c>
      <c r="U287" s="382">
        <v>121.05</v>
      </c>
      <c r="V287" s="382">
        <v>1706</v>
      </c>
      <c r="W287" s="382">
        <v>160</v>
      </c>
      <c r="X287" s="382">
        <v>74</v>
      </c>
      <c r="Y287" s="382">
        <v>0</v>
      </c>
      <c r="Z287" s="382">
        <v>59</v>
      </c>
      <c r="AA287" s="382">
        <v>0</v>
      </c>
      <c r="AB287" s="382">
        <v>29</v>
      </c>
      <c r="AC287" s="382">
        <v>22</v>
      </c>
      <c r="AD287" s="386">
        <v>11668</v>
      </c>
      <c r="AE287" s="386">
        <v>57</v>
      </c>
      <c r="AF287" s="386">
        <v>34</v>
      </c>
      <c r="AG287" s="386">
        <v>91</v>
      </c>
    </row>
    <row r="288" spans="1:33" x14ac:dyDescent="0.25">
      <c r="A288" s="381" t="s">
        <v>634</v>
      </c>
      <c r="B288" s="387" t="s">
        <v>635</v>
      </c>
      <c r="C288" s="383">
        <v>6211</v>
      </c>
      <c r="D288" s="383">
        <v>0</v>
      </c>
      <c r="E288" s="383">
        <v>209</v>
      </c>
      <c r="F288" s="383">
        <v>834</v>
      </c>
      <c r="G288" s="383">
        <v>416</v>
      </c>
      <c r="H288" s="383">
        <v>7670</v>
      </c>
      <c r="I288" s="382">
        <v>7254</v>
      </c>
      <c r="J288" s="382">
        <v>1</v>
      </c>
      <c r="K288" s="384">
        <v>112</v>
      </c>
      <c r="L288" s="384">
        <v>107.42</v>
      </c>
      <c r="M288" s="384">
        <v>4.6500000000000004</v>
      </c>
      <c r="N288" s="384">
        <v>115.69</v>
      </c>
      <c r="O288" s="385">
        <v>5525</v>
      </c>
      <c r="P288" s="382">
        <v>100.21</v>
      </c>
      <c r="Q288" s="382">
        <v>91.79</v>
      </c>
      <c r="R288" s="382">
        <v>23.56</v>
      </c>
      <c r="S288" s="382">
        <v>122.72</v>
      </c>
      <c r="T288" s="382">
        <v>719</v>
      </c>
      <c r="U288" s="382">
        <v>155.36000000000001</v>
      </c>
      <c r="V288" s="382">
        <v>511</v>
      </c>
      <c r="W288" s="382">
        <v>133.58000000000001</v>
      </c>
      <c r="X288" s="382">
        <v>111</v>
      </c>
      <c r="Y288" s="382">
        <v>0</v>
      </c>
      <c r="Z288" s="382">
        <v>2</v>
      </c>
      <c r="AA288" s="382">
        <v>2</v>
      </c>
      <c r="AB288" s="382">
        <v>29</v>
      </c>
      <c r="AC288" s="382">
        <v>9</v>
      </c>
      <c r="AD288" s="386">
        <v>6056</v>
      </c>
      <c r="AE288" s="386">
        <v>25</v>
      </c>
      <c r="AF288" s="386">
        <v>23</v>
      </c>
      <c r="AG288" s="386">
        <v>48</v>
      </c>
    </row>
    <row r="289" spans="1:33" x14ac:dyDescent="0.25">
      <c r="A289" s="381" t="s">
        <v>636</v>
      </c>
      <c r="B289" s="387" t="s">
        <v>637</v>
      </c>
      <c r="C289" s="383">
        <v>1430</v>
      </c>
      <c r="D289" s="383">
        <v>2</v>
      </c>
      <c r="E289" s="383">
        <v>55</v>
      </c>
      <c r="F289" s="383">
        <v>213</v>
      </c>
      <c r="G289" s="383">
        <v>378</v>
      </c>
      <c r="H289" s="383">
        <v>2078</v>
      </c>
      <c r="I289" s="382">
        <v>1700</v>
      </c>
      <c r="J289" s="382">
        <v>1</v>
      </c>
      <c r="K289" s="384">
        <v>109.12</v>
      </c>
      <c r="L289" s="384">
        <v>109.2</v>
      </c>
      <c r="M289" s="384">
        <v>6.19</v>
      </c>
      <c r="N289" s="384">
        <v>113.33</v>
      </c>
      <c r="O289" s="385">
        <v>1009</v>
      </c>
      <c r="P289" s="382">
        <v>98.43</v>
      </c>
      <c r="Q289" s="382">
        <v>95.64</v>
      </c>
      <c r="R289" s="382">
        <v>57.67</v>
      </c>
      <c r="S289" s="382">
        <v>155.87</v>
      </c>
      <c r="T289" s="382">
        <v>253</v>
      </c>
      <c r="U289" s="382">
        <v>151.87</v>
      </c>
      <c r="V289" s="382">
        <v>391</v>
      </c>
      <c r="W289" s="382">
        <v>0</v>
      </c>
      <c r="X289" s="382">
        <v>0</v>
      </c>
      <c r="Y289" s="382">
        <v>0</v>
      </c>
      <c r="Z289" s="382">
        <v>0</v>
      </c>
      <c r="AA289" s="382">
        <v>3</v>
      </c>
      <c r="AB289" s="382">
        <v>9</v>
      </c>
      <c r="AC289" s="382">
        <v>7</v>
      </c>
      <c r="AD289" s="386">
        <v>1417</v>
      </c>
      <c r="AE289" s="386">
        <v>6</v>
      </c>
      <c r="AF289" s="386">
        <v>7</v>
      </c>
      <c r="AG289" s="386">
        <v>13</v>
      </c>
    </row>
    <row r="290" spans="1:33" x14ac:dyDescent="0.25">
      <c r="A290" s="381" t="s">
        <v>638</v>
      </c>
      <c r="B290" s="387" t="s">
        <v>639</v>
      </c>
      <c r="C290" s="383">
        <v>6580</v>
      </c>
      <c r="D290" s="383">
        <v>19</v>
      </c>
      <c r="E290" s="383">
        <v>141</v>
      </c>
      <c r="F290" s="383">
        <v>492</v>
      </c>
      <c r="G290" s="383">
        <v>594</v>
      </c>
      <c r="H290" s="383">
        <v>7826</v>
      </c>
      <c r="I290" s="382">
        <v>7232</v>
      </c>
      <c r="J290" s="382">
        <v>23</v>
      </c>
      <c r="K290" s="384">
        <v>109.29</v>
      </c>
      <c r="L290" s="384">
        <v>109.45</v>
      </c>
      <c r="M290" s="384">
        <v>5.3</v>
      </c>
      <c r="N290" s="384">
        <v>110.08</v>
      </c>
      <c r="O290" s="385">
        <v>5514</v>
      </c>
      <c r="P290" s="382">
        <v>101.07</v>
      </c>
      <c r="Q290" s="382">
        <v>94.44</v>
      </c>
      <c r="R290" s="382">
        <v>28.45</v>
      </c>
      <c r="S290" s="382">
        <v>125.88</v>
      </c>
      <c r="T290" s="382">
        <v>609</v>
      </c>
      <c r="U290" s="382">
        <v>161.88</v>
      </c>
      <c r="V290" s="382">
        <v>979</v>
      </c>
      <c r="W290" s="382">
        <v>187.96</v>
      </c>
      <c r="X290" s="382">
        <v>29</v>
      </c>
      <c r="Y290" s="382">
        <v>0</v>
      </c>
      <c r="Z290" s="382">
        <v>23</v>
      </c>
      <c r="AA290" s="382">
        <v>1</v>
      </c>
      <c r="AB290" s="382">
        <v>63</v>
      </c>
      <c r="AC290" s="382">
        <v>22</v>
      </c>
      <c r="AD290" s="386">
        <v>6522</v>
      </c>
      <c r="AE290" s="386">
        <v>30</v>
      </c>
      <c r="AF290" s="386">
        <v>14</v>
      </c>
      <c r="AG290" s="386">
        <v>44</v>
      </c>
    </row>
    <row r="291" spans="1:33" x14ac:dyDescent="0.25">
      <c r="A291" s="381" t="s">
        <v>640</v>
      </c>
      <c r="B291" s="387" t="s">
        <v>641</v>
      </c>
      <c r="C291" s="383">
        <v>32465</v>
      </c>
      <c r="D291" s="383">
        <v>7</v>
      </c>
      <c r="E291" s="383">
        <v>2245</v>
      </c>
      <c r="F291" s="383">
        <v>619</v>
      </c>
      <c r="G291" s="383">
        <v>498</v>
      </c>
      <c r="H291" s="383">
        <v>35834</v>
      </c>
      <c r="I291" s="382">
        <v>35336</v>
      </c>
      <c r="J291" s="382">
        <v>15</v>
      </c>
      <c r="K291" s="384">
        <v>83.77</v>
      </c>
      <c r="L291" s="384">
        <v>84.3</v>
      </c>
      <c r="M291" s="384">
        <v>5.73</v>
      </c>
      <c r="N291" s="384">
        <v>84.5</v>
      </c>
      <c r="O291" s="385">
        <v>30221</v>
      </c>
      <c r="P291" s="382">
        <v>80.28</v>
      </c>
      <c r="Q291" s="382">
        <v>79.38</v>
      </c>
      <c r="R291" s="382">
        <v>37.58</v>
      </c>
      <c r="S291" s="382">
        <v>116.03</v>
      </c>
      <c r="T291" s="382">
        <v>2682</v>
      </c>
      <c r="U291" s="382">
        <v>98.48</v>
      </c>
      <c r="V291" s="382">
        <v>1854</v>
      </c>
      <c r="W291" s="382">
        <v>0</v>
      </c>
      <c r="X291" s="382">
        <v>0</v>
      </c>
      <c r="Y291" s="382">
        <v>0</v>
      </c>
      <c r="Z291" s="382">
        <v>175</v>
      </c>
      <c r="AA291" s="382">
        <v>7</v>
      </c>
      <c r="AB291" s="382">
        <v>87</v>
      </c>
      <c r="AC291" s="382">
        <v>9</v>
      </c>
      <c r="AD291" s="386">
        <v>32427</v>
      </c>
      <c r="AE291" s="386">
        <v>116</v>
      </c>
      <c r="AF291" s="386">
        <v>125</v>
      </c>
      <c r="AG291" s="386">
        <v>241</v>
      </c>
    </row>
    <row r="292" spans="1:33" x14ac:dyDescent="0.25">
      <c r="A292" s="381" t="s">
        <v>642</v>
      </c>
      <c r="B292" s="387" t="s">
        <v>643</v>
      </c>
      <c r="C292" s="383">
        <v>26888</v>
      </c>
      <c r="D292" s="383">
        <v>8</v>
      </c>
      <c r="E292" s="383">
        <v>331</v>
      </c>
      <c r="F292" s="383">
        <v>798</v>
      </c>
      <c r="G292" s="383">
        <v>511</v>
      </c>
      <c r="H292" s="383">
        <v>28536</v>
      </c>
      <c r="I292" s="382">
        <v>28025</v>
      </c>
      <c r="J292" s="382">
        <v>2</v>
      </c>
      <c r="K292" s="384">
        <v>86.48</v>
      </c>
      <c r="L292" s="384">
        <v>87.43</v>
      </c>
      <c r="M292" s="384">
        <v>8.3699999999999992</v>
      </c>
      <c r="N292" s="384">
        <v>90.63</v>
      </c>
      <c r="O292" s="385">
        <v>24879</v>
      </c>
      <c r="P292" s="382">
        <v>104.8</v>
      </c>
      <c r="Q292" s="382">
        <v>98.7</v>
      </c>
      <c r="R292" s="382">
        <v>42.97</v>
      </c>
      <c r="S292" s="382">
        <v>145.69999999999999</v>
      </c>
      <c r="T292" s="382">
        <v>1014</v>
      </c>
      <c r="U292" s="382">
        <v>107.29</v>
      </c>
      <c r="V292" s="382">
        <v>1741</v>
      </c>
      <c r="W292" s="382">
        <v>128.13999999999999</v>
      </c>
      <c r="X292" s="382">
        <v>62</v>
      </c>
      <c r="Y292" s="382">
        <v>0</v>
      </c>
      <c r="Z292" s="382">
        <v>138</v>
      </c>
      <c r="AA292" s="382">
        <v>44</v>
      </c>
      <c r="AB292" s="382">
        <v>10</v>
      </c>
      <c r="AC292" s="382">
        <v>11</v>
      </c>
      <c r="AD292" s="386">
        <v>26831</v>
      </c>
      <c r="AE292" s="386">
        <v>162</v>
      </c>
      <c r="AF292" s="386">
        <v>21</v>
      </c>
      <c r="AG292" s="386">
        <v>183</v>
      </c>
    </row>
    <row r="293" spans="1:33" x14ac:dyDescent="0.25">
      <c r="A293" s="381" t="s">
        <v>644</v>
      </c>
      <c r="B293" s="387" t="s">
        <v>645</v>
      </c>
      <c r="C293" s="383">
        <v>10628</v>
      </c>
      <c r="D293" s="383">
        <v>8</v>
      </c>
      <c r="E293" s="383">
        <v>1034</v>
      </c>
      <c r="F293" s="383">
        <v>838</v>
      </c>
      <c r="G293" s="383">
        <v>1341</v>
      </c>
      <c r="H293" s="383">
        <v>13849</v>
      </c>
      <c r="I293" s="382">
        <v>12508</v>
      </c>
      <c r="J293" s="382">
        <v>15</v>
      </c>
      <c r="K293" s="384">
        <v>122.04</v>
      </c>
      <c r="L293" s="384">
        <v>117.68</v>
      </c>
      <c r="M293" s="384">
        <v>9.6300000000000008</v>
      </c>
      <c r="N293" s="384">
        <v>126.95</v>
      </c>
      <c r="O293" s="385">
        <v>8804</v>
      </c>
      <c r="P293" s="382">
        <v>101.54</v>
      </c>
      <c r="Q293" s="382">
        <v>99.41</v>
      </c>
      <c r="R293" s="382">
        <v>34.6</v>
      </c>
      <c r="S293" s="382">
        <v>131.81</v>
      </c>
      <c r="T293" s="382">
        <v>1238</v>
      </c>
      <c r="U293" s="382">
        <v>175.4</v>
      </c>
      <c r="V293" s="382">
        <v>1326</v>
      </c>
      <c r="W293" s="382">
        <v>171.89</v>
      </c>
      <c r="X293" s="382">
        <v>62</v>
      </c>
      <c r="Y293" s="382">
        <v>0</v>
      </c>
      <c r="Z293" s="382">
        <v>8</v>
      </c>
      <c r="AA293" s="382">
        <v>2</v>
      </c>
      <c r="AB293" s="382">
        <v>177</v>
      </c>
      <c r="AC293" s="382">
        <v>18</v>
      </c>
      <c r="AD293" s="386">
        <v>10256</v>
      </c>
      <c r="AE293" s="386">
        <v>41</v>
      </c>
      <c r="AF293" s="386">
        <v>26</v>
      </c>
      <c r="AG293" s="386">
        <v>67</v>
      </c>
    </row>
    <row r="294" spans="1:33" x14ac:dyDescent="0.25">
      <c r="A294" s="381" t="s">
        <v>646</v>
      </c>
      <c r="B294" s="387" t="s">
        <v>647</v>
      </c>
      <c r="C294" s="383">
        <v>8440</v>
      </c>
      <c r="D294" s="383">
        <v>64</v>
      </c>
      <c r="E294" s="383">
        <v>1063</v>
      </c>
      <c r="F294" s="383">
        <v>1073</v>
      </c>
      <c r="G294" s="383">
        <v>2101</v>
      </c>
      <c r="H294" s="383">
        <v>12741</v>
      </c>
      <c r="I294" s="382">
        <v>10640</v>
      </c>
      <c r="J294" s="382">
        <v>161</v>
      </c>
      <c r="K294" s="384">
        <v>131.24</v>
      </c>
      <c r="L294" s="384">
        <v>137.47</v>
      </c>
      <c r="M294" s="384">
        <v>6.64</v>
      </c>
      <c r="N294" s="384">
        <v>135.37</v>
      </c>
      <c r="O294" s="385">
        <v>7542</v>
      </c>
      <c r="P294" s="382">
        <v>123.08</v>
      </c>
      <c r="Q294" s="382">
        <v>119.82</v>
      </c>
      <c r="R294" s="382">
        <v>35.9</v>
      </c>
      <c r="S294" s="382">
        <v>155.43</v>
      </c>
      <c r="T294" s="382">
        <v>2047</v>
      </c>
      <c r="U294" s="382">
        <v>203.86</v>
      </c>
      <c r="V294" s="382">
        <v>519</v>
      </c>
      <c r="W294" s="382">
        <v>231.71</v>
      </c>
      <c r="X294" s="382">
        <v>8</v>
      </c>
      <c r="Y294" s="382">
        <v>10</v>
      </c>
      <c r="Z294" s="382">
        <v>0</v>
      </c>
      <c r="AA294" s="382">
        <v>6</v>
      </c>
      <c r="AB294" s="382">
        <v>286</v>
      </c>
      <c r="AC294" s="382">
        <v>79</v>
      </c>
      <c r="AD294" s="386">
        <v>8152</v>
      </c>
      <c r="AE294" s="386">
        <v>44</v>
      </c>
      <c r="AF294" s="386">
        <v>25</v>
      </c>
      <c r="AG294" s="386">
        <v>69</v>
      </c>
    </row>
    <row r="295" spans="1:33" x14ac:dyDescent="0.25">
      <c r="A295" s="381" t="s">
        <v>648</v>
      </c>
      <c r="B295" s="387" t="s">
        <v>649</v>
      </c>
      <c r="C295" s="383">
        <v>11692</v>
      </c>
      <c r="D295" s="383">
        <v>0</v>
      </c>
      <c r="E295" s="383">
        <v>378</v>
      </c>
      <c r="F295" s="383">
        <v>2359</v>
      </c>
      <c r="G295" s="383">
        <v>663</v>
      </c>
      <c r="H295" s="383">
        <v>15092</v>
      </c>
      <c r="I295" s="382">
        <v>14429</v>
      </c>
      <c r="J295" s="382">
        <v>5</v>
      </c>
      <c r="K295" s="384">
        <v>84.86</v>
      </c>
      <c r="L295" s="384">
        <v>86.48</v>
      </c>
      <c r="M295" s="384">
        <v>5.3</v>
      </c>
      <c r="N295" s="384">
        <v>86.47</v>
      </c>
      <c r="O295" s="385">
        <v>11075</v>
      </c>
      <c r="P295" s="382">
        <v>82.32</v>
      </c>
      <c r="Q295" s="382">
        <v>84.62</v>
      </c>
      <c r="R295" s="382">
        <v>37.380000000000003</v>
      </c>
      <c r="S295" s="382">
        <v>99.56</v>
      </c>
      <c r="T295" s="382">
        <v>2694</v>
      </c>
      <c r="U295" s="382">
        <v>105.23</v>
      </c>
      <c r="V295" s="382">
        <v>560</v>
      </c>
      <c r="W295" s="382">
        <v>100.47</v>
      </c>
      <c r="X295" s="382">
        <v>2</v>
      </c>
      <c r="Y295" s="382">
        <v>0</v>
      </c>
      <c r="Z295" s="382">
        <v>61</v>
      </c>
      <c r="AA295" s="382">
        <v>0</v>
      </c>
      <c r="AB295" s="382">
        <v>29</v>
      </c>
      <c r="AC295" s="382">
        <v>10</v>
      </c>
      <c r="AD295" s="386">
        <v>11692</v>
      </c>
      <c r="AE295" s="386">
        <v>40</v>
      </c>
      <c r="AF295" s="386">
        <v>54</v>
      </c>
      <c r="AG295" s="386">
        <v>94</v>
      </c>
    </row>
    <row r="296" spans="1:33" x14ac:dyDescent="0.25">
      <c r="A296" s="381" t="s">
        <v>650</v>
      </c>
      <c r="B296" s="387" t="s">
        <v>651</v>
      </c>
      <c r="C296" s="383">
        <v>2404</v>
      </c>
      <c r="D296" s="383">
        <v>0</v>
      </c>
      <c r="E296" s="383">
        <v>162</v>
      </c>
      <c r="F296" s="383">
        <v>593</v>
      </c>
      <c r="G296" s="383">
        <v>562</v>
      </c>
      <c r="H296" s="383">
        <v>3721</v>
      </c>
      <c r="I296" s="382">
        <v>3159</v>
      </c>
      <c r="J296" s="382">
        <v>77</v>
      </c>
      <c r="K296" s="384">
        <v>103.54</v>
      </c>
      <c r="L296" s="384">
        <v>102.21</v>
      </c>
      <c r="M296" s="384">
        <v>7.26</v>
      </c>
      <c r="N296" s="384">
        <v>109.76</v>
      </c>
      <c r="O296" s="385">
        <v>1970</v>
      </c>
      <c r="P296" s="382">
        <v>95.94</v>
      </c>
      <c r="Q296" s="382">
        <v>89.56</v>
      </c>
      <c r="R296" s="382">
        <v>33.79</v>
      </c>
      <c r="S296" s="382">
        <v>129.47</v>
      </c>
      <c r="T296" s="382">
        <v>523</v>
      </c>
      <c r="U296" s="382">
        <v>133.13</v>
      </c>
      <c r="V296" s="382">
        <v>347</v>
      </c>
      <c r="W296" s="382">
        <v>190.06</v>
      </c>
      <c r="X296" s="382">
        <v>115</v>
      </c>
      <c r="Y296" s="382">
        <v>1</v>
      </c>
      <c r="Z296" s="382">
        <v>2</v>
      </c>
      <c r="AA296" s="382">
        <v>0</v>
      </c>
      <c r="AB296" s="382">
        <v>44</v>
      </c>
      <c r="AC296" s="382">
        <v>18</v>
      </c>
      <c r="AD296" s="386">
        <v>2322</v>
      </c>
      <c r="AE296" s="386">
        <v>13</v>
      </c>
      <c r="AF296" s="386">
        <v>13</v>
      </c>
      <c r="AG296" s="386">
        <v>26</v>
      </c>
    </row>
    <row r="297" spans="1:33" x14ac:dyDescent="0.25">
      <c r="A297" s="381" t="s">
        <v>652</v>
      </c>
      <c r="B297" s="387" t="s">
        <v>653</v>
      </c>
      <c r="C297" s="383">
        <v>5382</v>
      </c>
      <c r="D297" s="383">
        <v>90</v>
      </c>
      <c r="E297" s="383">
        <v>328</v>
      </c>
      <c r="F297" s="383">
        <v>599</v>
      </c>
      <c r="G297" s="383">
        <v>331</v>
      </c>
      <c r="H297" s="383">
        <v>6730</v>
      </c>
      <c r="I297" s="382">
        <v>6399</v>
      </c>
      <c r="J297" s="382">
        <v>131</v>
      </c>
      <c r="K297" s="384">
        <v>114.58</v>
      </c>
      <c r="L297" s="384">
        <v>118.57</v>
      </c>
      <c r="M297" s="384">
        <v>7.22</v>
      </c>
      <c r="N297" s="384">
        <v>117.94</v>
      </c>
      <c r="O297" s="385">
        <v>4959</v>
      </c>
      <c r="P297" s="382">
        <v>90.12</v>
      </c>
      <c r="Q297" s="382">
        <v>89.23</v>
      </c>
      <c r="R297" s="382">
        <v>34.08</v>
      </c>
      <c r="S297" s="382">
        <v>123.21</v>
      </c>
      <c r="T297" s="382">
        <v>724</v>
      </c>
      <c r="U297" s="382">
        <v>171.22</v>
      </c>
      <c r="V297" s="382">
        <v>310</v>
      </c>
      <c r="W297" s="382">
        <v>0</v>
      </c>
      <c r="X297" s="382">
        <v>0</v>
      </c>
      <c r="Y297" s="382">
        <v>0</v>
      </c>
      <c r="Z297" s="382">
        <v>20</v>
      </c>
      <c r="AA297" s="382">
        <v>0</v>
      </c>
      <c r="AB297" s="382">
        <v>16</v>
      </c>
      <c r="AC297" s="382">
        <v>31</v>
      </c>
      <c r="AD297" s="386">
        <v>5382</v>
      </c>
      <c r="AE297" s="386">
        <v>39</v>
      </c>
      <c r="AF297" s="386">
        <v>12</v>
      </c>
      <c r="AG297" s="386">
        <v>51</v>
      </c>
    </row>
    <row r="298" spans="1:33" x14ac:dyDescent="0.25">
      <c r="A298" s="381" t="s">
        <v>654</v>
      </c>
      <c r="B298" s="387" t="s">
        <v>655</v>
      </c>
      <c r="C298" s="383">
        <v>1107</v>
      </c>
      <c r="D298" s="383">
        <v>0</v>
      </c>
      <c r="E298" s="383">
        <v>128</v>
      </c>
      <c r="F298" s="383">
        <v>164</v>
      </c>
      <c r="G298" s="383">
        <v>365</v>
      </c>
      <c r="H298" s="383">
        <v>1764</v>
      </c>
      <c r="I298" s="382">
        <v>1399</v>
      </c>
      <c r="J298" s="382">
        <v>0</v>
      </c>
      <c r="K298" s="384">
        <v>119.45</v>
      </c>
      <c r="L298" s="384">
        <v>118.82</v>
      </c>
      <c r="M298" s="384">
        <v>4.7699999999999996</v>
      </c>
      <c r="N298" s="384">
        <v>123.92</v>
      </c>
      <c r="O298" s="385">
        <v>908</v>
      </c>
      <c r="P298" s="382">
        <v>103.03</v>
      </c>
      <c r="Q298" s="382">
        <v>99.41</v>
      </c>
      <c r="R298" s="382">
        <v>32.21</v>
      </c>
      <c r="S298" s="382">
        <v>134.05000000000001</v>
      </c>
      <c r="T298" s="382">
        <v>135</v>
      </c>
      <c r="U298" s="382">
        <v>180.47</v>
      </c>
      <c r="V298" s="382">
        <v>151</v>
      </c>
      <c r="W298" s="382">
        <v>121.1</v>
      </c>
      <c r="X298" s="382">
        <v>3</v>
      </c>
      <c r="Y298" s="382">
        <v>0</v>
      </c>
      <c r="Z298" s="382">
        <v>0</v>
      </c>
      <c r="AA298" s="382">
        <v>0</v>
      </c>
      <c r="AB298" s="382">
        <v>15</v>
      </c>
      <c r="AC298" s="382">
        <v>10</v>
      </c>
      <c r="AD298" s="386">
        <v>1059</v>
      </c>
      <c r="AE298" s="386">
        <v>2</v>
      </c>
      <c r="AF298" s="386">
        <v>2</v>
      </c>
      <c r="AG298" s="386">
        <v>4</v>
      </c>
    </row>
    <row r="299" spans="1:33" x14ac:dyDescent="0.25">
      <c r="A299" s="381" t="s">
        <v>656</v>
      </c>
      <c r="B299" s="387" t="s">
        <v>657</v>
      </c>
      <c r="C299" s="383">
        <v>2079</v>
      </c>
      <c r="D299" s="383">
        <v>0</v>
      </c>
      <c r="E299" s="383">
        <v>94</v>
      </c>
      <c r="F299" s="383">
        <v>343</v>
      </c>
      <c r="G299" s="383">
        <v>473</v>
      </c>
      <c r="H299" s="383">
        <v>2989</v>
      </c>
      <c r="I299" s="382">
        <v>2516</v>
      </c>
      <c r="J299" s="382">
        <v>0</v>
      </c>
      <c r="K299" s="384">
        <v>104.96</v>
      </c>
      <c r="L299" s="384">
        <v>103.16</v>
      </c>
      <c r="M299" s="384">
        <v>5.4</v>
      </c>
      <c r="N299" s="384">
        <v>109.18</v>
      </c>
      <c r="O299" s="385">
        <v>1388</v>
      </c>
      <c r="P299" s="382">
        <v>82.14</v>
      </c>
      <c r="Q299" s="382">
        <v>78.5</v>
      </c>
      <c r="R299" s="382">
        <v>37.36</v>
      </c>
      <c r="S299" s="382">
        <v>116.04</v>
      </c>
      <c r="T299" s="382">
        <v>238</v>
      </c>
      <c r="U299" s="382">
        <v>145.91999999999999</v>
      </c>
      <c r="V299" s="382">
        <v>673</v>
      </c>
      <c r="W299" s="382">
        <v>178.67</v>
      </c>
      <c r="X299" s="382">
        <v>55</v>
      </c>
      <c r="Y299" s="382">
        <v>0</v>
      </c>
      <c r="Z299" s="382">
        <v>2</v>
      </c>
      <c r="AA299" s="382">
        <v>0</v>
      </c>
      <c r="AB299" s="382">
        <v>12</v>
      </c>
      <c r="AC299" s="382">
        <v>16</v>
      </c>
      <c r="AD299" s="386">
        <v>2072</v>
      </c>
      <c r="AE299" s="386">
        <v>16</v>
      </c>
      <c r="AF299" s="386">
        <v>5</v>
      </c>
      <c r="AG299" s="386">
        <v>21</v>
      </c>
    </row>
    <row r="300" spans="1:33" x14ac:dyDescent="0.25">
      <c r="A300" s="381" t="s">
        <v>658</v>
      </c>
      <c r="B300" s="387" t="s">
        <v>659</v>
      </c>
      <c r="C300" s="383">
        <v>2709</v>
      </c>
      <c r="D300" s="383">
        <v>0</v>
      </c>
      <c r="E300" s="383">
        <v>315</v>
      </c>
      <c r="F300" s="383">
        <v>329</v>
      </c>
      <c r="G300" s="383">
        <v>346</v>
      </c>
      <c r="H300" s="383">
        <v>3699</v>
      </c>
      <c r="I300" s="382">
        <v>3353</v>
      </c>
      <c r="J300" s="382">
        <v>140</v>
      </c>
      <c r="K300" s="384">
        <v>112.42</v>
      </c>
      <c r="L300" s="384">
        <v>111.11</v>
      </c>
      <c r="M300" s="384">
        <v>7.79</v>
      </c>
      <c r="N300" s="384">
        <v>118.58</v>
      </c>
      <c r="O300" s="385">
        <v>2204</v>
      </c>
      <c r="P300" s="382">
        <v>100.91</v>
      </c>
      <c r="Q300" s="382">
        <v>98.39</v>
      </c>
      <c r="R300" s="382">
        <v>38.61</v>
      </c>
      <c r="S300" s="382">
        <v>139.36000000000001</v>
      </c>
      <c r="T300" s="382">
        <v>244</v>
      </c>
      <c r="U300" s="382">
        <v>153.26</v>
      </c>
      <c r="V300" s="382">
        <v>364</v>
      </c>
      <c r="W300" s="382">
        <v>0</v>
      </c>
      <c r="X300" s="382">
        <v>0</v>
      </c>
      <c r="Y300" s="382">
        <v>0</v>
      </c>
      <c r="Z300" s="382">
        <v>0</v>
      </c>
      <c r="AA300" s="382">
        <v>0</v>
      </c>
      <c r="AB300" s="382">
        <v>9</v>
      </c>
      <c r="AC300" s="382">
        <v>15</v>
      </c>
      <c r="AD300" s="386">
        <v>2577</v>
      </c>
      <c r="AE300" s="386">
        <v>8</v>
      </c>
      <c r="AF300" s="386">
        <v>4</v>
      </c>
      <c r="AG300" s="386">
        <v>12</v>
      </c>
    </row>
    <row r="301" spans="1:33" x14ac:dyDescent="0.25">
      <c r="A301" s="381" t="s">
        <v>660</v>
      </c>
      <c r="B301" s="387" t="s">
        <v>661</v>
      </c>
      <c r="C301" s="383">
        <v>7907</v>
      </c>
      <c r="D301" s="383">
        <v>4</v>
      </c>
      <c r="E301" s="383">
        <v>318</v>
      </c>
      <c r="F301" s="383">
        <v>819</v>
      </c>
      <c r="G301" s="383">
        <v>594</v>
      </c>
      <c r="H301" s="383">
        <v>9642</v>
      </c>
      <c r="I301" s="382">
        <v>9048</v>
      </c>
      <c r="J301" s="382">
        <v>1</v>
      </c>
      <c r="K301" s="384">
        <v>118.8</v>
      </c>
      <c r="L301" s="384">
        <v>120.41</v>
      </c>
      <c r="M301" s="384">
        <v>5.0199999999999996</v>
      </c>
      <c r="N301" s="384">
        <v>121.42</v>
      </c>
      <c r="O301" s="385">
        <v>7529</v>
      </c>
      <c r="P301" s="382">
        <v>110.98</v>
      </c>
      <c r="Q301" s="382">
        <v>96.84</v>
      </c>
      <c r="R301" s="382">
        <v>23.24</v>
      </c>
      <c r="S301" s="382">
        <v>132.85</v>
      </c>
      <c r="T301" s="382">
        <v>973</v>
      </c>
      <c r="U301" s="382">
        <v>150.69</v>
      </c>
      <c r="V301" s="382">
        <v>354</v>
      </c>
      <c r="W301" s="382">
        <v>182.81</v>
      </c>
      <c r="X301" s="382">
        <v>81</v>
      </c>
      <c r="Y301" s="382">
        <v>0</v>
      </c>
      <c r="Z301" s="382">
        <v>4</v>
      </c>
      <c r="AA301" s="382">
        <v>0</v>
      </c>
      <c r="AB301" s="382">
        <v>57</v>
      </c>
      <c r="AC301" s="382">
        <v>17</v>
      </c>
      <c r="AD301" s="386">
        <v>7893</v>
      </c>
      <c r="AE301" s="386">
        <v>21</v>
      </c>
      <c r="AF301" s="386">
        <v>10</v>
      </c>
      <c r="AG301" s="386">
        <v>31</v>
      </c>
    </row>
    <row r="302" spans="1:33" x14ac:dyDescent="0.25">
      <c r="A302" s="381" t="s">
        <v>662</v>
      </c>
      <c r="B302" s="387" t="s">
        <v>663</v>
      </c>
      <c r="C302" s="383">
        <v>2253</v>
      </c>
      <c r="D302" s="383">
        <v>8</v>
      </c>
      <c r="E302" s="383">
        <v>38</v>
      </c>
      <c r="F302" s="383">
        <v>147</v>
      </c>
      <c r="G302" s="383">
        <v>106</v>
      </c>
      <c r="H302" s="383">
        <v>2552</v>
      </c>
      <c r="I302" s="382">
        <v>2446</v>
      </c>
      <c r="J302" s="382">
        <v>3</v>
      </c>
      <c r="K302" s="384">
        <v>91.89</v>
      </c>
      <c r="L302" s="384">
        <v>82.92</v>
      </c>
      <c r="M302" s="384">
        <v>8.58</v>
      </c>
      <c r="N302" s="384">
        <v>94.88</v>
      </c>
      <c r="O302" s="385">
        <v>2112</v>
      </c>
      <c r="P302" s="382">
        <v>88.84</v>
      </c>
      <c r="Q302" s="382">
        <v>77.22</v>
      </c>
      <c r="R302" s="382">
        <v>35.06</v>
      </c>
      <c r="S302" s="382">
        <v>122.3</v>
      </c>
      <c r="T302" s="382">
        <v>110</v>
      </c>
      <c r="U302" s="382">
        <v>114.97</v>
      </c>
      <c r="V302" s="382">
        <v>98</v>
      </c>
      <c r="W302" s="382">
        <v>85.21</v>
      </c>
      <c r="X302" s="382">
        <v>4</v>
      </c>
      <c r="Y302" s="382">
        <v>0</v>
      </c>
      <c r="Z302" s="382">
        <v>5</v>
      </c>
      <c r="AA302" s="382">
        <v>0</v>
      </c>
      <c r="AB302" s="382">
        <v>8</v>
      </c>
      <c r="AC302" s="382">
        <v>4</v>
      </c>
      <c r="AD302" s="386">
        <v>2185</v>
      </c>
      <c r="AE302" s="386">
        <v>4</v>
      </c>
      <c r="AF302" s="386">
        <v>10</v>
      </c>
      <c r="AG302" s="386">
        <v>14</v>
      </c>
    </row>
    <row r="303" spans="1:33" x14ac:dyDescent="0.25">
      <c r="A303" s="381" t="s">
        <v>664</v>
      </c>
      <c r="B303" s="387" t="s">
        <v>665</v>
      </c>
      <c r="C303" s="383">
        <v>728</v>
      </c>
      <c r="D303" s="383">
        <v>5</v>
      </c>
      <c r="E303" s="383">
        <v>139</v>
      </c>
      <c r="F303" s="383">
        <v>374</v>
      </c>
      <c r="G303" s="383">
        <v>273</v>
      </c>
      <c r="H303" s="383">
        <v>1519</v>
      </c>
      <c r="I303" s="382">
        <v>1246</v>
      </c>
      <c r="J303" s="382">
        <v>0</v>
      </c>
      <c r="K303" s="384">
        <v>92.11</v>
      </c>
      <c r="L303" s="384">
        <v>89.31</v>
      </c>
      <c r="M303" s="384">
        <v>5.89</v>
      </c>
      <c r="N303" s="384">
        <v>95.82</v>
      </c>
      <c r="O303" s="385">
        <v>501</v>
      </c>
      <c r="P303" s="382">
        <v>101.58</v>
      </c>
      <c r="Q303" s="382">
        <v>94.65</v>
      </c>
      <c r="R303" s="382">
        <v>36.25</v>
      </c>
      <c r="S303" s="382">
        <v>137.38</v>
      </c>
      <c r="T303" s="382">
        <v>480</v>
      </c>
      <c r="U303" s="382">
        <v>107.28</v>
      </c>
      <c r="V303" s="382">
        <v>200</v>
      </c>
      <c r="W303" s="382">
        <v>0</v>
      </c>
      <c r="X303" s="382">
        <v>0</v>
      </c>
      <c r="Y303" s="382">
        <v>0</v>
      </c>
      <c r="Z303" s="382">
        <v>0</v>
      </c>
      <c r="AA303" s="382">
        <v>1</v>
      </c>
      <c r="AB303" s="382">
        <v>14</v>
      </c>
      <c r="AC303" s="382">
        <v>1</v>
      </c>
      <c r="AD303" s="386">
        <v>717</v>
      </c>
      <c r="AE303" s="386">
        <v>9</v>
      </c>
      <c r="AF303" s="386">
        <v>1</v>
      </c>
      <c r="AG303" s="386">
        <v>10</v>
      </c>
    </row>
    <row r="304" spans="1:33" x14ac:dyDescent="0.25">
      <c r="A304" s="381" t="s">
        <v>666</v>
      </c>
      <c r="B304" s="387" t="s">
        <v>667</v>
      </c>
      <c r="C304" s="383">
        <v>4204</v>
      </c>
      <c r="D304" s="383">
        <v>0</v>
      </c>
      <c r="E304" s="383">
        <v>60</v>
      </c>
      <c r="F304" s="383">
        <v>422</v>
      </c>
      <c r="G304" s="383">
        <v>313</v>
      </c>
      <c r="H304" s="383">
        <v>4999</v>
      </c>
      <c r="I304" s="382">
        <v>4686</v>
      </c>
      <c r="J304" s="382">
        <v>1</v>
      </c>
      <c r="K304" s="384">
        <v>80.63</v>
      </c>
      <c r="L304" s="384">
        <v>80.73</v>
      </c>
      <c r="M304" s="384">
        <v>4.62</v>
      </c>
      <c r="N304" s="384">
        <v>81.95</v>
      </c>
      <c r="O304" s="385">
        <v>4055</v>
      </c>
      <c r="P304" s="382">
        <v>75.62</v>
      </c>
      <c r="Q304" s="382">
        <v>75.66</v>
      </c>
      <c r="R304" s="382">
        <v>28.08</v>
      </c>
      <c r="S304" s="382">
        <v>103.29</v>
      </c>
      <c r="T304" s="382">
        <v>477</v>
      </c>
      <c r="U304" s="382">
        <v>97.48</v>
      </c>
      <c r="V304" s="382">
        <v>120</v>
      </c>
      <c r="W304" s="382">
        <v>0</v>
      </c>
      <c r="X304" s="382">
        <v>0</v>
      </c>
      <c r="Y304" s="382">
        <v>0</v>
      </c>
      <c r="Z304" s="382">
        <v>6</v>
      </c>
      <c r="AA304" s="382">
        <v>0</v>
      </c>
      <c r="AB304" s="382">
        <v>7</v>
      </c>
      <c r="AC304" s="382">
        <v>5</v>
      </c>
      <c r="AD304" s="386">
        <v>4185</v>
      </c>
      <c r="AE304" s="386">
        <v>42</v>
      </c>
      <c r="AF304" s="386">
        <v>4</v>
      </c>
      <c r="AG304" s="386">
        <v>46</v>
      </c>
    </row>
    <row r="305" spans="1:33" x14ac:dyDescent="0.25">
      <c r="A305" s="381" t="s">
        <v>815</v>
      </c>
      <c r="B305" s="387" t="s">
        <v>813</v>
      </c>
      <c r="C305" s="383">
        <v>10750</v>
      </c>
      <c r="D305" s="383">
        <v>39</v>
      </c>
      <c r="E305" s="383">
        <v>384</v>
      </c>
      <c r="F305" s="383">
        <v>2353</v>
      </c>
      <c r="G305" s="383">
        <v>1932</v>
      </c>
      <c r="H305" s="383">
        <v>15458</v>
      </c>
      <c r="I305" s="382">
        <v>13526</v>
      </c>
      <c r="J305" s="382">
        <v>29</v>
      </c>
      <c r="K305" s="384">
        <v>98.01</v>
      </c>
      <c r="L305" s="384">
        <v>97.7</v>
      </c>
      <c r="M305" s="384">
        <v>5.82</v>
      </c>
      <c r="N305" s="384">
        <v>101.78</v>
      </c>
      <c r="O305" s="385">
        <v>9305</v>
      </c>
      <c r="P305" s="382">
        <v>94.27</v>
      </c>
      <c r="Q305" s="382">
        <v>93.57</v>
      </c>
      <c r="R305" s="382">
        <v>29.42</v>
      </c>
      <c r="S305" s="382">
        <v>114.99</v>
      </c>
      <c r="T305" s="382">
        <v>2713</v>
      </c>
      <c r="U305" s="382">
        <v>123.47</v>
      </c>
      <c r="V305" s="382">
        <v>1052</v>
      </c>
      <c r="W305" s="382">
        <v>0</v>
      </c>
      <c r="X305" s="382">
        <v>0</v>
      </c>
      <c r="Y305" s="382">
        <v>49</v>
      </c>
      <c r="Z305" s="382">
        <v>41</v>
      </c>
      <c r="AA305" s="382">
        <v>2</v>
      </c>
      <c r="AB305" s="382">
        <v>84</v>
      </c>
      <c r="AC305" s="382">
        <v>38</v>
      </c>
      <c r="AD305" s="386">
        <v>10496</v>
      </c>
      <c r="AE305" s="386">
        <v>79</v>
      </c>
      <c r="AF305" s="386">
        <v>25</v>
      </c>
      <c r="AG305" s="386">
        <v>104</v>
      </c>
    </row>
    <row r="306" spans="1:33" x14ac:dyDescent="0.25">
      <c r="A306" s="381" t="s">
        <v>668</v>
      </c>
      <c r="B306" s="387" t="s">
        <v>669</v>
      </c>
      <c r="C306" s="383">
        <v>5480</v>
      </c>
      <c r="D306" s="383">
        <v>4</v>
      </c>
      <c r="E306" s="383">
        <v>127</v>
      </c>
      <c r="F306" s="383">
        <v>159</v>
      </c>
      <c r="G306" s="383">
        <v>541</v>
      </c>
      <c r="H306" s="383">
        <v>6311</v>
      </c>
      <c r="I306" s="382">
        <v>5770</v>
      </c>
      <c r="J306" s="382">
        <v>40</v>
      </c>
      <c r="K306" s="384">
        <v>110.48</v>
      </c>
      <c r="L306" s="384">
        <v>110.28</v>
      </c>
      <c r="M306" s="384">
        <v>4.8499999999999996</v>
      </c>
      <c r="N306" s="384">
        <v>112.26</v>
      </c>
      <c r="O306" s="385">
        <v>4927</v>
      </c>
      <c r="P306" s="382">
        <v>97.5</v>
      </c>
      <c r="Q306" s="382">
        <v>92.41</v>
      </c>
      <c r="R306" s="382">
        <v>53.69</v>
      </c>
      <c r="S306" s="382">
        <v>149.66</v>
      </c>
      <c r="T306" s="382">
        <v>281</v>
      </c>
      <c r="U306" s="382">
        <v>156.87</v>
      </c>
      <c r="V306" s="382">
        <v>403</v>
      </c>
      <c r="W306" s="382">
        <v>0</v>
      </c>
      <c r="X306" s="382">
        <v>0</v>
      </c>
      <c r="Y306" s="382">
        <v>0</v>
      </c>
      <c r="Z306" s="382">
        <v>6</v>
      </c>
      <c r="AA306" s="382">
        <v>0</v>
      </c>
      <c r="AB306" s="382">
        <v>36</v>
      </c>
      <c r="AC306" s="382">
        <v>8</v>
      </c>
      <c r="AD306" s="386">
        <v>5322</v>
      </c>
      <c r="AE306" s="386">
        <v>31</v>
      </c>
      <c r="AF306" s="386">
        <v>21</v>
      </c>
      <c r="AG306" s="386">
        <v>52</v>
      </c>
    </row>
    <row r="307" spans="1:33" x14ac:dyDescent="0.25">
      <c r="A307" s="381" t="s">
        <v>670</v>
      </c>
      <c r="B307" s="387" t="s">
        <v>671</v>
      </c>
      <c r="C307" s="383">
        <v>10472</v>
      </c>
      <c r="D307" s="383">
        <v>8</v>
      </c>
      <c r="E307" s="383">
        <v>431</v>
      </c>
      <c r="F307" s="383">
        <v>1223</v>
      </c>
      <c r="G307" s="383">
        <v>546</v>
      </c>
      <c r="H307" s="383">
        <v>12680</v>
      </c>
      <c r="I307" s="382">
        <v>12134</v>
      </c>
      <c r="J307" s="382">
        <v>3</v>
      </c>
      <c r="K307" s="384">
        <v>91.98</v>
      </c>
      <c r="L307" s="384">
        <v>91.73</v>
      </c>
      <c r="M307" s="384">
        <v>4.4400000000000004</v>
      </c>
      <c r="N307" s="384">
        <v>93.01</v>
      </c>
      <c r="O307" s="385">
        <v>9065</v>
      </c>
      <c r="P307" s="382">
        <v>87.57</v>
      </c>
      <c r="Q307" s="382">
        <v>86.25</v>
      </c>
      <c r="R307" s="382">
        <v>38.78</v>
      </c>
      <c r="S307" s="382">
        <v>124.23</v>
      </c>
      <c r="T307" s="382">
        <v>1591</v>
      </c>
      <c r="U307" s="382">
        <v>124.78</v>
      </c>
      <c r="V307" s="382">
        <v>1215</v>
      </c>
      <c r="W307" s="382">
        <v>98.2</v>
      </c>
      <c r="X307" s="382">
        <v>17</v>
      </c>
      <c r="Y307" s="382">
        <v>18</v>
      </c>
      <c r="Z307" s="382">
        <v>39</v>
      </c>
      <c r="AA307" s="382">
        <v>0</v>
      </c>
      <c r="AB307" s="382">
        <v>10</v>
      </c>
      <c r="AC307" s="382">
        <v>20</v>
      </c>
      <c r="AD307" s="386">
        <v>10386</v>
      </c>
      <c r="AE307" s="386">
        <v>60</v>
      </c>
      <c r="AF307" s="386">
        <v>31</v>
      </c>
      <c r="AG307" s="386">
        <v>91</v>
      </c>
    </row>
    <row r="308" spans="1:33" x14ac:dyDescent="0.25">
      <c r="A308" s="381" t="s">
        <v>672</v>
      </c>
      <c r="B308" s="387" t="s">
        <v>673</v>
      </c>
      <c r="C308" s="383">
        <v>12110</v>
      </c>
      <c r="D308" s="383">
        <v>907</v>
      </c>
      <c r="E308" s="383">
        <v>1360</v>
      </c>
      <c r="F308" s="383">
        <v>970</v>
      </c>
      <c r="G308" s="383">
        <v>569</v>
      </c>
      <c r="H308" s="383">
        <v>15916</v>
      </c>
      <c r="I308" s="382">
        <v>15347</v>
      </c>
      <c r="J308" s="382">
        <v>177</v>
      </c>
      <c r="K308" s="384">
        <v>130.12</v>
      </c>
      <c r="L308" s="384">
        <v>140.47999999999999</v>
      </c>
      <c r="M308" s="384">
        <v>10.94</v>
      </c>
      <c r="N308" s="384">
        <v>138.11000000000001</v>
      </c>
      <c r="O308" s="385">
        <v>9754</v>
      </c>
      <c r="P308" s="382">
        <v>117.99</v>
      </c>
      <c r="Q308" s="382">
        <v>115.57</v>
      </c>
      <c r="R308" s="382">
        <v>69.61</v>
      </c>
      <c r="S308" s="382">
        <v>166.21</v>
      </c>
      <c r="T308" s="382">
        <v>1900</v>
      </c>
      <c r="U308" s="382">
        <v>208.88</v>
      </c>
      <c r="V308" s="382">
        <v>583</v>
      </c>
      <c r="W308" s="382">
        <v>152.81</v>
      </c>
      <c r="X308" s="382">
        <v>1</v>
      </c>
      <c r="Y308" s="382">
        <v>0</v>
      </c>
      <c r="Z308" s="382">
        <v>0</v>
      </c>
      <c r="AA308" s="382">
        <v>12</v>
      </c>
      <c r="AB308" s="382">
        <v>0</v>
      </c>
      <c r="AC308" s="382">
        <v>16</v>
      </c>
      <c r="AD308" s="386">
        <v>10537</v>
      </c>
      <c r="AE308" s="386">
        <v>47</v>
      </c>
      <c r="AF308" s="386">
        <v>137</v>
      </c>
      <c r="AG308" s="386">
        <v>184</v>
      </c>
    </row>
    <row r="309" spans="1:33" x14ac:dyDescent="0.25">
      <c r="A309" s="381" t="s">
        <v>674</v>
      </c>
      <c r="B309" s="387" t="s">
        <v>675</v>
      </c>
      <c r="C309" s="383">
        <v>2005</v>
      </c>
      <c r="D309" s="383">
        <v>0</v>
      </c>
      <c r="E309" s="383">
        <v>587</v>
      </c>
      <c r="F309" s="383">
        <v>990</v>
      </c>
      <c r="G309" s="383">
        <v>96</v>
      </c>
      <c r="H309" s="383">
        <v>3678</v>
      </c>
      <c r="I309" s="382">
        <v>3582</v>
      </c>
      <c r="J309" s="382">
        <v>14</v>
      </c>
      <c r="K309" s="384">
        <v>80.28</v>
      </c>
      <c r="L309" s="384">
        <v>78.41</v>
      </c>
      <c r="M309" s="384">
        <v>8.69</v>
      </c>
      <c r="N309" s="384">
        <v>84.86</v>
      </c>
      <c r="O309" s="385">
        <v>1644</v>
      </c>
      <c r="P309" s="382">
        <v>84.84</v>
      </c>
      <c r="Q309" s="382">
        <v>75.59</v>
      </c>
      <c r="R309" s="382">
        <v>47.71</v>
      </c>
      <c r="S309" s="382">
        <v>130.53</v>
      </c>
      <c r="T309" s="382">
        <v>1424</v>
      </c>
      <c r="U309" s="382">
        <v>98.6</v>
      </c>
      <c r="V309" s="382">
        <v>241</v>
      </c>
      <c r="W309" s="382">
        <v>161.38</v>
      </c>
      <c r="X309" s="382">
        <v>20</v>
      </c>
      <c r="Y309" s="382">
        <v>0</v>
      </c>
      <c r="Z309" s="382">
        <v>1</v>
      </c>
      <c r="AA309" s="382">
        <v>16</v>
      </c>
      <c r="AB309" s="382">
        <v>26</v>
      </c>
      <c r="AC309" s="382">
        <v>3</v>
      </c>
      <c r="AD309" s="386">
        <v>1915</v>
      </c>
      <c r="AE309" s="386">
        <v>19</v>
      </c>
      <c r="AF309" s="386">
        <v>16</v>
      </c>
      <c r="AG309" s="386">
        <v>35</v>
      </c>
    </row>
    <row r="310" spans="1:33" x14ac:dyDescent="0.25">
      <c r="A310" s="381" t="s">
        <v>676</v>
      </c>
      <c r="B310" s="387" t="s">
        <v>677</v>
      </c>
      <c r="C310" s="383">
        <v>21411</v>
      </c>
      <c r="D310" s="383">
        <v>29</v>
      </c>
      <c r="E310" s="383">
        <v>657</v>
      </c>
      <c r="F310" s="383">
        <v>3037</v>
      </c>
      <c r="G310" s="383">
        <v>1410</v>
      </c>
      <c r="H310" s="383">
        <v>26544</v>
      </c>
      <c r="I310" s="382">
        <v>25134</v>
      </c>
      <c r="J310" s="382">
        <v>31</v>
      </c>
      <c r="K310" s="384">
        <v>101.06</v>
      </c>
      <c r="L310" s="384">
        <v>100.03</v>
      </c>
      <c r="M310" s="384">
        <v>3.54</v>
      </c>
      <c r="N310" s="384">
        <v>103.11</v>
      </c>
      <c r="O310" s="385">
        <v>18957</v>
      </c>
      <c r="P310" s="382">
        <v>94.13</v>
      </c>
      <c r="Q310" s="382">
        <v>90.67</v>
      </c>
      <c r="R310" s="382">
        <v>23</v>
      </c>
      <c r="S310" s="382">
        <v>116.07</v>
      </c>
      <c r="T310" s="382">
        <v>3297</v>
      </c>
      <c r="U310" s="382">
        <v>126</v>
      </c>
      <c r="V310" s="382">
        <v>1951</v>
      </c>
      <c r="W310" s="382">
        <v>125.67</v>
      </c>
      <c r="X310" s="382">
        <v>34</v>
      </c>
      <c r="Y310" s="382">
        <v>46</v>
      </c>
      <c r="Z310" s="382">
        <v>31</v>
      </c>
      <c r="AA310" s="382">
        <v>8</v>
      </c>
      <c r="AB310" s="382">
        <v>100</v>
      </c>
      <c r="AC310" s="382">
        <v>46</v>
      </c>
      <c r="AD310" s="386">
        <v>20931</v>
      </c>
      <c r="AE310" s="386">
        <v>102</v>
      </c>
      <c r="AF310" s="386">
        <v>127</v>
      </c>
      <c r="AG310" s="386">
        <v>229</v>
      </c>
    </row>
    <row r="311" spans="1:33" x14ac:dyDescent="0.25">
      <c r="A311" s="381" t="s">
        <v>678</v>
      </c>
      <c r="B311" s="387" t="s">
        <v>679</v>
      </c>
      <c r="C311" s="383">
        <v>2153</v>
      </c>
      <c r="D311" s="383">
        <v>0</v>
      </c>
      <c r="E311" s="383">
        <v>199</v>
      </c>
      <c r="F311" s="383">
        <v>224</v>
      </c>
      <c r="G311" s="383">
        <v>363</v>
      </c>
      <c r="H311" s="383">
        <v>2939</v>
      </c>
      <c r="I311" s="382">
        <v>2576</v>
      </c>
      <c r="J311" s="382">
        <v>3</v>
      </c>
      <c r="K311" s="384">
        <v>114.86</v>
      </c>
      <c r="L311" s="384">
        <v>112.77</v>
      </c>
      <c r="M311" s="384">
        <v>6.91</v>
      </c>
      <c r="N311" s="384">
        <v>121.19</v>
      </c>
      <c r="O311" s="385">
        <v>1723</v>
      </c>
      <c r="P311" s="382">
        <v>98.25</v>
      </c>
      <c r="Q311" s="382">
        <v>93.06</v>
      </c>
      <c r="R311" s="382">
        <v>43.23</v>
      </c>
      <c r="S311" s="382">
        <v>138.04</v>
      </c>
      <c r="T311" s="382">
        <v>402</v>
      </c>
      <c r="U311" s="382">
        <v>166.12</v>
      </c>
      <c r="V311" s="382">
        <v>272</v>
      </c>
      <c r="W311" s="382">
        <v>0</v>
      </c>
      <c r="X311" s="382">
        <v>0</v>
      </c>
      <c r="Y311" s="382">
        <v>51</v>
      </c>
      <c r="Z311" s="382">
        <v>1</v>
      </c>
      <c r="AA311" s="382">
        <v>7</v>
      </c>
      <c r="AB311" s="382">
        <v>30</v>
      </c>
      <c r="AC311" s="382">
        <v>11</v>
      </c>
      <c r="AD311" s="386">
        <v>2018</v>
      </c>
      <c r="AE311" s="386">
        <v>10</v>
      </c>
      <c r="AF311" s="386">
        <v>3</v>
      </c>
      <c r="AG311" s="386">
        <v>13</v>
      </c>
    </row>
    <row r="312" spans="1:33" x14ac:dyDescent="0.25">
      <c r="A312" s="381" t="s">
        <v>680</v>
      </c>
      <c r="B312" s="387" t="s">
        <v>681</v>
      </c>
      <c r="C312" s="383">
        <v>6685</v>
      </c>
      <c r="D312" s="383">
        <v>16</v>
      </c>
      <c r="E312" s="383">
        <v>207</v>
      </c>
      <c r="F312" s="383">
        <v>904</v>
      </c>
      <c r="G312" s="383">
        <v>233</v>
      </c>
      <c r="H312" s="383">
        <v>8045</v>
      </c>
      <c r="I312" s="382">
        <v>7812</v>
      </c>
      <c r="J312" s="382">
        <v>19</v>
      </c>
      <c r="K312" s="384">
        <v>123.02</v>
      </c>
      <c r="L312" s="384">
        <v>123.71</v>
      </c>
      <c r="M312" s="384">
        <v>7.84</v>
      </c>
      <c r="N312" s="384">
        <v>126.38</v>
      </c>
      <c r="O312" s="385">
        <v>6361</v>
      </c>
      <c r="P312" s="382">
        <v>109.25</v>
      </c>
      <c r="Q312" s="382">
        <v>100.77</v>
      </c>
      <c r="R312" s="382">
        <v>22.68</v>
      </c>
      <c r="S312" s="382">
        <v>131.72</v>
      </c>
      <c r="T312" s="382">
        <v>1069</v>
      </c>
      <c r="U312" s="382">
        <v>175.58</v>
      </c>
      <c r="V312" s="382">
        <v>285</v>
      </c>
      <c r="W312" s="382">
        <v>146.74</v>
      </c>
      <c r="X312" s="382">
        <v>1</v>
      </c>
      <c r="Y312" s="382">
        <v>35</v>
      </c>
      <c r="Z312" s="382">
        <v>9</v>
      </c>
      <c r="AA312" s="382">
        <v>46</v>
      </c>
      <c r="AB312" s="382">
        <v>0</v>
      </c>
      <c r="AC312" s="382">
        <v>13</v>
      </c>
      <c r="AD312" s="386">
        <v>6678</v>
      </c>
      <c r="AE312" s="386">
        <v>9</v>
      </c>
      <c r="AF312" s="386">
        <v>8</v>
      </c>
      <c r="AG312" s="386">
        <v>17</v>
      </c>
    </row>
    <row r="313" spans="1:33" x14ac:dyDescent="0.25">
      <c r="A313" s="381" t="s">
        <v>682</v>
      </c>
      <c r="B313" s="387" t="s">
        <v>683</v>
      </c>
      <c r="C313" s="383">
        <v>17898</v>
      </c>
      <c r="D313" s="383">
        <v>12</v>
      </c>
      <c r="E313" s="383">
        <v>1138</v>
      </c>
      <c r="F313" s="383">
        <v>3720</v>
      </c>
      <c r="G313" s="383">
        <v>461</v>
      </c>
      <c r="H313" s="383">
        <v>23229</v>
      </c>
      <c r="I313" s="382">
        <v>22768</v>
      </c>
      <c r="J313" s="382">
        <v>27</v>
      </c>
      <c r="K313" s="384">
        <v>87.37</v>
      </c>
      <c r="L313" s="384">
        <v>84.65</v>
      </c>
      <c r="M313" s="384">
        <v>6.94</v>
      </c>
      <c r="N313" s="384">
        <v>89.58</v>
      </c>
      <c r="O313" s="385">
        <v>14347</v>
      </c>
      <c r="P313" s="382">
        <v>84.25</v>
      </c>
      <c r="Q313" s="382">
        <v>80.239999999999995</v>
      </c>
      <c r="R313" s="382">
        <v>23.67</v>
      </c>
      <c r="S313" s="382">
        <v>106.14</v>
      </c>
      <c r="T313" s="382">
        <v>3704</v>
      </c>
      <c r="U313" s="382">
        <v>109.61</v>
      </c>
      <c r="V313" s="382">
        <v>1748</v>
      </c>
      <c r="W313" s="382">
        <v>139.83000000000001</v>
      </c>
      <c r="X313" s="382">
        <v>129</v>
      </c>
      <c r="Y313" s="382">
        <v>0</v>
      </c>
      <c r="Z313" s="382">
        <v>90</v>
      </c>
      <c r="AA313" s="382">
        <v>31</v>
      </c>
      <c r="AB313" s="382">
        <v>1</v>
      </c>
      <c r="AC313" s="382">
        <v>4</v>
      </c>
      <c r="AD313" s="386">
        <v>15970</v>
      </c>
      <c r="AE313" s="386">
        <v>107</v>
      </c>
      <c r="AF313" s="386">
        <v>384</v>
      </c>
      <c r="AG313" s="386">
        <v>491</v>
      </c>
    </row>
    <row r="314" spans="1:33" x14ac:dyDescent="0.25">
      <c r="A314" s="381" t="s">
        <v>684</v>
      </c>
      <c r="B314" s="387" t="s">
        <v>685</v>
      </c>
      <c r="C314" s="383">
        <v>874</v>
      </c>
      <c r="D314" s="383">
        <v>3</v>
      </c>
      <c r="E314" s="383">
        <v>163</v>
      </c>
      <c r="F314" s="383">
        <v>298</v>
      </c>
      <c r="G314" s="383">
        <v>255</v>
      </c>
      <c r="H314" s="383">
        <v>1593</v>
      </c>
      <c r="I314" s="382">
        <v>1338</v>
      </c>
      <c r="J314" s="382">
        <v>2</v>
      </c>
      <c r="K314" s="384">
        <v>124.37</v>
      </c>
      <c r="L314" s="384">
        <v>122.36</v>
      </c>
      <c r="M314" s="384">
        <v>9.6999999999999993</v>
      </c>
      <c r="N314" s="384">
        <v>132.29</v>
      </c>
      <c r="O314" s="385">
        <v>720</v>
      </c>
      <c r="P314" s="382">
        <v>102.34</v>
      </c>
      <c r="Q314" s="382">
        <v>93.78</v>
      </c>
      <c r="R314" s="382">
        <v>34.56</v>
      </c>
      <c r="S314" s="382">
        <v>136.32</v>
      </c>
      <c r="T314" s="382">
        <v>237</v>
      </c>
      <c r="U314" s="382">
        <v>197.54</v>
      </c>
      <c r="V314" s="382">
        <v>30</v>
      </c>
      <c r="W314" s="382">
        <v>141.56</v>
      </c>
      <c r="X314" s="382">
        <v>5</v>
      </c>
      <c r="Y314" s="382">
        <v>0</v>
      </c>
      <c r="Z314" s="382">
        <v>0</v>
      </c>
      <c r="AA314" s="382">
        <v>0</v>
      </c>
      <c r="AB314" s="382">
        <v>21</v>
      </c>
      <c r="AC314" s="382">
        <v>5</v>
      </c>
      <c r="AD314" s="386">
        <v>758</v>
      </c>
      <c r="AE314" s="386">
        <v>1</v>
      </c>
      <c r="AF314" s="386">
        <v>6</v>
      </c>
      <c r="AG314" s="386">
        <v>7</v>
      </c>
    </row>
    <row r="315" spans="1:33" x14ac:dyDescent="0.25">
      <c r="A315" s="381" t="s">
        <v>686</v>
      </c>
      <c r="B315" s="387" t="s">
        <v>687</v>
      </c>
      <c r="C315" s="383">
        <v>1480</v>
      </c>
      <c r="D315" s="383">
        <v>3</v>
      </c>
      <c r="E315" s="383">
        <v>138</v>
      </c>
      <c r="F315" s="383">
        <v>160</v>
      </c>
      <c r="G315" s="383">
        <v>607</v>
      </c>
      <c r="H315" s="383">
        <v>2388</v>
      </c>
      <c r="I315" s="382">
        <v>1781</v>
      </c>
      <c r="J315" s="382">
        <v>2</v>
      </c>
      <c r="K315" s="384">
        <v>129.08000000000001</v>
      </c>
      <c r="L315" s="384">
        <v>127.34</v>
      </c>
      <c r="M315" s="384">
        <v>6.09</v>
      </c>
      <c r="N315" s="384">
        <v>134.18</v>
      </c>
      <c r="O315" s="385">
        <v>1339</v>
      </c>
      <c r="P315" s="382">
        <v>108.92</v>
      </c>
      <c r="Q315" s="382">
        <v>105.57</v>
      </c>
      <c r="R315" s="382">
        <v>35.24</v>
      </c>
      <c r="S315" s="382">
        <v>141.81</v>
      </c>
      <c r="T315" s="382">
        <v>225</v>
      </c>
      <c r="U315" s="382">
        <v>158.09</v>
      </c>
      <c r="V315" s="382">
        <v>109</v>
      </c>
      <c r="W315" s="382">
        <v>0</v>
      </c>
      <c r="X315" s="382">
        <v>0</v>
      </c>
      <c r="Y315" s="382">
        <v>0</v>
      </c>
      <c r="Z315" s="382">
        <v>35</v>
      </c>
      <c r="AA315" s="382">
        <v>3</v>
      </c>
      <c r="AB315" s="382">
        <v>93</v>
      </c>
      <c r="AC315" s="382">
        <v>18</v>
      </c>
      <c r="AD315" s="386">
        <v>1460</v>
      </c>
      <c r="AE315" s="386">
        <v>7</v>
      </c>
      <c r="AF315" s="386">
        <v>3</v>
      </c>
      <c r="AG315" s="386">
        <v>10</v>
      </c>
    </row>
    <row r="316" spans="1:33" x14ac:dyDescent="0.25">
      <c r="A316" s="381" t="s">
        <v>688</v>
      </c>
      <c r="B316" s="387" t="s">
        <v>689</v>
      </c>
      <c r="C316" s="383">
        <v>4186</v>
      </c>
      <c r="D316" s="383">
        <v>2</v>
      </c>
      <c r="E316" s="383">
        <v>547</v>
      </c>
      <c r="F316" s="383">
        <v>1493</v>
      </c>
      <c r="G316" s="383">
        <v>285</v>
      </c>
      <c r="H316" s="383">
        <v>6513</v>
      </c>
      <c r="I316" s="382">
        <v>6228</v>
      </c>
      <c r="J316" s="382">
        <v>0</v>
      </c>
      <c r="K316" s="384">
        <v>89.31</v>
      </c>
      <c r="L316" s="384">
        <v>87.38</v>
      </c>
      <c r="M316" s="384">
        <v>6.27</v>
      </c>
      <c r="N316" s="384">
        <v>94.73</v>
      </c>
      <c r="O316" s="385">
        <v>3813</v>
      </c>
      <c r="P316" s="382">
        <v>95.43</v>
      </c>
      <c r="Q316" s="382">
        <v>91.11</v>
      </c>
      <c r="R316" s="382">
        <v>52.18</v>
      </c>
      <c r="S316" s="382">
        <v>145.4</v>
      </c>
      <c r="T316" s="382">
        <v>1868</v>
      </c>
      <c r="U316" s="382">
        <v>104.21</v>
      </c>
      <c r="V316" s="382">
        <v>234</v>
      </c>
      <c r="W316" s="382">
        <v>171.25</v>
      </c>
      <c r="X316" s="382">
        <v>36</v>
      </c>
      <c r="Y316" s="382">
        <v>0</v>
      </c>
      <c r="Z316" s="382">
        <v>3</v>
      </c>
      <c r="AA316" s="382">
        <v>2</v>
      </c>
      <c r="AB316" s="382">
        <v>0</v>
      </c>
      <c r="AC316" s="382">
        <v>12</v>
      </c>
      <c r="AD316" s="386">
        <v>4186</v>
      </c>
      <c r="AE316" s="386">
        <v>13</v>
      </c>
      <c r="AF316" s="386">
        <v>22</v>
      </c>
      <c r="AG316" s="386">
        <v>35</v>
      </c>
    </row>
    <row r="317" spans="1:33" x14ac:dyDescent="0.25">
      <c r="A317" s="381" t="s">
        <v>690</v>
      </c>
      <c r="B317" s="387" t="s">
        <v>691</v>
      </c>
      <c r="C317" s="383">
        <v>6071</v>
      </c>
      <c r="D317" s="383">
        <v>57</v>
      </c>
      <c r="E317" s="383">
        <v>389</v>
      </c>
      <c r="F317" s="383">
        <v>965</v>
      </c>
      <c r="G317" s="383">
        <v>470</v>
      </c>
      <c r="H317" s="383">
        <v>7952</v>
      </c>
      <c r="I317" s="382">
        <v>7482</v>
      </c>
      <c r="J317" s="382">
        <v>0</v>
      </c>
      <c r="K317" s="384">
        <v>87.71</v>
      </c>
      <c r="L317" s="384">
        <v>89.49</v>
      </c>
      <c r="M317" s="384">
        <v>5.56</v>
      </c>
      <c r="N317" s="384">
        <v>92.86</v>
      </c>
      <c r="O317" s="385">
        <v>5271</v>
      </c>
      <c r="P317" s="382">
        <v>79.650000000000006</v>
      </c>
      <c r="Q317" s="382">
        <v>79.39</v>
      </c>
      <c r="R317" s="382">
        <v>37.130000000000003</v>
      </c>
      <c r="S317" s="382">
        <v>115.1</v>
      </c>
      <c r="T317" s="382">
        <v>1088</v>
      </c>
      <c r="U317" s="382">
        <v>108.33</v>
      </c>
      <c r="V317" s="382">
        <v>702</v>
      </c>
      <c r="W317" s="382">
        <v>182.23</v>
      </c>
      <c r="X317" s="382">
        <v>128</v>
      </c>
      <c r="Y317" s="382">
        <v>0</v>
      </c>
      <c r="Z317" s="382">
        <v>32</v>
      </c>
      <c r="AA317" s="382">
        <v>0</v>
      </c>
      <c r="AB317" s="382">
        <v>16</v>
      </c>
      <c r="AC317" s="382">
        <v>23</v>
      </c>
      <c r="AD317" s="386">
        <v>6014</v>
      </c>
      <c r="AE317" s="386">
        <v>11</v>
      </c>
      <c r="AF317" s="386">
        <v>14</v>
      </c>
      <c r="AG317" s="386">
        <v>25</v>
      </c>
    </row>
    <row r="318" spans="1:33" x14ac:dyDescent="0.25">
      <c r="A318" s="381" t="s">
        <v>692</v>
      </c>
      <c r="B318" s="387" t="s">
        <v>693</v>
      </c>
      <c r="C318" s="383">
        <v>4038</v>
      </c>
      <c r="D318" s="383">
        <v>40</v>
      </c>
      <c r="E318" s="383">
        <v>264</v>
      </c>
      <c r="F318" s="383">
        <v>489</v>
      </c>
      <c r="G318" s="383">
        <v>137</v>
      </c>
      <c r="H318" s="383">
        <v>4968</v>
      </c>
      <c r="I318" s="382">
        <v>4831</v>
      </c>
      <c r="J318" s="382">
        <v>23</v>
      </c>
      <c r="K318" s="384">
        <v>102.04</v>
      </c>
      <c r="L318" s="384">
        <v>101.16</v>
      </c>
      <c r="M318" s="384">
        <v>6.71</v>
      </c>
      <c r="N318" s="384">
        <v>106.15</v>
      </c>
      <c r="O318" s="385">
        <v>3760</v>
      </c>
      <c r="P318" s="382">
        <v>91.18</v>
      </c>
      <c r="Q318" s="382">
        <v>85.91</v>
      </c>
      <c r="R318" s="382">
        <v>33.32</v>
      </c>
      <c r="S318" s="382">
        <v>122.63</v>
      </c>
      <c r="T318" s="382">
        <v>553</v>
      </c>
      <c r="U318" s="382">
        <v>140.37</v>
      </c>
      <c r="V318" s="382">
        <v>151</v>
      </c>
      <c r="W318" s="382">
        <v>0</v>
      </c>
      <c r="X318" s="382">
        <v>0</v>
      </c>
      <c r="Y318" s="382">
        <v>6</v>
      </c>
      <c r="Z318" s="382">
        <v>2</v>
      </c>
      <c r="AA318" s="382">
        <v>1</v>
      </c>
      <c r="AB318" s="382">
        <v>12</v>
      </c>
      <c r="AC318" s="382">
        <v>4</v>
      </c>
      <c r="AD318" s="386">
        <v>4009</v>
      </c>
      <c r="AE318" s="386">
        <v>13</v>
      </c>
      <c r="AF318" s="386">
        <v>7</v>
      </c>
      <c r="AG318" s="386">
        <v>20</v>
      </c>
    </row>
    <row r="319" spans="1:33" x14ac:dyDescent="0.25">
      <c r="A319" s="381" t="s">
        <v>694</v>
      </c>
      <c r="B319" s="387" t="s">
        <v>695</v>
      </c>
      <c r="C319" s="383">
        <v>7236</v>
      </c>
      <c r="D319" s="383">
        <v>7</v>
      </c>
      <c r="E319" s="383">
        <v>43</v>
      </c>
      <c r="F319" s="383">
        <v>856</v>
      </c>
      <c r="G319" s="383">
        <v>388</v>
      </c>
      <c r="H319" s="383">
        <v>8530</v>
      </c>
      <c r="I319" s="382">
        <v>8142</v>
      </c>
      <c r="J319" s="382">
        <v>6</v>
      </c>
      <c r="K319" s="384">
        <v>95.35</v>
      </c>
      <c r="L319" s="384">
        <v>93.57</v>
      </c>
      <c r="M319" s="384">
        <v>3.49</v>
      </c>
      <c r="N319" s="384">
        <v>97.1</v>
      </c>
      <c r="O319" s="385">
        <v>6303</v>
      </c>
      <c r="P319" s="382">
        <v>85.89</v>
      </c>
      <c r="Q319" s="382">
        <v>87.63</v>
      </c>
      <c r="R319" s="382">
        <v>31.37</v>
      </c>
      <c r="S319" s="382">
        <v>117.05</v>
      </c>
      <c r="T319" s="382">
        <v>870</v>
      </c>
      <c r="U319" s="382">
        <v>115.18</v>
      </c>
      <c r="V319" s="382">
        <v>922</v>
      </c>
      <c r="W319" s="382">
        <v>198.77</v>
      </c>
      <c r="X319" s="382">
        <v>29</v>
      </c>
      <c r="Y319" s="382">
        <v>0</v>
      </c>
      <c r="Z319" s="382">
        <v>20</v>
      </c>
      <c r="AA319" s="382">
        <v>1</v>
      </c>
      <c r="AB319" s="382">
        <v>44</v>
      </c>
      <c r="AC319" s="382">
        <v>5</v>
      </c>
      <c r="AD319" s="386">
        <v>7236</v>
      </c>
      <c r="AE319" s="386">
        <v>26</v>
      </c>
      <c r="AF319" s="386">
        <v>18</v>
      </c>
      <c r="AG319" s="386">
        <v>44</v>
      </c>
    </row>
    <row r="320" spans="1:33" x14ac:dyDescent="0.25">
      <c r="A320" s="381" t="s">
        <v>696</v>
      </c>
      <c r="B320" s="387" t="s">
        <v>697</v>
      </c>
      <c r="C320" s="383">
        <v>3226</v>
      </c>
      <c r="D320" s="383">
        <v>3</v>
      </c>
      <c r="E320" s="383">
        <v>227</v>
      </c>
      <c r="F320" s="383">
        <v>400</v>
      </c>
      <c r="G320" s="383">
        <v>133</v>
      </c>
      <c r="H320" s="383">
        <v>3989</v>
      </c>
      <c r="I320" s="382">
        <v>3856</v>
      </c>
      <c r="J320" s="382">
        <v>0</v>
      </c>
      <c r="K320" s="384">
        <v>85.93</v>
      </c>
      <c r="L320" s="384">
        <v>81</v>
      </c>
      <c r="M320" s="384">
        <v>4.38</v>
      </c>
      <c r="N320" s="384">
        <v>88.56</v>
      </c>
      <c r="O320" s="385">
        <v>2980</v>
      </c>
      <c r="P320" s="382">
        <v>92.42</v>
      </c>
      <c r="Q320" s="382">
        <v>73.88</v>
      </c>
      <c r="R320" s="382">
        <v>31.98</v>
      </c>
      <c r="S320" s="382">
        <v>122.96</v>
      </c>
      <c r="T320" s="382">
        <v>576</v>
      </c>
      <c r="U320" s="382">
        <v>103.59</v>
      </c>
      <c r="V320" s="382">
        <v>200</v>
      </c>
      <c r="W320" s="382">
        <v>0</v>
      </c>
      <c r="X320" s="382">
        <v>0</v>
      </c>
      <c r="Y320" s="382">
        <v>0</v>
      </c>
      <c r="Z320" s="382">
        <v>2</v>
      </c>
      <c r="AA320" s="382">
        <v>3</v>
      </c>
      <c r="AB320" s="382">
        <v>0</v>
      </c>
      <c r="AC320" s="382">
        <v>5</v>
      </c>
      <c r="AD320" s="386">
        <v>3195</v>
      </c>
      <c r="AE320" s="386">
        <v>19</v>
      </c>
      <c r="AF320" s="386">
        <v>32</v>
      </c>
      <c r="AG320" s="386">
        <v>51</v>
      </c>
    </row>
    <row r="321" spans="1:33" x14ac:dyDescent="0.25">
      <c r="A321" s="381" t="s">
        <v>698</v>
      </c>
      <c r="B321" s="387" t="s">
        <v>699</v>
      </c>
      <c r="C321" s="383">
        <v>4439</v>
      </c>
      <c r="D321" s="383">
        <v>0</v>
      </c>
      <c r="E321" s="383">
        <v>2214</v>
      </c>
      <c r="F321" s="383">
        <v>72</v>
      </c>
      <c r="G321" s="383">
        <v>398</v>
      </c>
      <c r="H321" s="383">
        <v>7123</v>
      </c>
      <c r="I321" s="382">
        <v>6725</v>
      </c>
      <c r="J321" s="382">
        <v>0</v>
      </c>
      <c r="K321" s="384">
        <v>89.34</v>
      </c>
      <c r="L321" s="384">
        <v>86.69</v>
      </c>
      <c r="M321" s="384">
        <v>4.72</v>
      </c>
      <c r="N321" s="384">
        <v>93.87</v>
      </c>
      <c r="O321" s="385">
        <v>4129</v>
      </c>
      <c r="P321" s="382">
        <v>85.68</v>
      </c>
      <c r="Q321" s="382">
        <v>79.61</v>
      </c>
      <c r="R321" s="382">
        <v>15.42</v>
      </c>
      <c r="S321" s="382">
        <v>101.05</v>
      </c>
      <c r="T321" s="382">
        <v>2142</v>
      </c>
      <c r="U321" s="382">
        <v>97.91</v>
      </c>
      <c r="V321" s="382">
        <v>280</v>
      </c>
      <c r="W321" s="382">
        <v>169.4</v>
      </c>
      <c r="X321" s="382">
        <v>115</v>
      </c>
      <c r="Y321" s="382">
        <v>0</v>
      </c>
      <c r="Z321" s="382">
        <v>16</v>
      </c>
      <c r="AA321" s="382">
        <v>0</v>
      </c>
      <c r="AB321" s="382">
        <v>45</v>
      </c>
      <c r="AC321" s="382">
        <v>12</v>
      </c>
      <c r="AD321" s="386">
        <v>4439</v>
      </c>
      <c r="AE321" s="386">
        <v>18</v>
      </c>
      <c r="AF321" s="386">
        <v>25</v>
      </c>
      <c r="AG321" s="386">
        <v>43</v>
      </c>
    </row>
    <row r="322" spans="1:33" x14ac:dyDescent="0.25">
      <c r="A322" s="381" t="s">
        <v>700</v>
      </c>
      <c r="B322" s="387" t="s">
        <v>701</v>
      </c>
      <c r="C322" s="383">
        <v>3873</v>
      </c>
      <c r="D322" s="383">
        <v>11</v>
      </c>
      <c r="E322" s="383">
        <v>391</v>
      </c>
      <c r="F322" s="383">
        <v>678</v>
      </c>
      <c r="G322" s="383">
        <v>411</v>
      </c>
      <c r="H322" s="383">
        <v>5364</v>
      </c>
      <c r="I322" s="382">
        <v>4953</v>
      </c>
      <c r="J322" s="382">
        <v>20</v>
      </c>
      <c r="K322" s="384">
        <v>94.11</v>
      </c>
      <c r="L322" s="384">
        <v>93.31</v>
      </c>
      <c r="M322" s="384">
        <v>6.73</v>
      </c>
      <c r="N322" s="384">
        <v>97.3</v>
      </c>
      <c r="O322" s="385">
        <v>2980</v>
      </c>
      <c r="P322" s="382">
        <v>82.24</v>
      </c>
      <c r="Q322" s="382">
        <v>77.260000000000005</v>
      </c>
      <c r="R322" s="382">
        <v>26.8</v>
      </c>
      <c r="S322" s="382">
        <v>108.32</v>
      </c>
      <c r="T322" s="382">
        <v>675</v>
      </c>
      <c r="U322" s="382">
        <v>109.62</v>
      </c>
      <c r="V322" s="382">
        <v>454</v>
      </c>
      <c r="W322" s="382">
        <v>0</v>
      </c>
      <c r="X322" s="382">
        <v>0</v>
      </c>
      <c r="Y322" s="382">
        <v>0</v>
      </c>
      <c r="Z322" s="382">
        <v>1</v>
      </c>
      <c r="AA322" s="382">
        <v>1</v>
      </c>
      <c r="AB322" s="382">
        <v>11</v>
      </c>
      <c r="AC322" s="382">
        <v>5</v>
      </c>
      <c r="AD322" s="386">
        <v>3534</v>
      </c>
      <c r="AE322" s="386">
        <v>7</v>
      </c>
      <c r="AF322" s="386">
        <v>5</v>
      </c>
      <c r="AG322" s="386">
        <v>12</v>
      </c>
    </row>
  </sheetData>
  <pageMargins left="0.7" right="0.7" top="0.75" bottom="0.75" header="0.3" footer="0.3"/>
  <pageSetup paperSize="9" orientation="portrait" r:id="rId1"/>
  <headerFooter>
    <oddFooter>&amp;C&amp;1#&amp;"Calibri"&amp;12&amp;K0078D7OFFICIAL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D4908-8506-4D8D-BDFD-B666593A5824}">
  <sheetPr codeName="Sheet5">
    <tabColor rgb="FFFFFF00"/>
  </sheetPr>
  <dimension ref="A1:AG322"/>
  <sheetViews>
    <sheetView zoomScale="80" zoomScaleNormal="80" workbookViewId="0"/>
  </sheetViews>
  <sheetFormatPr defaultColWidth="9.1796875" defaultRowHeight="12.5" x14ac:dyDescent="0.25"/>
  <cols>
    <col min="1" max="8" width="9.1796875" style="164"/>
    <col min="9" max="10" width="10.453125" style="164" customWidth="1"/>
    <col min="11" max="11" width="10.453125" style="164" bestFit="1" customWidth="1"/>
    <col min="12" max="16384" width="9.1796875" style="164"/>
  </cols>
  <sheetData>
    <row r="1" spans="1:33" s="163" customFormat="1" ht="13" x14ac:dyDescent="0.3">
      <c r="A1" s="153"/>
      <c r="B1" s="153"/>
      <c r="C1" s="154" t="s">
        <v>42</v>
      </c>
      <c r="D1" s="154" t="s">
        <v>42</v>
      </c>
      <c r="E1" s="154" t="s">
        <v>42</v>
      </c>
      <c r="F1" s="154" t="s">
        <v>42</v>
      </c>
      <c r="G1" s="154" t="s">
        <v>42</v>
      </c>
      <c r="H1" s="154" t="s">
        <v>42</v>
      </c>
      <c r="I1" s="155" t="s">
        <v>43</v>
      </c>
      <c r="J1" s="155" t="s">
        <v>43</v>
      </c>
      <c r="K1" s="156" t="s">
        <v>44</v>
      </c>
      <c r="L1" s="156" t="s">
        <v>44</v>
      </c>
      <c r="M1" s="156" t="s">
        <v>44</v>
      </c>
      <c r="N1" s="157" t="s">
        <v>44</v>
      </c>
      <c r="O1" s="156" t="s">
        <v>44</v>
      </c>
      <c r="P1" s="158" t="s">
        <v>45</v>
      </c>
      <c r="Q1" s="158" t="s">
        <v>45</v>
      </c>
      <c r="R1" s="158" t="s">
        <v>45</v>
      </c>
      <c r="S1" s="158" t="s">
        <v>45</v>
      </c>
      <c r="T1" s="158" t="s">
        <v>45</v>
      </c>
      <c r="U1" s="159" t="s">
        <v>46</v>
      </c>
      <c r="V1" s="159" t="s">
        <v>46</v>
      </c>
      <c r="W1" s="160" t="s">
        <v>47</v>
      </c>
      <c r="X1" s="160" t="s">
        <v>47</v>
      </c>
      <c r="Y1" s="161" t="s">
        <v>48</v>
      </c>
      <c r="Z1" s="161" t="s">
        <v>48</v>
      </c>
      <c r="AA1" s="161" t="s">
        <v>48</v>
      </c>
      <c r="AB1" s="161" t="s">
        <v>48</v>
      </c>
      <c r="AC1" s="161" t="s">
        <v>48</v>
      </c>
      <c r="AD1" s="162" t="s">
        <v>49</v>
      </c>
      <c r="AE1" s="162" t="s">
        <v>49</v>
      </c>
      <c r="AF1" s="162" t="s">
        <v>49</v>
      </c>
      <c r="AG1" s="162" t="s">
        <v>49</v>
      </c>
    </row>
    <row r="2" spans="1:33" x14ac:dyDescent="0.25">
      <c r="B2" s="165">
        <v>1</v>
      </c>
      <c r="C2" s="165">
        <v>2</v>
      </c>
      <c r="D2" s="165">
        <v>3</v>
      </c>
      <c r="E2" s="165">
        <v>4</v>
      </c>
      <c r="F2" s="165">
        <v>5</v>
      </c>
      <c r="G2" s="165">
        <v>6</v>
      </c>
      <c r="H2" s="165">
        <v>7</v>
      </c>
      <c r="I2" s="165">
        <v>8</v>
      </c>
      <c r="J2" s="165">
        <v>9</v>
      </c>
      <c r="K2" s="165">
        <v>10</v>
      </c>
      <c r="L2" s="165">
        <v>11</v>
      </c>
      <c r="M2" s="165">
        <v>12</v>
      </c>
      <c r="N2" s="165">
        <v>13</v>
      </c>
      <c r="O2" s="165">
        <v>14</v>
      </c>
      <c r="P2" s="165">
        <v>15</v>
      </c>
      <c r="Q2" s="165">
        <v>16</v>
      </c>
      <c r="R2" s="165">
        <v>17</v>
      </c>
      <c r="S2" s="165">
        <v>18</v>
      </c>
      <c r="T2" s="165">
        <v>19</v>
      </c>
      <c r="U2" s="165">
        <v>20</v>
      </c>
      <c r="V2" s="165">
        <v>21</v>
      </c>
      <c r="W2" s="165">
        <v>22</v>
      </c>
      <c r="X2" s="165">
        <v>23</v>
      </c>
      <c r="Y2" s="165">
        <v>24</v>
      </c>
      <c r="Z2" s="165">
        <v>25</v>
      </c>
      <c r="AA2" s="165">
        <v>26</v>
      </c>
      <c r="AB2" s="165">
        <v>27</v>
      </c>
      <c r="AC2" s="165">
        <v>28</v>
      </c>
      <c r="AD2" s="165">
        <v>29</v>
      </c>
      <c r="AE2" s="165">
        <v>30</v>
      </c>
      <c r="AF2" s="165">
        <v>31</v>
      </c>
      <c r="AG2" s="165">
        <v>32</v>
      </c>
    </row>
    <row r="3" spans="1:33" ht="87.5" x14ac:dyDescent="0.25">
      <c r="A3" s="164" t="s">
        <v>50</v>
      </c>
      <c r="B3" s="164" t="s">
        <v>51</v>
      </c>
      <c r="C3" s="166" t="s">
        <v>52</v>
      </c>
      <c r="D3" s="166" t="s">
        <v>53</v>
      </c>
      <c r="E3" s="166" t="s">
        <v>54</v>
      </c>
      <c r="F3" s="166" t="s">
        <v>55</v>
      </c>
      <c r="G3" s="166" t="s">
        <v>56</v>
      </c>
      <c r="H3" s="166" t="s">
        <v>57</v>
      </c>
      <c r="I3" s="167" t="s">
        <v>58</v>
      </c>
      <c r="J3" s="167" t="s">
        <v>59</v>
      </c>
      <c r="K3" s="168" t="s">
        <v>60</v>
      </c>
      <c r="L3" s="168" t="s">
        <v>61</v>
      </c>
      <c r="M3" s="168" t="s">
        <v>62</v>
      </c>
      <c r="N3" s="169" t="s">
        <v>63</v>
      </c>
      <c r="O3" s="168" t="s">
        <v>64</v>
      </c>
      <c r="P3" s="170" t="s">
        <v>65</v>
      </c>
      <c r="Q3" s="170" t="s">
        <v>66</v>
      </c>
      <c r="R3" s="170" t="s">
        <v>62</v>
      </c>
      <c r="S3" s="170" t="s">
        <v>67</v>
      </c>
      <c r="T3" s="170" t="s">
        <v>68</v>
      </c>
      <c r="U3" s="171" t="s">
        <v>69</v>
      </c>
      <c r="V3" s="171" t="s">
        <v>70</v>
      </c>
      <c r="W3" s="172" t="s">
        <v>71</v>
      </c>
      <c r="X3" s="172" t="s">
        <v>72</v>
      </c>
      <c r="Y3" s="173" t="s">
        <v>73</v>
      </c>
      <c r="Z3" s="173" t="s">
        <v>74</v>
      </c>
      <c r="AA3" s="173" t="s">
        <v>75</v>
      </c>
      <c r="AB3" s="173" t="s">
        <v>76</v>
      </c>
      <c r="AC3" s="173" t="s">
        <v>77</v>
      </c>
      <c r="AD3" s="174" t="s">
        <v>78</v>
      </c>
      <c r="AE3" s="174" t="s">
        <v>79</v>
      </c>
      <c r="AF3" s="174" t="s">
        <v>80</v>
      </c>
      <c r="AG3" s="174" t="s">
        <v>81</v>
      </c>
    </row>
    <row r="4" spans="1:33" x14ac:dyDescent="0.25">
      <c r="A4" s="381" t="s">
        <v>15</v>
      </c>
      <c r="B4" s="381" t="s">
        <v>15</v>
      </c>
      <c r="C4" s="382">
        <v>2130525</v>
      </c>
      <c r="D4" s="382">
        <v>11961</v>
      </c>
      <c r="E4" s="382">
        <v>133418</v>
      </c>
      <c r="F4" s="382">
        <v>263208</v>
      </c>
      <c r="G4" s="382">
        <v>169243</v>
      </c>
      <c r="H4" s="383">
        <v>2708355</v>
      </c>
      <c r="I4" s="382">
        <v>2539112</v>
      </c>
      <c r="J4" s="382">
        <v>9610</v>
      </c>
      <c r="K4" s="384">
        <v>96.33</v>
      </c>
      <c r="L4" s="384">
        <v>95.09</v>
      </c>
      <c r="M4" s="384">
        <v>6.71</v>
      </c>
      <c r="N4" s="384">
        <v>100.16</v>
      </c>
      <c r="O4" s="385">
        <v>1846604</v>
      </c>
      <c r="P4" s="382">
        <v>93.08</v>
      </c>
      <c r="Q4" s="382">
        <v>87.59</v>
      </c>
      <c r="R4" s="382">
        <v>39.71</v>
      </c>
      <c r="S4" s="382">
        <v>129.31</v>
      </c>
      <c r="T4" s="382">
        <v>339386</v>
      </c>
      <c r="U4" s="382">
        <v>127.8</v>
      </c>
      <c r="V4" s="382">
        <v>208889</v>
      </c>
      <c r="W4" s="382">
        <v>166.43</v>
      </c>
      <c r="X4" s="382">
        <v>12354</v>
      </c>
      <c r="Y4" s="382">
        <v>4046</v>
      </c>
      <c r="Z4" s="382">
        <v>5512</v>
      </c>
      <c r="AA4" s="382">
        <v>3318</v>
      </c>
      <c r="AB4" s="382">
        <v>9799</v>
      </c>
      <c r="AC4" s="382">
        <v>4137</v>
      </c>
      <c r="AD4" s="386">
        <v>2073839</v>
      </c>
      <c r="AE4" s="382">
        <v>11579</v>
      </c>
      <c r="AF4" s="382">
        <v>10889</v>
      </c>
      <c r="AG4" s="382">
        <v>22468</v>
      </c>
    </row>
    <row r="5" spans="1:33" x14ac:dyDescent="0.25">
      <c r="A5" s="387" t="s">
        <v>82</v>
      </c>
      <c r="B5" s="387" t="s">
        <v>82</v>
      </c>
      <c r="C5" s="383">
        <v>110967</v>
      </c>
      <c r="D5" s="383">
        <v>314</v>
      </c>
      <c r="E5" s="383">
        <v>7962</v>
      </c>
      <c r="F5" s="383">
        <v>23001</v>
      </c>
      <c r="G5" s="383">
        <v>11938</v>
      </c>
      <c r="H5" s="383">
        <v>154182</v>
      </c>
      <c r="I5" s="382">
        <v>142244</v>
      </c>
      <c r="J5" s="382">
        <v>174</v>
      </c>
      <c r="K5" s="384">
        <v>88.17</v>
      </c>
      <c r="L5" s="384">
        <v>87.14</v>
      </c>
      <c r="M5" s="384">
        <v>4.7699999999999996</v>
      </c>
      <c r="N5" s="384">
        <v>91.2</v>
      </c>
      <c r="O5" s="385">
        <v>94960</v>
      </c>
      <c r="P5" s="382">
        <v>87.5</v>
      </c>
      <c r="Q5" s="382">
        <v>81.58</v>
      </c>
      <c r="R5" s="382">
        <v>33.54</v>
      </c>
      <c r="S5" s="382">
        <v>118.32</v>
      </c>
      <c r="T5" s="382">
        <v>28049</v>
      </c>
      <c r="U5" s="382">
        <v>103.55</v>
      </c>
      <c r="V5" s="382">
        <v>11205</v>
      </c>
      <c r="W5" s="382">
        <v>162.13</v>
      </c>
      <c r="X5" s="382">
        <v>652</v>
      </c>
      <c r="Y5" s="382">
        <v>154</v>
      </c>
      <c r="Z5" s="382">
        <v>266</v>
      </c>
      <c r="AA5" s="382">
        <v>282</v>
      </c>
      <c r="AB5" s="382">
        <v>932</v>
      </c>
      <c r="AC5" s="382">
        <v>320</v>
      </c>
      <c r="AD5" s="386">
        <v>108186</v>
      </c>
      <c r="AE5" s="382">
        <v>636</v>
      </c>
      <c r="AF5" s="382">
        <v>387</v>
      </c>
      <c r="AG5" s="382">
        <v>1023</v>
      </c>
    </row>
    <row r="6" spans="1:33" x14ac:dyDescent="0.25">
      <c r="A6" s="387" t="s">
        <v>83</v>
      </c>
      <c r="B6" s="387" t="s">
        <v>83</v>
      </c>
      <c r="C6" s="383">
        <v>213783</v>
      </c>
      <c r="D6" s="383">
        <v>1707</v>
      </c>
      <c r="E6" s="383">
        <v>12184</v>
      </c>
      <c r="F6" s="383">
        <v>28297</v>
      </c>
      <c r="G6" s="383">
        <v>17503</v>
      </c>
      <c r="H6" s="383">
        <v>273474</v>
      </c>
      <c r="I6" s="382">
        <v>255971</v>
      </c>
      <c r="J6" s="382">
        <v>939</v>
      </c>
      <c r="K6" s="384">
        <v>100.24</v>
      </c>
      <c r="L6" s="384">
        <v>100.25</v>
      </c>
      <c r="M6" s="384">
        <v>5.89</v>
      </c>
      <c r="N6" s="384">
        <v>102.94</v>
      </c>
      <c r="O6" s="385">
        <v>184647</v>
      </c>
      <c r="P6" s="382">
        <v>94.48</v>
      </c>
      <c r="Q6" s="382">
        <v>90.02</v>
      </c>
      <c r="R6" s="382">
        <v>38.42</v>
      </c>
      <c r="S6" s="382">
        <v>127.84</v>
      </c>
      <c r="T6" s="382">
        <v>34666</v>
      </c>
      <c r="U6" s="382">
        <v>132.03</v>
      </c>
      <c r="V6" s="382">
        <v>23897</v>
      </c>
      <c r="W6" s="382">
        <v>179.79</v>
      </c>
      <c r="X6" s="382">
        <v>599</v>
      </c>
      <c r="Y6" s="382">
        <v>377</v>
      </c>
      <c r="Z6" s="382">
        <v>309</v>
      </c>
      <c r="AA6" s="382">
        <v>212</v>
      </c>
      <c r="AB6" s="382">
        <v>1084</v>
      </c>
      <c r="AC6" s="382">
        <v>389</v>
      </c>
      <c r="AD6" s="386">
        <v>211686</v>
      </c>
      <c r="AE6" s="382">
        <v>1025</v>
      </c>
      <c r="AF6" s="382">
        <v>882</v>
      </c>
      <c r="AG6" s="382">
        <v>1907</v>
      </c>
    </row>
    <row r="7" spans="1:33" x14ac:dyDescent="0.25">
      <c r="A7" s="387" t="s">
        <v>84</v>
      </c>
      <c r="B7" s="387" t="s">
        <v>84</v>
      </c>
      <c r="C7" s="383">
        <v>349166</v>
      </c>
      <c r="D7" s="383">
        <v>6138</v>
      </c>
      <c r="E7" s="383">
        <v>27361</v>
      </c>
      <c r="F7" s="383">
        <v>27804</v>
      </c>
      <c r="G7" s="383">
        <v>45934</v>
      </c>
      <c r="H7" s="383">
        <v>456403</v>
      </c>
      <c r="I7" s="382">
        <v>410469</v>
      </c>
      <c r="J7" s="382">
        <v>3480</v>
      </c>
      <c r="K7" s="384">
        <v>125.19</v>
      </c>
      <c r="L7" s="384">
        <v>124.89</v>
      </c>
      <c r="M7" s="384">
        <v>11.76</v>
      </c>
      <c r="N7" s="384">
        <v>133.16999999999999</v>
      </c>
      <c r="O7" s="385">
        <v>295154</v>
      </c>
      <c r="P7" s="382">
        <v>113.61</v>
      </c>
      <c r="Q7" s="382">
        <v>108.85</v>
      </c>
      <c r="R7" s="382">
        <v>55.26</v>
      </c>
      <c r="S7" s="382">
        <v>159.66999999999999</v>
      </c>
      <c r="T7" s="382">
        <v>45082</v>
      </c>
      <c r="U7" s="382">
        <v>186.57</v>
      </c>
      <c r="V7" s="382">
        <v>29368</v>
      </c>
      <c r="W7" s="382">
        <v>207.81</v>
      </c>
      <c r="X7" s="382">
        <v>1164</v>
      </c>
      <c r="Y7" s="382">
        <v>256</v>
      </c>
      <c r="Z7" s="382">
        <v>302</v>
      </c>
      <c r="AA7" s="382">
        <v>400</v>
      </c>
      <c r="AB7" s="382">
        <v>2156</v>
      </c>
      <c r="AC7" s="382">
        <v>1112</v>
      </c>
      <c r="AD7" s="386">
        <v>328468</v>
      </c>
      <c r="AE7" s="382">
        <v>973</v>
      </c>
      <c r="AF7" s="382">
        <v>1739</v>
      </c>
      <c r="AG7" s="382">
        <v>2712</v>
      </c>
    </row>
    <row r="8" spans="1:33" x14ac:dyDescent="0.25">
      <c r="A8" s="387" t="s">
        <v>85</v>
      </c>
      <c r="B8" s="387" t="s">
        <v>85</v>
      </c>
      <c r="C8" s="383">
        <v>157777</v>
      </c>
      <c r="D8" s="383">
        <v>593</v>
      </c>
      <c r="E8" s="383">
        <v>5508</v>
      </c>
      <c r="F8" s="383">
        <v>16071</v>
      </c>
      <c r="G8" s="383">
        <v>2870</v>
      </c>
      <c r="H8" s="383">
        <v>182819</v>
      </c>
      <c r="I8" s="382">
        <v>179949</v>
      </c>
      <c r="J8" s="382">
        <v>952</v>
      </c>
      <c r="K8" s="384">
        <v>78.63</v>
      </c>
      <c r="L8" s="384">
        <v>78.09</v>
      </c>
      <c r="M8" s="384">
        <v>6.8</v>
      </c>
      <c r="N8" s="384">
        <v>80.84</v>
      </c>
      <c r="O8" s="385">
        <v>142139</v>
      </c>
      <c r="P8" s="382">
        <v>84.64</v>
      </c>
      <c r="Q8" s="382">
        <v>76.55</v>
      </c>
      <c r="R8" s="382">
        <v>44.36</v>
      </c>
      <c r="S8" s="382">
        <v>124.07</v>
      </c>
      <c r="T8" s="382">
        <v>18523</v>
      </c>
      <c r="U8" s="382">
        <v>94.97</v>
      </c>
      <c r="V8" s="382">
        <v>13142</v>
      </c>
      <c r="W8" s="382">
        <v>155.34</v>
      </c>
      <c r="X8" s="382">
        <v>1879</v>
      </c>
      <c r="Y8" s="382">
        <v>0</v>
      </c>
      <c r="Z8" s="382">
        <v>576</v>
      </c>
      <c r="AA8" s="382">
        <v>208</v>
      </c>
      <c r="AB8" s="382">
        <v>177</v>
      </c>
      <c r="AC8" s="382">
        <v>47</v>
      </c>
      <c r="AD8" s="386">
        <v>154969</v>
      </c>
      <c r="AE8" s="382">
        <v>1722</v>
      </c>
      <c r="AF8" s="382">
        <v>836</v>
      </c>
      <c r="AG8" s="382">
        <v>2558</v>
      </c>
    </row>
    <row r="9" spans="1:33" x14ac:dyDescent="0.25">
      <c r="A9" s="387" t="s">
        <v>86</v>
      </c>
      <c r="B9" s="387" t="s">
        <v>86</v>
      </c>
      <c r="C9" s="383">
        <v>427546</v>
      </c>
      <c r="D9" s="383">
        <v>399</v>
      </c>
      <c r="E9" s="383">
        <v>21354</v>
      </c>
      <c r="F9" s="383">
        <v>53919</v>
      </c>
      <c r="G9" s="383">
        <v>13252</v>
      </c>
      <c r="H9" s="383">
        <v>516470</v>
      </c>
      <c r="I9" s="382">
        <v>503218</v>
      </c>
      <c r="J9" s="382">
        <v>1486</v>
      </c>
      <c r="K9" s="384">
        <v>83.03</v>
      </c>
      <c r="L9" s="384">
        <v>82.38</v>
      </c>
      <c r="M9" s="384">
        <v>4.75</v>
      </c>
      <c r="N9" s="384">
        <v>85.5</v>
      </c>
      <c r="O9" s="385">
        <v>374559</v>
      </c>
      <c r="P9" s="382">
        <v>83.93</v>
      </c>
      <c r="Q9" s="382">
        <v>77.98</v>
      </c>
      <c r="R9" s="382">
        <v>32.200000000000003</v>
      </c>
      <c r="S9" s="382">
        <v>114.04</v>
      </c>
      <c r="T9" s="382">
        <v>67208</v>
      </c>
      <c r="U9" s="382">
        <v>104.03</v>
      </c>
      <c r="V9" s="382">
        <v>42743</v>
      </c>
      <c r="W9" s="382">
        <v>142.83000000000001</v>
      </c>
      <c r="X9" s="382">
        <v>1738</v>
      </c>
      <c r="Y9" s="382">
        <v>1538</v>
      </c>
      <c r="Z9" s="382">
        <v>2202</v>
      </c>
      <c r="AA9" s="382">
        <v>645</v>
      </c>
      <c r="AB9" s="382">
        <v>664</v>
      </c>
      <c r="AC9" s="382">
        <v>281</v>
      </c>
      <c r="AD9" s="386">
        <v>417817</v>
      </c>
      <c r="AE9" s="382">
        <v>2871</v>
      </c>
      <c r="AF9" s="382">
        <v>2382</v>
      </c>
      <c r="AG9" s="382">
        <v>5253</v>
      </c>
    </row>
    <row r="10" spans="1:33" x14ac:dyDescent="0.25">
      <c r="A10" s="387" t="s">
        <v>87</v>
      </c>
      <c r="B10" s="387" t="s">
        <v>87</v>
      </c>
      <c r="C10" s="383">
        <v>291856</v>
      </c>
      <c r="D10" s="383">
        <v>1301</v>
      </c>
      <c r="E10" s="383">
        <v>15425</v>
      </c>
      <c r="F10" s="383">
        <v>37542</v>
      </c>
      <c r="G10" s="383">
        <v>39022</v>
      </c>
      <c r="H10" s="383">
        <v>385146</v>
      </c>
      <c r="I10" s="382">
        <v>346124</v>
      </c>
      <c r="J10" s="382">
        <v>1101</v>
      </c>
      <c r="K10" s="384">
        <v>108.77</v>
      </c>
      <c r="L10" s="384">
        <v>107.74</v>
      </c>
      <c r="M10" s="384">
        <v>6.3</v>
      </c>
      <c r="N10" s="384">
        <v>112.64</v>
      </c>
      <c r="O10" s="385">
        <v>247087</v>
      </c>
      <c r="P10" s="382">
        <v>99.33</v>
      </c>
      <c r="Q10" s="382">
        <v>93.61</v>
      </c>
      <c r="R10" s="382">
        <v>34.68</v>
      </c>
      <c r="S10" s="382">
        <v>131.79</v>
      </c>
      <c r="T10" s="382">
        <v>42902</v>
      </c>
      <c r="U10" s="382">
        <v>150.38999999999999</v>
      </c>
      <c r="V10" s="382">
        <v>34460</v>
      </c>
      <c r="W10" s="382">
        <v>167.59</v>
      </c>
      <c r="X10" s="382">
        <v>1762</v>
      </c>
      <c r="Y10" s="382">
        <v>1002</v>
      </c>
      <c r="Z10" s="382">
        <v>331</v>
      </c>
      <c r="AA10" s="382">
        <v>377</v>
      </c>
      <c r="AB10" s="382">
        <v>2588</v>
      </c>
      <c r="AC10" s="382">
        <v>956</v>
      </c>
      <c r="AD10" s="386">
        <v>285007</v>
      </c>
      <c r="AE10" s="382">
        <v>1146</v>
      </c>
      <c r="AF10" s="382">
        <v>957</v>
      </c>
      <c r="AG10" s="382">
        <v>2103</v>
      </c>
    </row>
    <row r="11" spans="1:33" x14ac:dyDescent="0.25">
      <c r="A11" s="387" t="s">
        <v>88</v>
      </c>
      <c r="B11" s="387" t="s">
        <v>88</v>
      </c>
      <c r="C11" s="383">
        <v>194320</v>
      </c>
      <c r="D11" s="383">
        <v>287</v>
      </c>
      <c r="E11" s="383">
        <v>13371</v>
      </c>
      <c r="F11" s="383">
        <v>30250</v>
      </c>
      <c r="G11" s="383">
        <v>17790</v>
      </c>
      <c r="H11" s="383">
        <v>256018</v>
      </c>
      <c r="I11" s="382">
        <v>238228</v>
      </c>
      <c r="J11" s="382">
        <v>406</v>
      </c>
      <c r="K11" s="384">
        <v>93.01</v>
      </c>
      <c r="L11" s="384">
        <v>89.95</v>
      </c>
      <c r="M11" s="384">
        <v>4.95</v>
      </c>
      <c r="N11" s="384">
        <v>96.25</v>
      </c>
      <c r="O11" s="385">
        <v>166010</v>
      </c>
      <c r="P11" s="382">
        <v>88.83</v>
      </c>
      <c r="Q11" s="382">
        <v>81.489999999999995</v>
      </c>
      <c r="R11" s="382">
        <v>31.84</v>
      </c>
      <c r="S11" s="382">
        <v>119.59</v>
      </c>
      <c r="T11" s="382">
        <v>37612</v>
      </c>
      <c r="U11" s="382">
        <v>123.4</v>
      </c>
      <c r="V11" s="382">
        <v>20775</v>
      </c>
      <c r="W11" s="382">
        <v>159.59</v>
      </c>
      <c r="X11" s="382">
        <v>1313</v>
      </c>
      <c r="Y11" s="382">
        <v>467</v>
      </c>
      <c r="Z11" s="382">
        <v>421</v>
      </c>
      <c r="AA11" s="382">
        <v>465</v>
      </c>
      <c r="AB11" s="382">
        <v>1166</v>
      </c>
      <c r="AC11" s="382">
        <v>416</v>
      </c>
      <c r="AD11" s="386">
        <v>188340</v>
      </c>
      <c r="AE11" s="382">
        <v>687</v>
      </c>
      <c r="AF11" s="382">
        <v>1065</v>
      </c>
      <c r="AG11" s="382">
        <v>1752</v>
      </c>
    </row>
    <row r="12" spans="1:33" x14ac:dyDescent="0.25">
      <c r="A12" s="387" t="s">
        <v>89</v>
      </c>
      <c r="B12" s="387" t="s">
        <v>89</v>
      </c>
      <c r="C12" s="383">
        <v>217981</v>
      </c>
      <c r="D12" s="383">
        <v>833</v>
      </c>
      <c r="E12" s="383">
        <v>19255</v>
      </c>
      <c r="F12" s="383">
        <v>28614</v>
      </c>
      <c r="G12" s="383">
        <v>14691</v>
      </c>
      <c r="H12" s="383">
        <v>281374</v>
      </c>
      <c r="I12" s="382">
        <v>266683</v>
      </c>
      <c r="J12" s="382">
        <v>572</v>
      </c>
      <c r="K12" s="384">
        <v>89.14</v>
      </c>
      <c r="L12" s="384">
        <v>86.17</v>
      </c>
      <c r="M12" s="384">
        <v>5.85</v>
      </c>
      <c r="N12" s="384">
        <v>92.78</v>
      </c>
      <c r="O12" s="385">
        <v>193604</v>
      </c>
      <c r="P12" s="382">
        <v>93.49</v>
      </c>
      <c r="Q12" s="382">
        <v>91.6</v>
      </c>
      <c r="R12" s="382">
        <v>52.23</v>
      </c>
      <c r="S12" s="382">
        <v>141.18</v>
      </c>
      <c r="T12" s="382">
        <v>40765</v>
      </c>
      <c r="U12" s="382">
        <v>108.16</v>
      </c>
      <c r="V12" s="382">
        <v>18168</v>
      </c>
      <c r="W12" s="382">
        <v>176.03</v>
      </c>
      <c r="X12" s="382">
        <v>2627</v>
      </c>
      <c r="Y12" s="382">
        <v>119</v>
      </c>
      <c r="Z12" s="382">
        <v>568</v>
      </c>
      <c r="AA12" s="382">
        <v>566</v>
      </c>
      <c r="AB12" s="382">
        <v>745</v>
      </c>
      <c r="AC12" s="382">
        <v>451</v>
      </c>
      <c r="AD12" s="386">
        <v>213918</v>
      </c>
      <c r="AE12" s="382">
        <v>1157</v>
      </c>
      <c r="AF12" s="382">
        <v>907</v>
      </c>
      <c r="AG12" s="382">
        <v>2064</v>
      </c>
    </row>
    <row r="13" spans="1:33" x14ac:dyDescent="0.25">
      <c r="A13" s="387" t="s">
        <v>792</v>
      </c>
      <c r="B13" s="387" t="s">
        <v>792</v>
      </c>
      <c r="C13" s="383">
        <v>167129</v>
      </c>
      <c r="D13" s="383">
        <v>389</v>
      </c>
      <c r="E13" s="383">
        <v>10998</v>
      </c>
      <c r="F13" s="383">
        <v>17710</v>
      </c>
      <c r="G13" s="383">
        <v>6243</v>
      </c>
      <c r="H13" s="383">
        <v>202469</v>
      </c>
      <c r="I13" s="382">
        <v>196226</v>
      </c>
      <c r="J13" s="382">
        <v>500</v>
      </c>
      <c r="K13" s="384">
        <v>82.22</v>
      </c>
      <c r="L13" s="384">
        <v>81.37</v>
      </c>
      <c r="M13" s="384">
        <v>5.65</v>
      </c>
      <c r="N13" s="384">
        <v>85.5</v>
      </c>
      <c r="O13" s="385">
        <v>148444</v>
      </c>
      <c r="P13" s="382">
        <v>86.06</v>
      </c>
      <c r="Q13" s="382">
        <v>78.02</v>
      </c>
      <c r="R13" s="382">
        <v>41.06</v>
      </c>
      <c r="S13" s="382">
        <v>124.85</v>
      </c>
      <c r="T13" s="382">
        <v>24579</v>
      </c>
      <c r="U13" s="382">
        <v>98.8</v>
      </c>
      <c r="V13" s="382">
        <v>15131</v>
      </c>
      <c r="W13" s="382">
        <v>150.63999999999999</v>
      </c>
      <c r="X13" s="382">
        <v>620</v>
      </c>
      <c r="Y13" s="382">
        <v>133</v>
      </c>
      <c r="Z13" s="382">
        <v>537</v>
      </c>
      <c r="AA13" s="382">
        <v>163</v>
      </c>
      <c r="AB13" s="382">
        <v>287</v>
      </c>
      <c r="AC13" s="382">
        <v>165</v>
      </c>
      <c r="AD13" s="386">
        <v>165448</v>
      </c>
      <c r="AE13" s="382">
        <v>1362</v>
      </c>
      <c r="AF13" s="382">
        <v>1734</v>
      </c>
      <c r="AG13" s="382">
        <v>3096</v>
      </c>
    </row>
    <row r="14" spans="1:33" x14ac:dyDescent="0.25">
      <c r="A14" s="381" t="s">
        <v>90</v>
      </c>
      <c r="B14" s="387" t="s">
        <v>91</v>
      </c>
      <c r="C14" s="383">
        <v>930</v>
      </c>
      <c r="D14" s="383">
        <v>0</v>
      </c>
      <c r="E14" s="383">
        <v>63</v>
      </c>
      <c r="F14" s="383">
        <v>51</v>
      </c>
      <c r="G14" s="383">
        <v>130</v>
      </c>
      <c r="H14" s="383">
        <v>1174</v>
      </c>
      <c r="I14" s="382">
        <v>1044</v>
      </c>
      <c r="J14" s="382">
        <v>0</v>
      </c>
      <c r="K14" s="384">
        <v>109.04</v>
      </c>
      <c r="L14" s="384">
        <v>106.94</v>
      </c>
      <c r="M14" s="384">
        <v>6.45</v>
      </c>
      <c r="N14" s="384">
        <v>114.23</v>
      </c>
      <c r="O14" s="385">
        <v>795</v>
      </c>
      <c r="P14" s="382">
        <v>99.98</v>
      </c>
      <c r="Q14" s="382">
        <v>96.13</v>
      </c>
      <c r="R14" s="382">
        <v>47.04</v>
      </c>
      <c r="S14" s="382">
        <v>146.51</v>
      </c>
      <c r="T14" s="382">
        <v>92</v>
      </c>
      <c r="U14" s="382">
        <v>156.36000000000001</v>
      </c>
      <c r="V14" s="382">
        <v>106</v>
      </c>
      <c r="W14" s="382">
        <v>146.16</v>
      </c>
      <c r="X14" s="382">
        <v>14</v>
      </c>
      <c r="Y14" s="382">
        <v>0</v>
      </c>
      <c r="Z14" s="382">
        <v>2</v>
      </c>
      <c r="AA14" s="382">
        <v>0</v>
      </c>
      <c r="AB14" s="382">
        <v>10</v>
      </c>
      <c r="AC14" s="382">
        <v>4</v>
      </c>
      <c r="AD14" s="386">
        <v>909</v>
      </c>
      <c r="AE14" s="386">
        <v>0</v>
      </c>
      <c r="AF14" s="386">
        <v>3</v>
      </c>
      <c r="AG14" s="386">
        <v>3</v>
      </c>
    </row>
    <row r="15" spans="1:33" x14ac:dyDescent="0.25">
      <c r="A15" s="381" t="s">
        <v>92</v>
      </c>
      <c r="B15" s="387" t="s">
        <v>93</v>
      </c>
      <c r="C15" s="383">
        <v>8234</v>
      </c>
      <c r="D15" s="383">
        <v>48</v>
      </c>
      <c r="E15" s="383">
        <v>125</v>
      </c>
      <c r="F15" s="383">
        <v>409</v>
      </c>
      <c r="G15" s="383">
        <v>113</v>
      </c>
      <c r="H15" s="383">
        <v>8929</v>
      </c>
      <c r="I15" s="382">
        <v>8816</v>
      </c>
      <c r="J15" s="382">
        <v>30</v>
      </c>
      <c r="K15" s="384">
        <v>85.61</v>
      </c>
      <c r="L15" s="384">
        <v>82.87</v>
      </c>
      <c r="M15" s="384">
        <v>2.31</v>
      </c>
      <c r="N15" s="384">
        <v>87.5</v>
      </c>
      <c r="O15" s="385">
        <v>7281</v>
      </c>
      <c r="P15" s="382">
        <v>80.86</v>
      </c>
      <c r="Q15" s="382">
        <v>74.599999999999994</v>
      </c>
      <c r="R15" s="382">
        <v>34.82</v>
      </c>
      <c r="S15" s="382">
        <v>115.61</v>
      </c>
      <c r="T15" s="382">
        <v>485</v>
      </c>
      <c r="U15" s="382">
        <v>106.29</v>
      </c>
      <c r="V15" s="382">
        <v>452</v>
      </c>
      <c r="W15" s="382">
        <v>147.11000000000001</v>
      </c>
      <c r="X15" s="382">
        <v>34</v>
      </c>
      <c r="Y15" s="382">
        <v>0</v>
      </c>
      <c r="Z15" s="382">
        <v>16</v>
      </c>
      <c r="AA15" s="382">
        <v>1</v>
      </c>
      <c r="AB15" s="382">
        <v>3</v>
      </c>
      <c r="AC15" s="382">
        <v>1</v>
      </c>
      <c r="AD15" s="386">
        <v>7552</v>
      </c>
      <c r="AE15" s="386">
        <v>99</v>
      </c>
      <c r="AF15" s="386">
        <v>8</v>
      </c>
      <c r="AG15" s="386">
        <v>107</v>
      </c>
    </row>
    <row r="16" spans="1:33" x14ac:dyDescent="0.25">
      <c r="A16" s="381" t="s">
        <v>94</v>
      </c>
      <c r="B16" s="387" t="s">
        <v>95</v>
      </c>
      <c r="C16" s="383">
        <v>4587</v>
      </c>
      <c r="D16" s="383">
        <v>0</v>
      </c>
      <c r="E16" s="383">
        <v>156</v>
      </c>
      <c r="F16" s="383">
        <v>2430</v>
      </c>
      <c r="G16" s="383">
        <v>137</v>
      </c>
      <c r="H16" s="383">
        <v>7310</v>
      </c>
      <c r="I16" s="382">
        <v>7173</v>
      </c>
      <c r="J16" s="382">
        <v>0</v>
      </c>
      <c r="K16" s="384">
        <v>89.57</v>
      </c>
      <c r="L16" s="384">
        <v>89.23</v>
      </c>
      <c r="M16" s="384">
        <v>2.2999999999999998</v>
      </c>
      <c r="N16" s="384">
        <v>91.68</v>
      </c>
      <c r="O16" s="385">
        <v>4346</v>
      </c>
      <c r="P16" s="382">
        <v>83.3</v>
      </c>
      <c r="Q16" s="382">
        <v>86.47</v>
      </c>
      <c r="R16" s="382">
        <v>8.08</v>
      </c>
      <c r="S16" s="382">
        <v>91.29</v>
      </c>
      <c r="T16" s="382">
        <v>2542</v>
      </c>
      <c r="U16" s="382">
        <v>99.67</v>
      </c>
      <c r="V16" s="382">
        <v>237</v>
      </c>
      <c r="W16" s="382">
        <v>0</v>
      </c>
      <c r="X16" s="382">
        <v>0</v>
      </c>
      <c r="Y16" s="382">
        <v>0</v>
      </c>
      <c r="Z16" s="382">
        <v>27</v>
      </c>
      <c r="AA16" s="382">
        <v>8</v>
      </c>
      <c r="AB16" s="382">
        <v>10</v>
      </c>
      <c r="AC16" s="382">
        <v>5</v>
      </c>
      <c r="AD16" s="386">
        <v>4579</v>
      </c>
      <c r="AE16" s="386">
        <v>30</v>
      </c>
      <c r="AF16" s="386">
        <v>16</v>
      </c>
      <c r="AG16" s="386">
        <v>46</v>
      </c>
    </row>
    <row r="17" spans="1:33" x14ac:dyDescent="0.25">
      <c r="A17" s="381" t="s">
        <v>96</v>
      </c>
      <c r="B17" s="387" t="s">
        <v>97</v>
      </c>
      <c r="C17" s="383">
        <v>2937</v>
      </c>
      <c r="D17" s="383">
        <v>19</v>
      </c>
      <c r="E17" s="383">
        <v>224</v>
      </c>
      <c r="F17" s="383">
        <v>286</v>
      </c>
      <c r="G17" s="383">
        <v>544</v>
      </c>
      <c r="H17" s="383">
        <v>4010</v>
      </c>
      <c r="I17" s="382">
        <v>3466</v>
      </c>
      <c r="J17" s="382">
        <v>0</v>
      </c>
      <c r="K17" s="384">
        <v>108.96</v>
      </c>
      <c r="L17" s="384">
        <v>107.2</v>
      </c>
      <c r="M17" s="384">
        <v>6.69</v>
      </c>
      <c r="N17" s="384">
        <v>114.54</v>
      </c>
      <c r="O17" s="385">
        <v>2260</v>
      </c>
      <c r="P17" s="382">
        <v>97.09</v>
      </c>
      <c r="Q17" s="382">
        <v>90.06</v>
      </c>
      <c r="R17" s="382">
        <v>33.92</v>
      </c>
      <c r="S17" s="382">
        <v>129.16</v>
      </c>
      <c r="T17" s="382">
        <v>331</v>
      </c>
      <c r="U17" s="382">
        <v>153.9</v>
      </c>
      <c r="V17" s="382">
        <v>628</v>
      </c>
      <c r="W17" s="382">
        <v>0</v>
      </c>
      <c r="X17" s="382">
        <v>0</v>
      </c>
      <c r="Y17" s="382">
        <v>0</v>
      </c>
      <c r="Z17" s="382">
        <v>7</v>
      </c>
      <c r="AA17" s="382">
        <v>5</v>
      </c>
      <c r="AB17" s="382">
        <v>63</v>
      </c>
      <c r="AC17" s="382">
        <v>16</v>
      </c>
      <c r="AD17" s="386">
        <v>2935</v>
      </c>
      <c r="AE17" s="386">
        <v>9</v>
      </c>
      <c r="AF17" s="386">
        <v>2</v>
      </c>
      <c r="AG17" s="386">
        <v>11</v>
      </c>
    </row>
    <row r="18" spans="1:33" x14ac:dyDescent="0.25">
      <c r="A18" s="381" t="s">
        <v>98</v>
      </c>
      <c r="B18" s="387" t="s">
        <v>99</v>
      </c>
      <c r="C18" s="383">
        <v>1621</v>
      </c>
      <c r="D18" s="383">
        <v>0</v>
      </c>
      <c r="E18" s="383">
        <v>172</v>
      </c>
      <c r="F18" s="383">
        <v>291</v>
      </c>
      <c r="G18" s="383">
        <v>160</v>
      </c>
      <c r="H18" s="383">
        <v>2244</v>
      </c>
      <c r="I18" s="382">
        <v>2084</v>
      </c>
      <c r="J18" s="382">
        <v>0</v>
      </c>
      <c r="K18" s="384">
        <v>86.75</v>
      </c>
      <c r="L18" s="384">
        <v>84.89</v>
      </c>
      <c r="M18" s="384">
        <v>5.14</v>
      </c>
      <c r="N18" s="384">
        <v>89.26</v>
      </c>
      <c r="O18" s="385">
        <v>1366</v>
      </c>
      <c r="P18" s="382">
        <v>95</v>
      </c>
      <c r="Q18" s="382">
        <v>88.92</v>
      </c>
      <c r="R18" s="382">
        <v>47.7</v>
      </c>
      <c r="S18" s="382">
        <v>138.33000000000001</v>
      </c>
      <c r="T18" s="382">
        <v>459</v>
      </c>
      <c r="U18" s="382">
        <v>98.54</v>
      </c>
      <c r="V18" s="382">
        <v>183</v>
      </c>
      <c r="W18" s="382">
        <v>0</v>
      </c>
      <c r="X18" s="382">
        <v>0</v>
      </c>
      <c r="Y18" s="382">
        <v>0</v>
      </c>
      <c r="Z18" s="382">
        <v>1</v>
      </c>
      <c r="AA18" s="382">
        <v>3</v>
      </c>
      <c r="AB18" s="382">
        <v>6</v>
      </c>
      <c r="AC18" s="382">
        <v>2</v>
      </c>
      <c r="AD18" s="386">
        <v>1621</v>
      </c>
      <c r="AE18" s="386">
        <v>5</v>
      </c>
      <c r="AF18" s="386">
        <v>3</v>
      </c>
      <c r="AG18" s="386">
        <v>8</v>
      </c>
    </row>
    <row r="19" spans="1:33" x14ac:dyDescent="0.25">
      <c r="A19" s="381" t="s">
        <v>100</v>
      </c>
      <c r="B19" s="387" t="s">
        <v>101</v>
      </c>
      <c r="C19" s="383">
        <v>2239</v>
      </c>
      <c r="D19" s="383">
        <v>0</v>
      </c>
      <c r="E19" s="383">
        <v>144</v>
      </c>
      <c r="F19" s="383">
        <v>151</v>
      </c>
      <c r="G19" s="383">
        <v>673</v>
      </c>
      <c r="H19" s="383">
        <v>3207</v>
      </c>
      <c r="I19" s="382">
        <v>2534</v>
      </c>
      <c r="J19" s="382">
        <v>4</v>
      </c>
      <c r="K19" s="384">
        <v>100.73</v>
      </c>
      <c r="L19" s="384">
        <v>98.69</v>
      </c>
      <c r="M19" s="384">
        <v>7.03</v>
      </c>
      <c r="N19" s="384">
        <v>106.4</v>
      </c>
      <c r="O19" s="385">
        <v>1793</v>
      </c>
      <c r="P19" s="382">
        <v>109.65</v>
      </c>
      <c r="Q19" s="382">
        <v>82.79</v>
      </c>
      <c r="R19" s="382">
        <v>54.59</v>
      </c>
      <c r="S19" s="382">
        <v>163.78</v>
      </c>
      <c r="T19" s="382">
        <v>236</v>
      </c>
      <c r="U19" s="382">
        <v>134.47</v>
      </c>
      <c r="V19" s="382">
        <v>377</v>
      </c>
      <c r="W19" s="382">
        <v>189.73</v>
      </c>
      <c r="X19" s="382">
        <v>59</v>
      </c>
      <c r="Y19" s="382">
        <v>0</v>
      </c>
      <c r="Z19" s="382">
        <v>2</v>
      </c>
      <c r="AA19" s="382">
        <v>2</v>
      </c>
      <c r="AB19" s="382">
        <v>46</v>
      </c>
      <c r="AC19" s="382">
        <v>19</v>
      </c>
      <c r="AD19" s="386">
        <v>2199</v>
      </c>
      <c r="AE19" s="386">
        <v>5</v>
      </c>
      <c r="AF19" s="386">
        <v>2</v>
      </c>
      <c r="AG19" s="386">
        <v>7</v>
      </c>
    </row>
    <row r="20" spans="1:33" x14ac:dyDescent="0.25">
      <c r="A20" s="381" t="s">
        <v>102</v>
      </c>
      <c r="B20" s="387" t="s">
        <v>103</v>
      </c>
      <c r="C20" s="383">
        <v>1706</v>
      </c>
      <c r="D20" s="383">
        <v>0</v>
      </c>
      <c r="E20" s="383">
        <v>122</v>
      </c>
      <c r="F20" s="383">
        <v>123</v>
      </c>
      <c r="G20" s="383">
        <v>174</v>
      </c>
      <c r="H20" s="383">
        <v>2125</v>
      </c>
      <c r="I20" s="382">
        <v>1951</v>
      </c>
      <c r="J20" s="382">
        <v>1</v>
      </c>
      <c r="K20" s="384">
        <v>93.76</v>
      </c>
      <c r="L20" s="384">
        <v>93.36</v>
      </c>
      <c r="M20" s="384">
        <v>4.25</v>
      </c>
      <c r="N20" s="384">
        <v>96.07</v>
      </c>
      <c r="O20" s="385">
        <v>1263</v>
      </c>
      <c r="P20" s="382">
        <v>109.55</v>
      </c>
      <c r="Q20" s="382">
        <v>97.81</v>
      </c>
      <c r="R20" s="382">
        <v>46.99</v>
      </c>
      <c r="S20" s="382">
        <v>154.83000000000001</v>
      </c>
      <c r="T20" s="382">
        <v>192</v>
      </c>
      <c r="U20" s="382">
        <v>114.78</v>
      </c>
      <c r="V20" s="382">
        <v>402</v>
      </c>
      <c r="W20" s="382">
        <v>108.81</v>
      </c>
      <c r="X20" s="382">
        <v>2</v>
      </c>
      <c r="Y20" s="382">
        <v>0</v>
      </c>
      <c r="Z20" s="382">
        <v>0</v>
      </c>
      <c r="AA20" s="382">
        <v>0</v>
      </c>
      <c r="AB20" s="382">
        <v>4</v>
      </c>
      <c r="AC20" s="382">
        <v>3</v>
      </c>
      <c r="AD20" s="386">
        <v>1699</v>
      </c>
      <c r="AE20" s="386">
        <v>5</v>
      </c>
      <c r="AF20" s="386">
        <v>4</v>
      </c>
      <c r="AG20" s="386">
        <v>9</v>
      </c>
    </row>
    <row r="21" spans="1:33" x14ac:dyDescent="0.25">
      <c r="A21" s="381" t="s">
        <v>104</v>
      </c>
      <c r="B21" s="387" t="s">
        <v>105</v>
      </c>
      <c r="C21" s="383">
        <v>4238</v>
      </c>
      <c r="D21" s="383">
        <v>61</v>
      </c>
      <c r="E21" s="383">
        <v>374</v>
      </c>
      <c r="F21" s="383">
        <v>466</v>
      </c>
      <c r="G21" s="383">
        <v>728</v>
      </c>
      <c r="H21" s="383">
        <v>5867</v>
      </c>
      <c r="I21" s="382">
        <v>5139</v>
      </c>
      <c r="J21" s="382">
        <v>0</v>
      </c>
      <c r="K21" s="384">
        <v>128.69999999999999</v>
      </c>
      <c r="L21" s="384">
        <v>115.73</v>
      </c>
      <c r="M21" s="384">
        <v>8.4</v>
      </c>
      <c r="N21" s="384">
        <v>132.88</v>
      </c>
      <c r="O21" s="385">
        <v>2979</v>
      </c>
      <c r="P21" s="382">
        <v>103.89</v>
      </c>
      <c r="Q21" s="382">
        <v>100.87</v>
      </c>
      <c r="R21" s="382">
        <v>58.05</v>
      </c>
      <c r="S21" s="382">
        <v>152.88</v>
      </c>
      <c r="T21" s="382">
        <v>692</v>
      </c>
      <c r="U21" s="382">
        <v>167.94</v>
      </c>
      <c r="V21" s="382">
        <v>751</v>
      </c>
      <c r="W21" s="382">
        <v>0</v>
      </c>
      <c r="X21" s="382">
        <v>0</v>
      </c>
      <c r="Y21" s="382">
        <v>0</v>
      </c>
      <c r="Z21" s="382">
        <v>11</v>
      </c>
      <c r="AA21" s="382">
        <v>5</v>
      </c>
      <c r="AB21" s="382">
        <v>14</v>
      </c>
      <c r="AC21" s="382">
        <v>29</v>
      </c>
      <c r="AD21" s="386">
        <v>4238</v>
      </c>
      <c r="AE21" s="386">
        <v>5</v>
      </c>
      <c r="AF21" s="386">
        <v>5</v>
      </c>
      <c r="AG21" s="386">
        <v>10</v>
      </c>
    </row>
    <row r="22" spans="1:33" x14ac:dyDescent="0.25">
      <c r="A22" s="381" t="s">
        <v>106</v>
      </c>
      <c r="B22" s="387" t="s">
        <v>107</v>
      </c>
      <c r="C22" s="383">
        <v>6933</v>
      </c>
      <c r="D22" s="383">
        <v>28</v>
      </c>
      <c r="E22" s="383">
        <v>620</v>
      </c>
      <c r="F22" s="383">
        <v>1124</v>
      </c>
      <c r="G22" s="383">
        <v>1386</v>
      </c>
      <c r="H22" s="383">
        <v>10091</v>
      </c>
      <c r="I22" s="382">
        <v>8705</v>
      </c>
      <c r="J22" s="382">
        <v>5</v>
      </c>
      <c r="K22" s="384">
        <v>129.75</v>
      </c>
      <c r="L22" s="384">
        <v>128.28</v>
      </c>
      <c r="M22" s="384">
        <v>12.21</v>
      </c>
      <c r="N22" s="384">
        <v>139.71</v>
      </c>
      <c r="O22" s="385">
        <v>5697</v>
      </c>
      <c r="P22" s="382">
        <v>130.80000000000001</v>
      </c>
      <c r="Q22" s="382">
        <v>112.6</v>
      </c>
      <c r="R22" s="382">
        <v>54.55</v>
      </c>
      <c r="S22" s="382">
        <v>178.32</v>
      </c>
      <c r="T22" s="382">
        <v>970</v>
      </c>
      <c r="U22" s="382">
        <v>207.61</v>
      </c>
      <c r="V22" s="382">
        <v>976</v>
      </c>
      <c r="W22" s="382">
        <v>245.66</v>
      </c>
      <c r="X22" s="382">
        <v>20</v>
      </c>
      <c r="Y22" s="382">
        <v>0</v>
      </c>
      <c r="Z22" s="382">
        <v>2</v>
      </c>
      <c r="AA22" s="382">
        <v>4</v>
      </c>
      <c r="AB22" s="382">
        <v>94</v>
      </c>
      <c r="AC22" s="382">
        <v>20</v>
      </c>
      <c r="AD22" s="386">
        <v>6678</v>
      </c>
      <c r="AE22" s="386">
        <v>11</v>
      </c>
      <c r="AF22" s="386">
        <v>10</v>
      </c>
      <c r="AG22" s="386">
        <v>21</v>
      </c>
    </row>
    <row r="23" spans="1:33" x14ac:dyDescent="0.25">
      <c r="A23" s="381" t="s">
        <v>108</v>
      </c>
      <c r="B23" s="387" t="s">
        <v>109</v>
      </c>
      <c r="C23" s="383">
        <v>2850</v>
      </c>
      <c r="D23" s="383">
        <v>0</v>
      </c>
      <c r="E23" s="383">
        <v>305</v>
      </c>
      <c r="F23" s="383">
        <v>672</v>
      </c>
      <c r="G23" s="383">
        <v>253</v>
      </c>
      <c r="H23" s="383">
        <v>4080</v>
      </c>
      <c r="I23" s="382">
        <v>3827</v>
      </c>
      <c r="J23" s="382">
        <v>2</v>
      </c>
      <c r="K23" s="384">
        <v>86.16</v>
      </c>
      <c r="L23" s="384">
        <v>83.12</v>
      </c>
      <c r="M23" s="384">
        <v>5.88</v>
      </c>
      <c r="N23" s="384">
        <v>88.76</v>
      </c>
      <c r="O23" s="385">
        <v>1926</v>
      </c>
      <c r="P23" s="382">
        <v>86.33</v>
      </c>
      <c r="Q23" s="382">
        <v>82.33</v>
      </c>
      <c r="R23" s="382">
        <v>34.1</v>
      </c>
      <c r="S23" s="382">
        <v>115.83</v>
      </c>
      <c r="T23" s="382">
        <v>963</v>
      </c>
      <c r="U23" s="382">
        <v>94.05</v>
      </c>
      <c r="V23" s="382">
        <v>821</v>
      </c>
      <c r="W23" s="382">
        <v>0</v>
      </c>
      <c r="X23" s="382">
        <v>0</v>
      </c>
      <c r="Y23" s="382">
        <v>24</v>
      </c>
      <c r="Z23" s="382">
        <v>1</v>
      </c>
      <c r="AA23" s="382">
        <v>10</v>
      </c>
      <c r="AB23" s="382">
        <v>8</v>
      </c>
      <c r="AC23" s="382">
        <v>2</v>
      </c>
      <c r="AD23" s="386">
        <v>2848</v>
      </c>
      <c r="AE23" s="386">
        <v>18</v>
      </c>
      <c r="AF23" s="386">
        <v>9</v>
      </c>
      <c r="AG23" s="386">
        <v>27</v>
      </c>
    </row>
    <row r="24" spans="1:33" x14ac:dyDescent="0.25">
      <c r="A24" s="381" t="s">
        <v>110</v>
      </c>
      <c r="B24" s="387" t="s">
        <v>111</v>
      </c>
      <c r="C24" s="383">
        <v>502</v>
      </c>
      <c r="D24" s="383">
        <v>0</v>
      </c>
      <c r="E24" s="383">
        <v>113</v>
      </c>
      <c r="F24" s="383">
        <v>224</v>
      </c>
      <c r="G24" s="383">
        <v>12</v>
      </c>
      <c r="H24" s="383">
        <v>851</v>
      </c>
      <c r="I24" s="382">
        <v>839</v>
      </c>
      <c r="J24" s="382">
        <v>5</v>
      </c>
      <c r="K24" s="384">
        <v>80.400000000000006</v>
      </c>
      <c r="L24" s="384">
        <v>77.34</v>
      </c>
      <c r="M24" s="384">
        <v>5.69</v>
      </c>
      <c r="N24" s="384">
        <v>83.73</v>
      </c>
      <c r="O24" s="385">
        <v>449</v>
      </c>
      <c r="P24" s="382">
        <v>82.13</v>
      </c>
      <c r="Q24" s="382">
        <v>81.540000000000006</v>
      </c>
      <c r="R24" s="382">
        <v>41.65</v>
      </c>
      <c r="S24" s="382">
        <v>123.78</v>
      </c>
      <c r="T24" s="382">
        <v>301</v>
      </c>
      <c r="U24" s="382">
        <v>108.65</v>
      </c>
      <c r="V24" s="382">
        <v>27</v>
      </c>
      <c r="W24" s="382">
        <v>0</v>
      </c>
      <c r="X24" s="382">
        <v>0</v>
      </c>
      <c r="Y24" s="382">
        <v>0</v>
      </c>
      <c r="Z24" s="382">
        <v>0</v>
      </c>
      <c r="AA24" s="382">
        <v>0</v>
      </c>
      <c r="AB24" s="382">
        <v>0</v>
      </c>
      <c r="AC24" s="382">
        <v>0</v>
      </c>
      <c r="AD24" s="386">
        <v>491</v>
      </c>
      <c r="AE24" s="386">
        <v>0</v>
      </c>
      <c r="AF24" s="386">
        <v>0</v>
      </c>
      <c r="AG24" s="386">
        <v>0</v>
      </c>
    </row>
    <row r="25" spans="1:33" x14ac:dyDescent="0.25">
      <c r="A25" s="381" t="s">
        <v>112</v>
      </c>
      <c r="B25" s="387" t="s">
        <v>113</v>
      </c>
      <c r="C25" s="383">
        <v>5293</v>
      </c>
      <c r="D25" s="383">
        <v>0</v>
      </c>
      <c r="E25" s="383">
        <v>221</v>
      </c>
      <c r="F25" s="383">
        <v>351</v>
      </c>
      <c r="G25" s="383">
        <v>644</v>
      </c>
      <c r="H25" s="383">
        <v>6509</v>
      </c>
      <c r="I25" s="382">
        <v>5865</v>
      </c>
      <c r="J25" s="382">
        <v>0</v>
      </c>
      <c r="K25" s="384">
        <v>111.78</v>
      </c>
      <c r="L25" s="384">
        <v>112.24</v>
      </c>
      <c r="M25" s="384">
        <v>7.03</v>
      </c>
      <c r="N25" s="384">
        <v>114.8</v>
      </c>
      <c r="O25" s="385">
        <v>5069</v>
      </c>
      <c r="P25" s="382">
        <v>93.07</v>
      </c>
      <c r="Q25" s="382">
        <v>93.05</v>
      </c>
      <c r="R25" s="382">
        <v>41.53</v>
      </c>
      <c r="S25" s="382">
        <v>133.69</v>
      </c>
      <c r="T25" s="382">
        <v>501</v>
      </c>
      <c r="U25" s="382">
        <v>129.11000000000001</v>
      </c>
      <c r="V25" s="382">
        <v>171</v>
      </c>
      <c r="W25" s="382">
        <v>0</v>
      </c>
      <c r="X25" s="382">
        <v>0</v>
      </c>
      <c r="Y25" s="382">
        <v>0</v>
      </c>
      <c r="Z25" s="382">
        <v>0</v>
      </c>
      <c r="AA25" s="382">
        <v>0</v>
      </c>
      <c r="AB25" s="382">
        <v>7</v>
      </c>
      <c r="AC25" s="382">
        <v>1</v>
      </c>
      <c r="AD25" s="386">
        <v>5293</v>
      </c>
      <c r="AE25" s="386">
        <v>22</v>
      </c>
      <c r="AF25" s="386">
        <v>34</v>
      </c>
      <c r="AG25" s="386">
        <v>56</v>
      </c>
    </row>
    <row r="26" spans="1:33" x14ac:dyDescent="0.25">
      <c r="A26" s="381" t="s">
        <v>114</v>
      </c>
      <c r="B26" s="387" t="s">
        <v>115</v>
      </c>
      <c r="C26" s="383">
        <v>12201</v>
      </c>
      <c r="D26" s="383">
        <v>312</v>
      </c>
      <c r="E26" s="383">
        <v>386</v>
      </c>
      <c r="F26" s="383">
        <v>909</v>
      </c>
      <c r="G26" s="383">
        <v>959</v>
      </c>
      <c r="H26" s="383">
        <v>14767</v>
      </c>
      <c r="I26" s="382">
        <v>13808</v>
      </c>
      <c r="J26" s="382">
        <v>0</v>
      </c>
      <c r="K26" s="384">
        <v>113.97</v>
      </c>
      <c r="L26" s="384">
        <v>112.55</v>
      </c>
      <c r="M26" s="384">
        <v>4.8099999999999996</v>
      </c>
      <c r="N26" s="384">
        <v>115.87</v>
      </c>
      <c r="O26" s="385">
        <v>11172</v>
      </c>
      <c r="P26" s="382">
        <v>98.21</v>
      </c>
      <c r="Q26" s="382">
        <v>94.17</v>
      </c>
      <c r="R26" s="382">
        <v>30.42</v>
      </c>
      <c r="S26" s="382">
        <v>127.05</v>
      </c>
      <c r="T26" s="382">
        <v>1132</v>
      </c>
      <c r="U26" s="382">
        <v>146.1</v>
      </c>
      <c r="V26" s="382">
        <v>750</v>
      </c>
      <c r="W26" s="382">
        <v>150.16999999999999</v>
      </c>
      <c r="X26" s="382">
        <v>2</v>
      </c>
      <c r="Y26" s="382">
        <v>0</v>
      </c>
      <c r="Z26" s="382">
        <v>8</v>
      </c>
      <c r="AA26" s="382">
        <v>0</v>
      </c>
      <c r="AB26" s="382">
        <v>68</v>
      </c>
      <c r="AC26" s="382">
        <v>28</v>
      </c>
      <c r="AD26" s="386">
        <v>12189</v>
      </c>
      <c r="AE26" s="386">
        <v>72</v>
      </c>
      <c r="AF26" s="386">
        <v>11</v>
      </c>
      <c r="AG26" s="386">
        <v>83</v>
      </c>
    </row>
    <row r="27" spans="1:33" x14ac:dyDescent="0.25">
      <c r="A27" s="381" t="s">
        <v>116</v>
      </c>
      <c r="B27" s="387" t="s">
        <v>117</v>
      </c>
      <c r="C27" s="383">
        <v>943</v>
      </c>
      <c r="D27" s="383">
        <v>0</v>
      </c>
      <c r="E27" s="383">
        <v>260</v>
      </c>
      <c r="F27" s="383">
        <v>154</v>
      </c>
      <c r="G27" s="383">
        <v>78</v>
      </c>
      <c r="H27" s="383">
        <v>1435</v>
      </c>
      <c r="I27" s="382">
        <v>1357</v>
      </c>
      <c r="J27" s="382">
        <v>4</v>
      </c>
      <c r="K27" s="384">
        <v>87.61</v>
      </c>
      <c r="L27" s="384">
        <v>85.19</v>
      </c>
      <c r="M27" s="384">
        <v>3.13</v>
      </c>
      <c r="N27" s="384">
        <v>89.5</v>
      </c>
      <c r="O27" s="385">
        <v>839</v>
      </c>
      <c r="P27" s="382">
        <v>122.73</v>
      </c>
      <c r="Q27" s="382">
        <v>74.28</v>
      </c>
      <c r="R27" s="382">
        <v>55.14</v>
      </c>
      <c r="S27" s="382">
        <v>176.05</v>
      </c>
      <c r="T27" s="382">
        <v>363</v>
      </c>
      <c r="U27" s="382">
        <v>92.93</v>
      </c>
      <c r="V27" s="382">
        <v>81</v>
      </c>
      <c r="W27" s="382">
        <v>147.16</v>
      </c>
      <c r="X27" s="382">
        <v>4</v>
      </c>
      <c r="Y27" s="382">
        <v>0</v>
      </c>
      <c r="Z27" s="382">
        <v>0</v>
      </c>
      <c r="AA27" s="382">
        <v>5</v>
      </c>
      <c r="AB27" s="382">
        <v>9</v>
      </c>
      <c r="AC27" s="382">
        <v>7</v>
      </c>
      <c r="AD27" s="386">
        <v>940</v>
      </c>
      <c r="AE27" s="386">
        <v>29</v>
      </c>
      <c r="AF27" s="386">
        <v>5</v>
      </c>
      <c r="AG27" s="386">
        <v>34</v>
      </c>
    </row>
    <row r="28" spans="1:33" x14ac:dyDescent="0.25">
      <c r="A28" s="381" t="s">
        <v>118</v>
      </c>
      <c r="B28" s="387" t="s">
        <v>119</v>
      </c>
      <c r="C28" s="383">
        <v>8969</v>
      </c>
      <c r="D28" s="383">
        <v>0</v>
      </c>
      <c r="E28" s="383">
        <v>359</v>
      </c>
      <c r="F28" s="383">
        <v>2125</v>
      </c>
      <c r="G28" s="383">
        <v>497</v>
      </c>
      <c r="H28" s="383">
        <v>11950</v>
      </c>
      <c r="I28" s="382">
        <v>11453</v>
      </c>
      <c r="J28" s="382">
        <v>6</v>
      </c>
      <c r="K28" s="384">
        <v>100.27</v>
      </c>
      <c r="L28" s="384">
        <v>100.54</v>
      </c>
      <c r="M28" s="384">
        <v>4.1399999999999997</v>
      </c>
      <c r="N28" s="384">
        <v>103.86</v>
      </c>
      <c r="O28" s="385">
        <v>8195</v>
      </c>
      <c r="P28" s="382">
        <v>93.43</v>
      </c>
      <c r="Q28" s="382">
        <v>94.27</v>
      </c>
      <c r="R28" s="382">
        <v>15.27</v>
      </c>
      <c r="S28" s="382">
        <v>108.57</v>
      </c>
      <c r="T28" s="382">
        <v>2229</v>
      </c>
      <c r="U28" s="382">
        <v>132.83000000000001</v>
      </c>
      <c r="V28" s="382">
        <v>657</v>
      </c>
      <c r="W28" s="382">
        <v>119.51</v>
      </c>
      <c r="X28" s="382">
        <v>77</v>
      </c>
      <c r="Y28" s="382">
        <v>0</v>
      </c>
      <c r="Z28" s="382">
        <v>24</v>
      </c>
      <c r="AA28" s="382">
        <v>15</v>
      </c>
      <c r="AB28" s="382">
        <v>59</v>
      </c>
      <c r="AC28" s="382">
        <v>12</v>
      </c>
      <c r="AD28" s="386">
        <v>8883</v>
      </c>
      <c r="AE28" s="386">
        <v>6</v>
      </c>
      <c r="AF28" s="386">
        <v>77</v>
      </c>
      <c r="AG28" s="386">
        <v>83</v>
      </c>
    </row>
    <row r="29" spans="1:33" x14ac:dyDescent="0.25">
      <c r="A29" s="381" t="s">
        <v>120</v>
      </c>
      <c r="B29" s="387" t="s">
        <v>121</v>
      </c>
      <c r="C29" s="383">
        <v>10587</v>
      </c>
      <c r="D29" s="383">
        <v>0</v>
      </c>
      <c r="E29" s="383">
        <v>401</v>
      </c>
      <c r="F29" s="383">
        <v>1097</v>
      </c>
      <c r="G29" s="383">
        <v>1051</v>
      </c>
      <c r="H29" s="383">
        <v>13136</v>
      </c>
      <c r="I29" s="382">
        <v>12085</v>
      </c>
      <c r="J29" s="382">
        <v>2</v>
      </c>
      <c r="K29" s="384">
        <v>98.79</v>
      </c>
      <c r="L29" s="384">
        <v>98.17</v>
      </c>
      <c r="M29" s="384">
        <v>8.42</v>
      </c>
      <c r="N29" s="384">
        <v>104.83</v>
      </c>
      <c r="O29" s="385">
        <v>9243</v>
      </c>
      <c r="P29" s="382">
        <v>98.09</v>
      </c>
      <c r="Q29" s="382">
        <v>92.11</v>
      </c>
      <c r="R29" s="382">
        <v>43.86</v>
      </c>
      <c r="S29" s="382">
        <v>140.6</v>
      </c>
      <c r="T29" s="382">
        <v>1297</v>
      </c>
      <c r="U29" s="382">
        <v>127.69</v>
      </c>
      <c r="V29" s="382">
        <v>1007</v>
      </c>
      <c r="W29" s="382">
        <v>102.74</v>
      </c>
      <c r="X29" s="382">
        <v>5</v>
      </c>
      <c r="Y29" s="382">
        <v>0</v>
      </c>
      <c r="Z29" s="382">
        <v>4</v>
      </c>
      <c r="AA29" s="382">
        <v>4</v>
      </c>
      <c r="AB29" s="382">
        <v>91</v>
      </c>
      <c r="AC29" s="382">
        <v>14</v>
      </c>
      <c r="AD29" s="386">
        <v>10504</v>
      </c>
      <c r="AE29" s="386">
        <v>60</v>
      </c>
      <c r="AF29" s="386">
        <v>18</v>
      </c>
      <c r="AG29" s="386">
        <v>78</v>
      </c>
    </row>
    <row r="30" spans="1:33" x14ac:dyDescent="0.25">
      <c r="A30" s="381" t="s">
        <v>122</v>
      </c>
      <c r="B30" s="387" t="s">
        <v>123</v>
      </c>
      <c r="C30" s="383">
        <v>12304</v>
      </c>
      <c r="D30" s="383">
        <v>47</v>
      </c>
      <c r="E30" s="383">
        <v>120</v>
      </c>
      <c r="F30" s="383">
        <v>1300</v>
      </c>
      <c r="G30" s="383">
        <v>1147</v>
      </c>
      <c r="H30" s="383">
        <v>14918</v>
      </c>
      <c r="I30" s="382">
        <v>13771</v>
      </c>
      <c r="J30" s="382">
        <v>50</v>
      </c>
      <c r="K30" s="384">
        <v>110.94</v>
      </c>
      <c r="L30" s="384">
        <v>108.44</v>
      </c>
      <c r="M30" s="384">
        <v>10.37</v>
      </c>
      <c r="N30" s="384">
        <v>120.57</v>
      </c>
      <c r="O30" s="385">
        <v>10025</v>
      </c>
      <c r="P30" s="382">
        <v>98.09</v>
      </c>
      <c r="Q30" s="382">
        <v>96.37</v>
      </c>
      <c r="R30" s="382">
        <v>28.44</v>
      </c>
      <c r="S30" s="382">
        <v>125.86</v>
      </c>
      <c r="T30" s="382">
        <v>1294</v>
      </c>
      <c r="U30" s="382">
        <v>158.01</v>
      </c>
      <c r="V30" s="382">
        <v>1329</v>
      </c>
      <c r="W30" s="382">
        <v>0</v>
      </c>
      <c r="X30" s="382">
        <v>0</v>
      </c>
      <c r="Y30" s="382">
        <v>0</v>
      </c>
      <c r="Z30" s="382">
        <v>8</v>
      </c>
      <c r="AA30" s="382">
        <v>11</v>
      </c>
      <c r="AB30" s="382">
        <v>154</v>
      </c>
      <c r="AC30" s="382">
        <v>22</v>
      </c>
      <c r="AD30" s="386">
        <v>11412</v>
      </c>
      <c r="AE30" s="386">
        <v>96</v>
      </c>
      <c r="AF30" s="386">
        <v>232</v>
      </c>
      <c r="AG30" s="386">
        <v>328</v>
      </c>
    </row>
    <row r="31" spans="1:33" x14ac:dyDescent="0.25">
      <c r="A31" s="381" t="s">
        <v>124</v>
      </c>
      <c r="B31" s="387" t="s">
        <v>125</v>
      </c>
      <c r="C31" s="383">
        <v>34143</v>
      </c>
      <c r="D31" s="383">
        <v>624</v>
      </c>
      <c r="E31" s="383">
        <v>9642</v>
      </c>
      <c r="F31" s="383">
        <v>4380</v>
      </c>
      <c r="G31" s="383">
        <v>3117</v>
      </c>
      <c r="H31" s="383">
        <v>51906</v>
      </c>
      <c r="I31" s="382">
        <v>48789</v>
      </c>
      <c r="J31" s="382">
        <v>431</v>
      </c>
      <c r="K31" s="384">
        <v>92.78</v>
      </c>
      <c r="L31" s="384">
        <v>91.78</v>
      </c>
      <c r="M31" s="384">
        <v>7.34</v>
      </c>
      <c r="N31" s="384">
        <v>98.28</v>
      </c>
      <c r="O31" s="385">
        <v>30611</v>
      </c>
      <c r="P31" s="382">
        <v>104.98</v>
      </c>
      <c r="Q31" s="382">
        <v>113.95</v>
      </c>
      <c r="R31" s="382">
        <v>94.03</v>
      </c>
      <c r="S31" s="382">
        <v>185.08</v>
      </c>
      <c r="T31" s="382">
        <v>11774</v>
      </c>
      <c r="U31" s="382">
        <v>115.1</v>
      </c>
      <c r="V31" s="382">
        <v>1479</v>
      </c>
      <c r="W31" s="382">
        <v>190.5</v>
      </c>
      <c r="X31" s="382">
        <v>120</v>
      </c>
      <c r="Y31" s="382">
        <v>30</v>
      </c>
      <c r="Z31" s="382">
        <v>21</v>
      </c>
      <c r="AA31" s="382">
        <v>48</v>
      </c>
      <c r="AB31" s="382">
        <v>33</v>
      </c>
      <c r="AC31" s="382">
        <v>140</v>
      </c>
      <c r="AD31" s="386">
        <v>32500</v>
      </c>
      <c r="AE31" s="386">
        <v>162</v>
      </c>
      <c r="AF31" s="386">
        <v>100</v>
      </c>
      <c r="AG31" s="386">
        <v>262</v>
      </c>
    </row>
    <row r="32" spans="1:33" x14ac:dyDescent="0.25">
      <c r="A32" s="381" t="s">
        <v>126</v>
      </c>
      <c r="B32" s="387" t="s">
        <v>127</v>
      </c>
      <c r="C32" s="383">
        <v>2046</v>
      </c>
      <c r="D32" s="383">
        <v>0</v>
      </c>
      <c r="E32" s="383">
        <v>109</v>
      </c>
      <c r="F32" s="383">
        <v>1377</v>
      </c>
      <c r="G32" s="383">
        <v>350</v>
      </c>
      <c r="H32" s="383">
        <v>3882</v>
      </c>
      <c r="I32" s="382">
        <v>3532</v>
      </c>
      <c r="J32" s="382">
        <v>0</v>
      </c>
      <c r="K32" s="384">
        <v>87.66</v>
      </c>
      <c r="L32" s="384">
        <v>86.95</v>
      </c>
      <c r="M32" s="384">
        <v>4.16</v>
      </c>
      <c r="N32" s="384">
        <v>89.91</v>
      </c>
      <c r="O32" s="385">
        <v>1617</v>
      </c>
      <c r="P32" s="382">
        <v>77.48</v>
      </c>
      <c r="Q32" s="382">
        <v>76.81</v>
      </c>
      <c r="R32" s="382">
        <v>19.670000000000002</v>
      </c>
      <c r="S32" s="382">
        <v>96.6</v>
      </c>
      <c r="T32" s="382">
        <v>1481</v>
      </c>
      <c r="U32" s="382">
        <v>108.59</v>
      </c>
      <c r="V32" s="382">
        <v>336</v>
      </c>
      <c r="W32" s="382">
        <v>0</v>
      </c>
      <c r="X32" s="382">
        <v>0</v>
      </c>
      <c r="Y32" s="382">
        <v>0</v>
      </c>
      <c r="Z32" s="382">
        <v>8</v>
      </c>
      <c r="AA32" s="382">
        <v>3</v>
      </c>
      <c r="AB32" s="382">
        <v>30</v>
      </c>
      <c r="AC32" s="382">
        <v>4</v>
      </c>
      <c r="AD32" s="386">
        <v>2046</v>
      </c>
      <c r="AE32" s="386">
        <v>7</v>
      </c>
      <c r="AF32" s="386">
        <v>8</v>
      </c>
      <c r="AG32" s="386">
        <v>15</v>
      </c>
    </row>
    <row r="33" spans="1:33" x14ac:dyDescent="0.25">
      <c r="A33" s="381" t="s">
        <v>128</v>
      </c>
      <c r="B33" s="387" t="s">
        <v>129</v>
      </c>
      <c r="C33" s="383">
        <v>10206</v>
      </c>
      <c r="D33" s="383">
        <v>0</v>
      </c>
      <c r="E33" s="383">
        <v>493</v>
      </c>
      <c r="F33" s="383">
        <v>793</v>
      </c>
      <c r="G33" s="383">
        <v>211</v>
      </c>
      <c r="H33" s="383">
        <v>11703</v>
      </c>
      <c r="I33" s="382">
        <v>11492</v>
      </c>
      <c r="J33" s="382">
        <v>0</v>
      </c>
      <c r="K33" s="384">
        <v>78.81</v>
      </c>
      <c r="L33" s="384">
        <v>75.27</v>
      </c>
      <c r="M33" s="384">
        <v>2.2400000000000002</v>
      </c>
      <c r="N33" s="384">
        <v>80.8</v>
      </c>
      <c r="O33" s="385">
        <v>9012</v>
      </c>
      <c r="P33" s="382">
        <v>88.38</v>
      </c>
      <c r="Q33" s="382">
        <v>72.47</v>
      </c>
      <c r="R33" s="382">
        <v>58.03</v>
      </c>
      <c r="S33" s="382">
        <v>144.96</v>
      </c>
      <c r="T33" s="382">
        <v>1078</v>
      </c>
      <c r="U33" s="382">
        <v>95.36</v>
      </c>
      <c r="V33" s="382">
        <v>1102</v>
      </c>
      <c r="W33" s="382">
        <v>132.6</v>
      </c>
      <c r="X33" s="382">
        <v>120</v>
      </c>
      <c r="Y33" s="382">
        <v>0</v>
      </c>
      <c r="Z33" s="382">
        <v>63</v>
      </c>
      <c r="AA33" s="382">
        <v>17</v>
      </c>
      <c r="AB33" s="382">
        <v>4</v>
      </c>
      <c r="AC33" s="382">
        <v>7</v>
      </c>
      <c r="AD33" s="386">
        <v>10198</v>
      </c>
      <c r="AE33" s="386">
        <v>74</v>
      </c>
      <c r="AF33" s="386">
        <v>18</v>
      </c>
      <c r="AG33" s="386">
        <v>92</v>
      </c>
    </row>
    <row r="34" spans="1:33" x14ac:dyDescent="0.25">
      <c r="A34" s="381" t="s">
        <v>130</v>
      </c>
      <c r="B34" s="387" t="s">
        <v>131</v>
      </c>
      <c r="C34" s="383">
        <v>1677</v>
      </c>
      <c r="D34" s="383">
        <v>0</v>
      </c>
      <c r="E34" s="383">
        <v>385</v>
      </c>
      <c r="F34" s="383">
        <v>199</v>
      </c>
      <c r="G34" s="383">
        <v>130</v>
      </c>
      <c r="H34" s="383">
        <v>2391</v>
      </c>
      <c r="I34" s="382">
        <v>2261</v>
      </c>
      <c r="J34" s="382">
        <v>0</v>
      </c>
      <c r="K34" s="384">
        <v>86.46</v>
      </c>
      <c r="L34" s="384">
        <v>83.82</v>
      </c>
      <c r="M34" s="384">
        <v>4.4400000000000004</v>
      </c>
      <c r="N34" s="384">
        <v>89.83</v>
      </c>
      <c r="O34" s="385">
        <v>1217</v>
      </c>
      <c r="P34" s="382">
        <v>102.97</v>
      </c>
      <c r="Q34" s="382">
        <v>83.39</v>
      </c>
      <c r="R34" s="382">
        <v>58.3</v>
      </c>
      <c r="S34" s="382">
        <v>158.51</v>
      </c>
      <c r="T34" s="382">
        <v>527</v>
      </c>
      <c r="U34" s="382">
        <v>104.57</v>
      </c>
      <c r="V34" s="382">
        <v>331</v>
      </c>
      <c r="W34" s="382">
        <v>0</v>
      </c>
      <c r="X34" s="382">
        <v>0</v>
      </c>
      <c r="Y34" s="382">
        <v>1</v>
      </c>
      <c r="Z34" s="382">
        <v>0</v>
      </c>
      <c r="AA34" s="382">
        <v>7</v>
      </c>
      <c r="AB34" s="382">
        <v>8</v>
      </c>
      <c r="AC34" s="382">
        <v>8</v>
      </c>
      <c r="AD34" s="386">
        <v>1619</v>
      </c>
      <c r="AE34" s="386">
        <v>6</v>
      </c>
      <c r="AF34" s="386">
        <v>12</v>
      </c>
      <c r="AG34" s="386">
        <v>18</v>
      </c>
    </row>
    <row r="35" spans="1:33" x14ac:dyDescent="0.25">
      <c r="A35" s="381" t="s">
        <v>132</v>
      </c>
      <c r="B35" s="387" t="s">
        <v>133</v>
      </c>
      <c r="C35" s="383">
        <v>752</v>
      </c>
      <c r="D35" s="383">
        <v>0</v>
      </c>
      <c r="E35" s="383">
        <v>56</v>
      </c>
      <c r="F35" s="383">
        <v>261</v>
      </c>
      <c r="G35" s="383">
        <v>21</v>
      </c>
      <c r="H35" s="383">
        <v>1090</v>
      </c>
      <c r="I35" s="382">
        <v>1069</v>
      </c>
      <c r="J35" s="382">
        <v>0</v>
      </c>
      <c r="K35" s="384">
        <v>89.86</v>
      </c>
      <c r="L35" s="384">
        <v>87.49</v>
      </c>
      <c r="M35" s="384">
        <v>3.46</v>
      </c>
      <c r="N35" s="384">
        <v>91.89</v>
      </c>
      <c r="O35" s="385">
        <v>654</v>
      </c>
      <c r="P35" s="382">
        <v>91.56</v>
      </c>
      <c r="Q35" s="382">
        <v>86.38</v>
      </c>
      <c r="R35" s="382">
        <v>14.75</v>
      </c>
      <c r="S35" s="382">
        <v>105.67</v>
      </c>
      <c r="T35" s="382">
        <v>300</v>
      </c>
      <c r="U35" s="382">
        <v>89.56</v>
      </c>
      <c r="V35" s="382">
        <v>63</v>
      </c>
      <c r="W35" s="382">
        <v>0</v>
      </c>
      <c r="X35" s="382">
        <v>0</v>
      </c>
      <c r="Y35" s="382">
        <v>0</v>
      </c>
      <c r="Z35" s="382">
        <v>1</v>
      </c>
      <c r="AA35" s="382">
        <v>5</v>
      </c>
      <c r="AB35" s="382">
        <v>0</v>
      </c>
      <c r="AC35" s="382">
        <v>1</v>
      </c>
      <c r="AD35" s="386">
        <v>743</v>
      </c>
      <c r="AE35" s="386">
        <v>17</v>
      </c>
      <c r="AF35" s="386">
        <v>3</v>
      </c>
      <c r="AG35" s="386">
        <v>20</v>
      </c>
    </row>
    <row r="36" spans="1:33" x14ac:dyDescent="0.25">
      <c r="A36" s="381" t="s">
        <v>134</v>
      </c>
      <c r="B36" s="387" t="s">
        <v>135</v>
      </c>
      <c r="C36" s="383">
        <v>20880</v>
      </c>
      <c r="D36" s="383">
        <v>0</v>
      </c>
      <c r="E36" s="383">
        <v>789</v>
      </c>
      <c r="F36" s="383">
        <v>3832</v>
      </c>
      <c r="G36" s="383">
        <v>405</v>
      </c>
      <c r="H36" s="383">
        <v>25906</v>
      </c>
      <c r="I36" s="382">
        <v>25501</v>
      </c>
      <c r="J36" s="382">
        <v>31</v>
      </c>
      <c r="K36" s="384">
        <v>78.02</v>
      </c>
      <c r="L36" s="384">
        <v>79.75</v>
      </c>
      <c r="M36" s="384">
        <v>8.25</v>
      </c>
      <c r="N36" s="384">
        <v>80.45</v>
      </c>
      <c r="O36" s="385">
        <v>17590</v>
      </c>
      <c r="P36" s="382">
        <v>75.31</v>
      </c>
      <c r="Q36" s="382">
        <v>71.8</v>
      </c>
      <c r="R36" s="382">
        <v>31.5</v>
      </c>
      <c r="S36" s="382">
        <v>105.96</v>
      </c>
      <c r="T36" s="382">
        <v>4524</v>
      </c>
      <c r="U36" s="382">
        <v>95.89</v>
      </c>
      <c r="V36" s="382">
        <v>3176</v>
      </c>
      <c r="W36" s="382">
        <v>183.48</v>
      </c>
      <c r="X36" s="382">
        <v>5</v>
      </c>
      <c r="Y36" s="382">
        <v>0</v>
      </c>
      <c r="Z36" s="382">
        <v>176</v>
      </c>
      <c r="AA36" s="382">
        <v>3</v>
      </c>
      <c r="AB36" s="382">
        <v>9</v>
      </c>
      <c r="AC36" s="382">
        <v>14</v>
      </c>
      <c r="AD36" s="386">
        <v>20845</v>
      </c>
      <c r="AE36" s="386">
        <v>75</v>
      </c>
      <c r="AF36" s="386">
        <v>165</v>
      </c>
      <c r="AG36" s="386">
        <v>240</v>
      </c>
    </row>
    <row r="37" spans="1:33" x14ac:dyDescent="0.25">
      <c r="A37" s="381" t="s">
        <v>136</v>
      </c>
      <c r="B37" s="387" t="s">
        <v>137</v>
      </c>
      <c r="C37" s="383">
        <v>4446</v>
      </c>
      <c r="D37" s="383">
        <v>3</v>
      </c>
      <c r="E37" s="383">
        <v>137</v>
      </c>
      <c r="F37" s="383">
        <v>930</v>
      </c>
      <c r="G37" s="383">
        <v>244</v>
      </c>
      <c r="H37" s="383">
        <v>5760</v>
      </c>
      <c r="I37" s="382">
        <v>5516</v>
      </c>
      <c r="J37" s="382">
        <v>0</v>
      </c>
      <c r="K37" s="384">
        <v>80.400000000000006</v>
      </c>
      <c r="L37" s="384">
        <v>77.650000000000006</v>
      </c>
      <c r="M37" s="384">
        <v>1.8</v>
      </c>
      <c r="N37" s="384">
        <v>82.16</v>
      </c>
      <c r="O37" s="385">
        <v>4025</v>
      </c>
      <c r="P37" s="382">
        <v>75.97</v>
      </c>
      <c r="Q37" s="382">
        <v>72.62</v>
      </c>
      <c r="R37" s="382">
        <v>19.25</v>
      </c>
      <c r="S37" s="382">
        <v>95.11</v>
      </c>
      <c r="T37" s="382">
        <v>1033</v>
      </c>
      <c r="U37" s="382">
        <v>103.22</v>
      </c>
      <c r="V37" s="382">
        <v>319</v>
      </c>
      <c r="W37" s="382">
        <v>268.58999999999997</v>
      </c>
      <c r="X37" s="382">
        <v>6</v>
      </c>
      <c r="Y37" s="382">
        <v>0</v>
      </c>
      <c r="Z37" s="382">
        <v>10</v>
      </c>
      <c r="AA37" s="382">
        <v>1</v>
      </c>
      <c r="AB37" s="382">
        <v>21</v>
      </c>
      <c r="AC37" s="382">
        <v>4</v>
      </c>
      <c r="AD37" s="386">
        <v>4410</v>
      </c>
      <c r="AE37" s="386">
        <v>4</v>
      </c>
      <c r="AF37" s="386">
        <v>13</v>
      </c>
      <c r="AG37" s="386">
        <v>17</v>
      </c>
    </row>
    <row r="38" spans="1:33" x14ac:dyDescent="0.25">
      <c r="A38" s="381" t="s">
        <v>138</v>
      </c>
      <c r="B38" s="387" t="s">
        <v>139</v>
      </c>
      <c r="C38" s="382">
        <v>6482</v>
      </c>
      <c r="D38" s="382">
        <v>19</v>
      </c>
      <c r="E38" s="382">
        <v>1241</v>
      </c>
      <c r="F38" s="382">
        <v>1268</v>
      </c>
      <c r="G38" s="382">
        <v>865</v>
      </c>
      <c r="H38" s="382">
        <v>9875</v>
      </c>
      <c r="I38" s="382">
        <v>9010</v>
      </c>
      <c r="J38" s="382">
        <v>1</v>
      </c>
      <c r="K38" s="382">
        <v>104.78</v>
      </c>
      <c r="L38" s="382">
        <v>103.33</v>
      </c>
      <c r="M38" s="382">
        <v>5.42</v>
      </c>
      <c r="N38" s="382">
        <v>108.57</v>
      </c>
      <c r="O38" s="385">
        <v>5543</v>
      </c>
      <c r="P38" s="382">
        <v>96.06</v>
      </c>
      <c r="Q38" s="382">
        <v>88.38</v>
      </c>
      <c r="R38" s="382">
        <v>38.78</v>
      </c>
      <c r="S38" s="382">
        <v>133.05000000000001</v>
      </c>
      <c r="T38" s="382">
        <v>1909</v>
      </c>
      <c r="U38" s="382">
        <v>141.81</v>
      </c>
      <c r="V38" s="382">
        <v>457</v>
      </c>
      <c r="W38" s="382">
        <v>415.58</v>
      </c>
      <c r="X38" s="382">
        <v>52</v>
      </c>
      <c r="Y38" s="382">
        <v>66</v>
      </c>
      <c r="Z38" s="382">
        <v>2</v>
      </c>
      <c r="AA38" s="382">
        <v>19</v>
      </c>
      <c r="AB38" s="382">
        <v>10</v>
      </c>
      <c r="AC38" s="382">
        <v>23</v>
      </c>
      <c r="AD38" s="382">
        <v>6020</v>
      </c>
      <c r="AE38" s="382">
        <v>16</v>
      </c>
      <c r="AF38" s="382">
        <v>13</v>
      </c>
      <c r="AG38" s="382">
        <v>29</v>
      </c>
    </row>
    <row r="39" spans="1:33" x14ac:dyDescent="0.25">
      <c r="A39" s="381" t="s">
        <v>140</v>
      </c>
      <c r="B39" s="387" t="s">
        <v>141</v>
      </c>
      <c r="C39" s="383">
        <v>7251</v>
      </c>
      <c r="D39" s="383">
        <v>4</v>
      </c>
      <c r="E39" s="383">
        <v>245</v>
      </c>
      <c r="F39" s="383">
        <v>536</v>
      </c>
      <c r="G39" s="383">
        <v>588</v>
      </c>
      <c r="H39" s="383">
        <v>8624</v>
      </c>
      <c r="I39" s="382">
        <v>8036</v>
      </c>
      <c r="J39" s="382">
        <v>5</v>
      </c>
      <c r="K39" s="384">
        <v>109.86</v>
      </c>
      <c r="L39" s="384">
        <v>109.84</v>
      </c>
      <c r="M39" s="384">
        <v>7.9</v>
      </c>
      <c r="N39" s="384">
        <v>112.36</v>
      </c>
      <c r="O39" s="385">
        <v>6739</v>
      </c>
      <c r="P39" s="382">
        <v>100.52</v>
      </c>
      <c r="Q39" s="382">
        <v>98.38</v>
      </c>
      <c r="R39" s="382">
        <v>36.42</v>
      </c>
      <c r="S39" s="382">
        <v>135.02000000000001</v>
      </c>
      <c r="T39" s="382">
        <v>776</v>
      </c>
      <c r="U39" s="382">
        <v>154.88</v>
      </c>
      <c r="V39" s="382">
        <v>435</v>
      </c>
      <c r="W39" s="382">
        <v>0</v>
      </c>
      <c r="X39" s="382">
        <v>0</v>
      </c>
      <c r="Y39" s="382">
        <v>0</v>
      </c>
      <c r="Z39" s="382">
        <v>22</v>
      </c>
      <c r="AA39" s="382">
        <v>3</v>
      </c>
      <c r="AB39" s="382">
        <v>48</v>
      </c>
      <c r="AC39" s="382">
        <v>13</v>
      </c>
      <c r="AD39" s="386">
        <v>7223</v>
      </c>
      <c r="AE39" s="386">
        <v>16</v>
      </c>
      <c r="AF39" s="386">
        <v>66</v>
      </c>
      <c r="AG39" s="386">
        <v>82</v>
      </c>
    </row>
    <row r="40" spans="1:33" x14ac:dyDescent="0.25">
      <c r="A40" s="381" t="s">
        <v>142</v>
      </c>
      <c r="B40" s="387" t="s">
        <v>143</v>
      </c>
      <c r="C40" s="383">
        <v>27542</v>
      </c>
      <c r="D40" s="383">
        <v>149</v>
      </c>
      <c r="E40" s="383">
        <v>1272</v>
      </c>
      <c r="F40" s="383">
        <v>2907</v>
      </c>
      <c r="G40" s="383">
        <v>589</v>
      </c>
      <c r="H40" s="383">
        <v>32459</v>
      </c>
      <c r="I40" s="382">
        <v>31870</v>
      </c>
      <c r="J40" s="382">
        <v>156</v>
      </c>
      <c r="K40" s="384">
        <v>79.14</v>
      </c>
      <c r="L40" s="384">
        <v>78.680000000000007</v>
      </c>
      <c r="M40" s="384">
        <v>5.76</v>
      </c>
      <c r="N40" s="384">
        <v>84.63</v>
      </c>
      <c r="O40" s="385">
        <v>25044</v>
      </c>
      <c r="P40" s="382">
        <v>81.31</v>
      </c>
      <c r="Q40" s="382">
        <v>77.099999999999994</v>
      </c>
      <c r="R40" s="382">
        <v>35.950000000000003</v>
      </c>
      <c r="S40" s="382">
        <v>116.91</v>
      </c>
      <c r="T40" s="382">
        <v>3476</v>
      </c>
      <c r="U40" s="382">
        <v>98.97</v>
      </c>
      <c r="V40" s="382">
        <v>2563</v>
      </c>
      <c r="W40" s="382">
        <v>154.30000000000001</v>
      </c>
      <c r="X40" s="382">
        <v>83</v>
      </c>
      <c r="Y40" s="382">
        <v>0</v>
      </c>
      <c r="Z40" s="382">
        <v>124</v>
      </c>
      <c r="AA40" s="382">
        <v>25</v>
      </c>
      <c r="AB40" s="382">
        <v>0</v>
      </c>
      <c r="AC40" s="382">
        <v>12</v>
      </c>
      <c r="AD40" s="386">
        <v>27526</v>
      </c>
      <c r="AE40" s="386">
        <v>241</v>
      </c>
      <c r="AF40" s="386">
        <v>414</v>
      </c>
      <c r="AG40" s="386">
        <v>655</v>
      </c>
    </row>
    <row r="41" spans="1:33" x14ac:dyDescent="0.25">
      <c r="A41" s="381" t="s">
        <v>144</v>
      </c>
      <c r="B41" s="387" t="s">
        <v>145</v>
      </c>
      <c r="C41" s="383">
        <v>9499</v>
      </c>
      <c r="D41" s="383">
        <v>33</v>
      </c>
      <c r="E41" s="383">
        <v>299</v>
      </c>
      <c r="F41" s="383">
        <v>713</v>
      </c>
      <c r="G41" s="383">
        <v>263</v>
      </c>
      <c r="H41" s="383">
        <v>10807</v>
      </c>
      <c r="I41" s="382">
        <v>10544</v>
      </c>
      <c r="J41" s="382">
        <v>0</v>
      </c>
      <c r="K41" s="384">
        <v>96.87</v>
      </c>
      <c r="L41" s="384">
        <v>97.18</v>
      </c>
      <c r="M41" s="384">
        <v>4.3</v>
      </c>
      <c r="N41" s="384">
        <v>97.96</v>
      </c>
      <c r="O41" s="385">
        <v>8823</v>
      </c>
      <c r="P41" s="382">
        <v>89.14</v>
      </c>
      <c r="Q41" s="382">
        <v>82.96</v>
      </c>
      <c r="R41" s="382">
        <v>39.5</v>
      </c>
      <c r="S41" s="382">
        <v>127.33</v>
      </c>
      <c r="T41" s="382">
        <v>847</v>
      </c>
      <c r="U41" s="382">
        <v>131.78</v>
      </c>
      <c r="V41" s="382">
        <v>623</v>
      </c>
      <c r="W41" s="382">
        <v>137.38999999999999</v>
      </c>
      <c r="X41" s="382">
        <v>25</v>
      </c>
      <c r="Y41" s="382">
        <v>0</v>
      </c>
      <c r="Z41" s="382">
        <v>24</v>
      </c>
      <c r="AA41" s="382">
        <v>5</v>
      </c>
      <c r="AB41" s="382">
        <v>12</v>
      </c>
      <c r="AC41" s="382">
        <v>6</v>
      </c>
      <c r="AD41" s="386">
        <v>9487</v>
      </c>
      <c r="AE41" s="386">
        <v>6</v>
      </c>
      <c r="AF41" s="386">
        <v>45</v>
      </c>
      <c r="AG41" s="386">
        <v>51</v>
      </c>
    </row>
    <row r="42" spans="1:33" x14ac:dyDescent="0.25">
      <c r="A42" s="381" t="s">
        <v>146</v>
      </c>
      <c r="B42" s="387" t="s">
        <v>147</v>
      </c>
      <c r="C42" s="383">
        <v>7203</v>
      </c>
      <c r="D42" s="383">
        <v>0</v>
      </c>
      <c r="E42" s="383">
        <v>211</v>
      </c>
      <c r="F42" s="383">
        <v>1020</v>
      </c>
      <c r="G42" s="383">
        <v>208</v>
      </c>
      <c r="H42" s="383">
        <v>8642</v>
      </c>
      <c r="I42" s="382">
        <v>8434</v>
      </c>
      <c r="J42" s="382">
        <v>1</v>
      </c>
      <c r="K42" s="384">
        <v>89.41</v>
      </c>
      <c r="L42" s="384">
        <v>89.42</v>
      </c>
      <c r="M42" s="384">
        <v>2.97</v>
      </c>
      <c r="N42" s="384">
        <v>90.1</v>
      </c>
      <c r="O42" s="385">
        <v>6736</v>
      </c>
      <c r="P42" s="382">
        <v>80.959999999999994</v>
      </c>
      <c r="Q42" s="382">
        <v>78.94</v>
      </c>
      <c r="R42" s="382">
        <v>24.53</v>
      </c>
      <c r="S42" s="382">
        <v>104.52</v>
      </c>
      <c r="T42" s="382">
        <v>1193</v>
      </c>
      <c r="U42" s="382">
        <v>112.4</v>
      </c>
      <c r="V42" s="382">
        <v>434</v>
      </c>
      <c r="W42" s="382">
        <v>0</v>
      </c>
      <c r="X42" s="382">
        <v>0</v>
      </c>
      <c r="Y42" s="382">
        <v>0</v>
      </c>
      <c r="Z42" s="382">
        <v>4</v>
      </c>
      <c r="AA42" s="382">
        <v>2</v>
      </c>
      <c r="AB42" s="382">
        <v>9</v>
      </c>
      <c r="AC42" s="382">
        <v>6</v>
      </c>
      <c r="AD42" s="386">
        <v>7199</v>
      </c>
      <c r="AE42" s="386">
        <v>27</v>
      </c>
      <c r="AF42" s="386">
        <v>15</v>
      </c>
      <c r="AG42" s="386">
        <v>42</v>
      </c>
    </row>
    <row r="43" spans="1:33" x14ac:dyDescent="0.25">
      <c r="A43" s="381" t="s">
        <v>148</v>
      </c>
      <c r="B43" s="387" t="s">
        <v>149</v>
      </c>
      <c r="C43" s="383">
        <v>15238</v>
      </c>
      <c r="D43" s="383">
        <v>668</v>
      </c>
      <c r="E43" s="383">
        <v>1059</v>
      </c>
      <c r="F43" s="383">
        <v>970</v>
      </c>
      <c r="G43" s="383">
        <v>2286</v>
      </c>
      <c r="H43" s="383">
        <v>20221</v>
      </c>
      <c r="I43" s="382">
        <v>17935</v>
      </c>
      <c r="J43" s="382">
        <v>138</v>
      </c>
      <c r="K43" s="384">
        <v>137.03</v>
      </c>
      <c r="L43" s="384">
        <v>129.26</v>
      </c>
      <c r="M43" s="384">
        <v>9.4</v>
      </c>
      <c r="N43" s="384">
        <v>143.37</v>
      </c>
      <c r="O43" s="385">
        <v>12264</v>
      </c>
      <c r="P43" s="382">
        <v>114.34</v>
      </c>
      <c r="Q43" s="382">
        <v>99.56</v>
      </c>
      <c r="R43" s="382">
        <v>57.24</v>
      </c>
      <c r="S43" s="382">
        <v>156.76</v>
      </c>
      <c r="T43" s="382">
        <v>1803</v>
      </c>
      <c r="U43" s="382">
        <v>203.81</v>
      </c>
      <c r="V43" s="382">
        <v>1344</v>
      </c>
      <c r="W43" s="382">
        <v>194.31</v>
      </c>
      <c r="X43" s="382">
        <v>40</v>
      </c>
      <c r="Y43" s="382">
        <v>0</v>
      </c>
      <c r="Z43" s="382">
        <v>7</v>
      </c>
      <c r="AA43" s="382">
        <v>15</v>
      </c>
      <c r="AB43" s="382">
        <v>57</v>
      </c>
      <c r="AC43" s="382">
        <v>79</v>
      </c>
      <c r="AD43" s="386">
        <v>13797</v>
      </c>
      <c r="AE43" s="386">
        <v>50</v>
      </c>
      <c r="AF43" s="386">
        <v>30</v>
      </c>
      <c r="AG43" s="386">
        <v>80</v>
      </c>
    </row>
    <row r="44" spans="1:33" x14ac:dyDescent="0.25">
      <c r="A44" s="381" t="s">
        <v>150</v>
      </c>
      <c r="B44" s="387" t="s">
        <v>151</v>
      </c>
      <c r="C44" s="383">
        <v>759</v>
      </c>
      <c r="D44" s="383">
        <v>7</v>
      </c>
      <c r="E44" s="383">
        <v>114</v>
      </c>
      <c r="F44" s="383">
        <v>169</v>
      </c>
      <c r="G44" s="383">
        <v>175</v>
      </c>
      <c r="H44" s="383">
        <v>1224</v>
      </c>
      <c r="I44" s="382">
        <v>1049</v>
      </c>
      <c r="J44" s="382">
        <v>1</v>
      </c>
      <c r="K44" s="384">
        <v>118.3</v>
      </c>
      <c r="L44" s="384">
        <v>117.34</v>
      </c>
      <c r="M44" s="384">
        <v>7.91</v>
      </c>
      <c r="N44" s="384">
        <v>124.28</v>
      </c>
      <c r="O44" s="385">
        <v>513</v>
      </c>
      <c r="P44" s="382">
        <v>94.9</v>
      </c>
      <c r="Q44" s="382">
        <v>93.22</v>
      </c>
      <c r="R44" s="382">
        <v>49.47</v>
      </c>
      <c r="S44" s="382">
        <v>137.04</v>
      </c>
      <c r="T44" s="382">
        <v>277</v>
      </c>
      <c r="U44" s="382">
        <v>143.12</v>
      </c>
      <c r="V44" s="382">
        <v>98</v>
      </c>
      <c r="W44" s="382">
        <v>0</v>
      </c>
      <c r="X44" s="382">
        <v>0</v>
      </c>
      <c r="Y44" s="382">
        <v>0</v>
      </c>
      <c r="Z44" s="382">
        <v>0</v>
      </c>
      <c r="AA44" s="382">
        <v>0</v>
      </c>
      <c r="AB44" s="382">
        <v>11</v>
      </c>
      <c r="AC44" s="382">
        <v>4</v>
      </c>
      <c r="AD44" s="386">
        <v>614</v>
      </c>
      <c r="AE44" s="386">
        <v>3</v>
      </c>
      <c r="AF44" s="386">
        <v>0</v>
      </c>
      <c r="AG44" s="386">
        <v>3</v>
      </c>
    </row>
    <row r="45" spans="1:33" x14ac:dyDescent="0.25">
      <c r="A45" s="381" t="s">
        <v>152</v>
      </c>
      <c r="B45" s="387" t="s">
        <v>153</v>
      </c>
      <c r="C45" s="383">
        <v>5040</v>
      </c>
      <c r="D45" s="383">
        <v>68</v>
      </c>
      <c r="E45" s="383">
        <v>1071</v>
      </c>
      <c r="F45" s="383">
        <v>818</v>
      </c>
      <c r="G45" s="383">
        <v>813</v>
      </c>
      <c r="H45" s="383">
        <v>7810</v>
      </c>
      <c r="I45" s="382">
        <v>6997</v>
      </c>
      <c r="J45" s="382">
        <v>11</v>
      </c>
      <c r="K45" s="384">
        <v>100.11</v>
      </c>
      <c r="L45" s="384">
        <v>94.18</v>
      </c>
      <c r="M45" s="384">
        <v>10.5</v>
      </c>
      <c r="N45" s="384">
        <v>108.3</v>
      </c>
      <c r="O45" s="385">
        <v>4310</v>
      </c>
      <c r="P45" s="382">
        <v>95.06</v>
      </c>
      <c r="Q45" s="382">
        <v>85.4</v>
      </c>
      <c r="R45" s="382">
        <v>57.21</v>
      </c>
      <c r="S45" s="382">
        <v>151.11000000000001</v>
      </c>
      <c r="T45" s="382">
        <v>1087</v>
      </c>
      <c r="U45" s="382">
        <v>160.26</v>
      </c>
      <c r="V45" s="382">
        <v>429</v>
      </c>
      <c r="W45" s="382">
        <v>0</v>
      </c>
      <c r="X45" s="382">
        <v>0</v>
      </c>
      <c r="Y45" s="382">
        <v>0</v>
      </c>
      <c r="Z45" s="382">
        <v>18</v>
      </c>
      <c r="AA45" s="382">
        <v>1</v>
      </c>
      <c r="AB45" s="382">
        <v>3</v>
      </c>
      <c r="AC45" s="382">
        <v>30</v>
      </c>
      <c r="AD45" s="386">
        <v>4781</v>
      </c>
      <c r="AE45" s="386">
        <v>17</v>
      </c>
      <c r="AF45" s="386">
        <v>12</v>
      </c>
      <c r="AG45" s="386">
        <v>29</v>
      </c>
    </row>
    <row r="46" spans="1:33" x14ac:dyDescent="0.25">
      <c r="A46" s="381" t="s">
        <v>154</v>
      </c>
      <c r="B46" s="387" t="s">
        <v>155</v>
      </c>
      <c r="C46" s="383">
        <v>8516</v>
      </c>
      <c r="D46" s="383">
        <v>24</v>
      </c>
      <c r="E46" s="383">
        <v>1569</v>
      </c>
      <c r="F46" s="383">
        <v>2028</v>
      </c>
      <c r="G46" s="383">
        <v>1050</v>
      </c>
      <c r="H46" s="383">
        <v>13187</v>
      </c>
      <c r="I46" s="382">
        <v>12137</v>
      </c>
      <c r="J46" s="382">
        <v>94</v>
      </c>
      <c r="K46" s="384">
        <v>97.96</v>
      </c>
      <c r="L46" s="384">
        <v>96.32</v>
      </c>
      <c r="M46" s="384">
        <v>8.66</v>
      </c>
      <c r="N46" s="384">
        <v>104.15</v>
      </c>
      <c r="O46" s="385">
        <v>6958</v>
      </c>
      <c r="P46" s="382">
        <v>89.88</v>
      </c>
      <c r="Q46" s="382">
        <v>87.73</v>
      </c>
      <c r="R46" s="382">
        <v>38.130000000000003</v>
      </c>
      <c r="S46" s="382">
        <v>127.47</v>
      </c>
      <c r="T46" s="382">
        <v>2986</v>
      </c>
      <c r="U46" s="382">
        <v>129.32</v>
      </c>
      <c r="V46" s="382">
        <v>952</v>
      </c>
      <c r="W46" s="382">
        <v>121.08</v>
      </c>
      <c r="X46" s="382">
        <v>11</v>
      </c>
      <c r="Y46" s="382">
        <v>0</v>
      </c>
      <c r="Z46" s="382">
        <v>5</v>
      </c>
      <c r="AA46" s="382">
        <v>12</v>
      </c>
      <c r="AB46" s="382">
        <v>54</v>
      </c>
      <c r="AC46" s="382">
        <v>45</v>
      </c>
      <c r="AD46" s="386">
        <v>8177</v>
      </c>
      <c r="AE46" s="386">
        <v>17</v>
      </c>
      <c r="AF46" s="386">
        <v>24</v>
      </c>
      <c r="AG46" s="386">
        <v>41</v>
      </c>
    </row>
    <row r="47" spans="1:33" x14ac:dyDescent="0.25">
      <c r="A47" s="381" t="s">
        <v>156</v>
      </c>
      <c r="B47" s="387" t="s">
        <v>157</v>
      </c>
      <c r="C47" s="383">
        <v>4625</v>
      </c>
      <c r="D47" s="383">
        <v>2</v>
      </c>
      <c r="E47" s="383">
        <v>168</v>
      </c>
      <c r="F47" s="383">
        <v>554</v>
      </c>
      <c r="G47" s="383">
        <v>323</v>
      </c>
      <c r="H47" s="383">
        <v>5672</v>
      </c>
      <c r="I47" s="382">
        <v>5349</v>
      </c>
      <c r="J47" s="382">
        <v>1</v>
      </c>
      <c r="K47" s="384">
        <v>93.64</v>
      </c>
      <c r="L47" s="384">
        <v>92.01</v>
      </c>
      <c r="M47" s="384">
        <v>2.68</v>
      </c>
      <c r="N47" s="384">
        <v>93.99</v>
      </c>
      <c r="O47" s="385">
        <v>3696</v>
      </c>
      <c r="P47" s="382">
        <v>90.57</v>
      </c>
      <c r="Q47" s="382">
        <v>84.12</v>
      </c>
      <c r="R47" s="382">
        <v>65.22</v>
      </c>
      <c r="S47" s="382">
        <v>99.81</v>
      </c>
      <c r="T47" s="382">
        <v>720</v>
      </c>
      <c r="U47" s="382">
        <v>108.37</v>
      </c>
      <c r="V47" s="382">
        <v>883</v>
      </c>
      <c r="W47" s="382">
        <v>0</v>
      </c>
      <c r="X47" s="382">
        <v>0</v>
      </c>
      <c r="Y47" s="382">
        <v>0</v>
      </c>
      <c r="Z47" s="382">
        <v>2</v>
      </c>
      <c r="AA47" s="382">
        <v>9</v>
      </c>
      <c r="AB47" s="382">
        <v>19</v>
      </c>
      <c r="AC47" s="382">
        <v>7</v>
      </c>
      <c r="AD47" s="386">
        <v>4625</v>
      </c>
      <c r="AE47" s="386">
        <v>3</v>
      </c>
      <c r="AF47" s="386">
        <v>2</v>
      </c>
      <c r="AG47" s="386">
        <v>5</v>
      </c>
    </row>
    <row r="48" spans="1:33" x14ac:dyDescent="0.25">
      <c r="A48" s="381" t="s">
        <v>158</v>
      </c>
      <c r="B48" s="387" t="s">
        <v>159</v>
      </c>
      <c r="C48" s="383">
        <v>16139</v>
      </c>
      <c r="D48" s="383">
        <v>116</v>
      </c>
      <c r="E48" s="383">
        <v>622</v>
      </c>
      <c r="F48" s="383">
        <v>2082</v>
      </c>
      <c r="G48" s="383">
        <v>959</v>
      </c>
      <c r="H48" s="383">
        <v>19918</v>
      </c>
      <c r="I48" s="382">
        <v>18959</v>
      </c>
      <c r="J48" s="382">
        <v>38</v>
      </c>
      <c r="K48" s="384">
        <v>116.96</v>
      </c>
      <c r="L48" s="384">
        <v>115.17</v>
      </c>
      <c r="M48" s="384">
        <v>12.34</v>
      </c>
      <c r="N48" s="384">
        <v>123.96</v>
      </c>
      <c r="O48" s="385">
        <v>13586</v>
      </c>
      <c r="P48" s="382">
        <v>108.66</v>
      </c>
      <c r="Q48" s="382">
        <v>104.59</v>
      </c>
      <c r="R48" s="382">
        <v>42.31</v>
      </c>
      <c r="S48" s="382">
        <v>148.82</v>
      </c>
      <c r="T48" s="382">
        <v>2191</v>
      </c>
      <c r="U48" s="382">
        <v>170.25</v>
      </c>
      <c r="V48" s="382">
        <v>1714</v>
      </c>
      <c r="W48" s="382">
        <v>0</v>
      </c>
      <c r="X48" s="382">
        <v>0</v>
      </c>
      <c r="Y48" s="382">
        <v>0</v>
      </c>
      <c r="Z48" s="382">
        <v>2</v>
      </c>
      <c r="AA48" s="382">
        <v>29</v>
      </c>
      <c r="AB48" s="382">
        <v>12</v>
      </c>
      <c r="AC48" s="382">
        <v>11</v>
      </c>
      <c r="AD48" s="386">
        <v>15346</v>
      </c>
      <c r="AE48" s="386">
        <v>13</v>
      </c>
      <c r="AF48" s="386">
        <v>63</v>
      </c>
      <c r="AG48" s="386">
        <v>76</v>
      </c>
    </row>
    <row r="49" spans="1:33" x14ac:dyDescent="0.25">
      <c r="A49" s="381" t="s">
        <v>160</v>
      </c>
      <c r="B49" s="387" t="s">
        <v>161</v>
      </c>
      <c r="C49" s="383">
        <v>3324</v>
      </c>
      <c r="D49" s="383">
        <v>0</v>
      </c>
      <c r="E49" s="383">
        <v>71</v>
      </c>
      <c r="F49" s="383">
        <v>997</v>
      </c>
      <c r="G49" s="383">
        <v>376</v>
      </c>
      <c r="H49" s="383">
        <v>4768</v>
      </c>
      <c r="I49" s="382">
        <v>4392</v>
      </c>
      <c r="J49" s="382">
        <v>0</v>
      </c>
      <c r="K49" s="384">
        <v>91.75</v>
      </c>
      <c r="L49" s="384">
        <v>88.16</v>
      </c>
      <c r="M49" s="384">
        <v>4</v>
      </c>
      <c r="N49" s="384">
        <v>93.96</v>
      </c>
      <c r="O49" s="385">
        <v>2950</v>
      </c>
      <c r="P49" s="382">
        <v>83.98</v>
      </c>
      <c r="Q49" s="382">
        <v>85.31</v>
      </c>
      <c r="R49" s="382">
        <v>23.84</v>
      </c>
      <c r="S49" s="382">
        <v>107.57</v>
      </c>
      <c r="T49" s="382">
        <v>1026</v>
      </c>
      <c r="U49" s="382">
        <v>114.87</v>
      </c>
      <c r="V49" s="382">
        <v>326</v>
      </c>
      <c r="W49" s="382">
        <v>0</v>
      </c>
      <c r="X49" s="382">
        <v>0</v>
      </c>
      <c r="Y49" s="382">
        <v>0</v>
      </c>
      <c r="Z49" s="382">
        <v>12</v>
      </c>
      <c r="AA49" s="382">
        <v>3</v>
      </c>
      <c r="AB49" s="382">
        <v>25</v>
      </c>
      <c r="AC49" s="382">
        <v>11</v>
      </c>
      <c r="AD49" s="386">
        <v>3324</v>
      </c>
      <c r="AE49" s="386">
        <v>16</v>
      </c>
      <c r="AF49" s="386">
        <v>1</v>
      </c>
      <c r="AG49" s="386">
        <v>17</v>
      </c>
    </row>
    <row r="50" spans="1:33" x14ac:dyDescent="0.25">
      <c r="A50" s="381" t="s">
        <v>162</v>
      </c>
      <c r="B50" s="387" t="s">
        <v>163</v>
      </c>
      <c r="C50" s="383">
        <v>4756</v>
      </c>
      <c r="D50" s="383">
        <v>0</v>
      </c>
      <c r="E50" s="383">
        <v>125</v>
      </c>
      <c r="F50" s="383">
        <v>405</v>
      </c>
      <c r="G50" s="383">
        <v>374</v>
      </c>
      <c r="H50" s="383">
        <v>5660</v>
      </c>
      <c r="I50" s="382">
        <v>5286</v>
      </c>
      <c r="J50" s="382">
        <v>3</v>
      </c>
      <c r="K50" s="384">
        <v>114.14</v>
      </c>
      <c r="L50" s="384">
        <v>110.97</v>
      </c>
      <c r="M50" s="384">
        <v>6.26</v>
      </c>
      <c r="N50" s="384">
        <v>117.77</v>
      </c>
      <c r="O50" s="385">
        <v>4043</v>
      </c>
      <c r="P50" s="382">
        <v>100.46</v>
      </c>
      <c r="Q50" s="382">
        <v>93.7</v>
      </c>
      <c r="R50" s="382">
        <v>32.85</v>
      </c>
      <c r="S50" s="382">
        <v>133.31</v>
      </c>
      <c r="T50" s="382">
        <v>520</v>
      </c>
      <c r="U50" s="382">
        <v>163.01</v>
      </c>
      <c r="V50" s="382">
        <v>695</v>
      </c>
      <c r="W50" s="382">
        <v>0</v>
      </c>
      <c r="X50" s="382">
        <v>0</v>
      </c>
      <c r="Y50" s="382">
        <v>0</v>
      </c>
      <c r="Z50" s="382">
        <v>10</v>
      </c>
      <c r="AA50" s="382">
        <v>1</v>
      </c>
      <c r="AB50" s="382">
        <v>11</v>
      </c>
      <c r="AC50" s="382">
        <v>5</v>
      </c>
      <c r="AD50" s="386">
        <v>4756</v>
      </c>
      <c r="AE50" s="386">
        <v>9</v>
      </c>
      <c r="AF50" s="386">
        <v>31</v>
      </c>
      <c r="AG50" s="386">
        <v>40</v>
      </c>
    </row>
    <row r="51" spans="1:33" x14ac:dyDescent="0.25">
      <c r="A51" s="381" t="s">
        <v>164</v>
      </c>
      <c r="B51" s="387" t="s">
        <v>165</v>
      </c>
      <c r="C51" s="383">
        <v>1086</v>
      </c>
      <c r="D51" s="383">
        <v>0</v>
      </c>
      <c r="E51" s="383">
        <v>94</v>
      </c>
      <c r="F51" s="383">
        <v>108</v>
      </c>
      <c r="G51" s="383">
        <v>82</v>
      </c>
      <c r="H51" s="383">
        <v>1370</v>
      </c>
      <c r="I51" s="382">
        <v>1288</v>
      </c>
      <c r="J51" s="382">
        <v>1</v>
      </c>
      <c r="K51" s="384">
        <v>80.83</v>
      </c>
      <c r="L51" s="384">
        <v>78.569999999999993</v>
      </c>
      <c r="M51" s="384">
        <v>7.23</v>
      </c>
      <c r="N51" s="384">
        <v>86.74</v>
      </c>
      <c r="O51" s="385">
        <v>924</v>
      </c>
      <c r="P51" s="382">
        <v>88.53</v>
      </c>
      <c r="Q51" s="382">
        <v>72.33</v>
      </c>
      <c r="R51" s="382">
        <v>54.47</v>
      </c>
      <c r="S51" s="382">
        <v>139.88999999999999</v>
      </c>
      <c r="T51" s="382">
        <v>175</v>
      </c>
      <c r="U51" s="382">
        <v>95.31</v>
      </c>
      <c r="V51" s="382">
        <v>148</v>
      </c>
      <c r="W51" s="382">
        <v>172.13</v>
      </c>
      <c r="X51" s="382">
        <v>27</v>
      </c>
      <c r="Y51" s="382">
        <v>0</v>
      </c>
      <c r="Z51" s="382">
        <v>0</v>
      </c>
      <c r="AA51" s="382">
        <v>13</v>
      </c>
      <c r="AB51" s="382">
        <v>2</v>
      </c>
      <c r="AC51" s="382">
        <v>4</v>
      </c>
      <c r="AD51" s="386">
        <v>1086</v>
      </c>
      <c r="AE51" s="386">
        <v>10</v>
      </c>
      <c r="AF51" s="386">
        <v>4</v>
      </c>
      <c r="AG51" s="386">
        <v>14</v>
      </c>
    </row>
    <row r="52" spans="1:33" ht="14.5" x14ac:dyDescent="0.35">
      <c r="A52" s="388" t="s">
        <v>779</v>
      </c>
      <c r="B52" s="388" t="s">
        <v>774</v>
      </c>
      <c r="C52" s="382">
        <v>24514</v>
      </c>
      <c r="D52" s="382">
        <v>23</v>
      </c>
      <c r="E52" s="382">
        <v>917</v>
      </c>
      <c r="F52" s="382">
        <v>3294</v>
      </c>
      <c r="G52" s="382">
        <v>2194</v>
      </c>
      <c r="H52" s="382">
        <v>30942</v>
      </c>
      <c r="I52" s="382">
        <v>28748</v>
      </c>
      <c r="J52" s="382">
        <v>42</v>
      </c>
      <c r="K52" s="389">
        <v>110.84</v>
      </c>
      <c r="L52" s="389">
        <v>110.79</v>
      </c>
      <c r="M52" s="389">
        <v>4.84</v>
      </c>
      <c r="N52" s="389">
        <v>113.97</v>
      </c>
      <c r="O52" s="382">
        <v>21311</v>
      </c>
      <c r="P52" s="389">
        <v>102.33</v>
      </c>
      <c r="Q52" s="389">
        <v>99.06</v>
      </c>
      <c r="R52" s="389">
        <v>30.18</v>
      </c>
      <c r="S52" s="389">
        <v>129.82</v>
      </c>
      <c r="T52" s="382">
        <v>3918</v>
      </c>
      <c r="U52" s="389">
        <v>157.52000000000001</v>
      </c>
      <c r="V52" s="382">
        <v>2806</v>
      </c>
      <c r="W52" s="389">
        <v>154.83000000000001</v>
      </c>
      <c r="X52" s="382">
        <v>9</v>
      </c>
      <c r="Y52" s="382">
        <v>0</v>
      </c>
      <c r="Z52" s="382">
        <v>52</v>
      </c>
      <c r="AA52" s="382">
        <v>16</v>
      </c>
      <c r="AB52" s="382">
        <v>100</v>
      </c>
      <c r="AC52" s="382">
        <v>35</v>
      </c>
      <c r="AD52" s="382">
        <v>24172</v>
      </c>
      <c r="AE52" s="382">
        <v>91</v>
      </c>
      <c r="AF52" s="382">
        <v>154</v>
      </c>
      <c r="AG52" s="382">
        <v>245</v>
      </c>
    </row>
    <row r="53" spans="1:33" x14ac:dyDescent="0.25">
      <c r="A53" s="381" t="s">
        <v>166</v>
      </c>
      <c r="B53" s="387" t="s">
        <v>167</v>
      </c>
      <c r="C53" s="383">
        <v>4292</v>
      </c>
      <c r="D53" s="383">
        <v>0</v>
      </c>
      <c r="E53" s="383">
        <v>265</v>
      </c>
      <c r="F53" s="383">
        <v>1435</v>
      </c>
      <c r="G53" s="383">
        <v>12</v>
      </c>
      <c r="H53" s="383">
        <v>6004</v>
      </c>
      <c r="I53" s="382">
        <v>5992</v>
      </c>
      <c r="J53" s="382">
        <v>10</v>
      </c>
      <c r="K53" s="384">
        <v>80.849999999999994</v>
      </c>
      <c r="L53" s="384">
        <v>77.58</v>
      </c>
      <c r="M53" s="384">
        <v>2.4900000000000002</v>
      </c>
      <c r="N53" s="384">
        <v>83.12</v>
      </c>
      <c r="O53" s="385">
        <v>3917</v>
      </c>
      <c r="P53" s="382">
        <v>81.069999999999993</v>
      </c>
      <c r="Q53" s="382">
        <v>70.38</v>
      </c>
      <c r="R53" s="382">
        <v>19.36</v>
      </c>
      <c r="S53" s="382">
        <v>100.02</v>
      </c>
      <c r="T53" s="382">
        <v>1552</v>
      </c>
      <c r="U53" s="382">
        <v>96.77</v>
      </c>
      <c r="V53" s="382">
        <v>347</v>
      </c>
      <c r="W53" s="382">
        <v>244.69</v>
      </c>
      <c r="X53" s="382">
        <v>29</v>
      </c>
      <c r="Y53" s="382">
        <v>0</v>
      </c>
      <c r="Z53" s="382">
        <v>29</v>
      </c>
      <c r="AA53" s="382">
        <v>5</v>
      </c>
      <c r="AB53" s="382">
        <v>0</v>
      </c>
      <c r="AC53" s="382">
        <v>0</v>
      </c>
      <c r="AD53" s="386">
        <v>4270</v>
      </c>
      <c r="AE53" s="386">
        <v>68</v>
      </c>
      <c r="AF53" s="386">
        <v>23</v>
      </c>
      <c r="AG53" s="386">
        <v>91</v>
      </c>
    </row>
    <row r="54" spans="1:33" x14ac:dyDescent="0.25">
      <c r="A54" s="381" t="s">
        <v>168</v>
      </c>
      <c r="B54" s="387" t="s">
        <v>169</v>
      </c>
      <c r="C54" s="383">
        <v>3831</v>
      </c>
      <c r="D54" s="383">
        <v>0</v>
      </c>
      <c r="E54" s="383">
        <v>374</v>
      </c>
      <c r="F54" s="383">
        <v>568</v>
      </c>
      <c r="G54" s="383">
        <v>176</v>
      </c>
      <c r="H54" s="383">
        <v>4949</v>
      </c>
      <c r="I54" s="382">
        <v>4773</v>
      </c>
      <c r="J54" s="382">
        <v>12</v>
      </c>
      <c r="K54" s="384">
        <v>82.34</v>
      </c>
      <c r="L54" s="384">
        <v>81.83</v>
      </c>
      <c r="M54" s="384">
        <v>6.35</v>
      </c>
      <c r="N54" s="384">
        <v>86.11</v>
      </c>
      <c r="O54" s="385">
        <v>3135</v>
      </c>
      <c r="P54" s="382">
        <v>88.08</v>
      </c>
      <c r="Q54" s="382">
        <v>79.34</v>
      </c>
      <c r="R54" s="382">
        <v>32.71</v>
      </c>
      <c r="S54" s="382">
        <v>118.02</v>
      </c>
      <c r="T54" s="382">
        <v>730</v>
      </c>
      <c r="U54" s="382">
        <v>103.65</v>
      </c>
      <c r="V54" s="382">
        <v>409</v>
      </c>
      <c r="W54" s="382">
        <v>125.6</v>
      </c>
      <c r="X54" s="382">
        <v>17</v>
      </c>
      <c r="Y54" s="382">
        <v>0</v>
      </c>
      <c r="Z54" s="382">
        <v>6</v>
      </c>
      <c r="AA54" s="382">
        <v>7</v>
      </c>
      <c r="AB54" s="382">
        <v>20</v>
      </c>
      <c r="AC54" s="382">
        <v>1</v>
      </c>
      <c r="AD54" s="386">
        <v>3509</v>
      </c>
      <c r="AE54" s="386">
        <v>18</v>
      </c>
      <c r="AF54" s="386">
        <v>10</v>
      </c>
      <c r="AG54" s="386">
        <v>28</v>
      </c>
    </row>
    <row r="55" spans="1:33" x14ac:dyDescent="0.25">
      <c r="A55" s="381" t="s">
        <v>170</v>
      </c>
      <c r="B55" s="387" t="s">
        <v>171</v>
      </c>
      <c r="C55" s="383">
        <v>12916</v>
      </c>
      <c r="D55" s="383">
        <v>0</v>
      </c>
      <c r="E55" s="383">
        <v>230</v>
      </c>
      <c r="F55" s="383">
        <v>925</v>
      </c>
      <c r="G55" s="383">
        <v>238</v>
      </c>
      <c r="H55" s="383">
        <v>14309</v>
      </c>
      <c r="I55" s="382">
        <v>14071</v>
      </c>
      <c r="J55" s="382">
        <v>13</v>
      </c>
      <c r="K55" s="384">
        <v>77.92</v>
      </c>
      <c r="L55" s="384">
        <v>76.62</v>
      </c>
      <c r="M55" s="384">
        <v>7.46</v>
      </c>
      <c r="N55" s="384">
        <v>85.05</v>
      </c>
      <c r="O55" s="385">
        <v>12334</v>
      </c>
      <c r="P55" s="382">
        <v>82.59</v>
      </c>
      <c r="Q55" s="382">
        <v>76.790000000000006</v>
      </c>
      <c r="R55" s="382">
        <v>34.15</v>
      </c>
      <c r="S55" s="382">
        <v>115.98</v>
      </c>
      <c r="T55" s="382">
        <v>1067</v>
      </c>
      <c r="U55" s="382">
        <v>97.5</v>
      </c>
      <c r="V55" s="382">
        <v>492</v>
      </c>
      <c r="W55" s="382">
        <v>0</v>
      </c>
      <c r="X55" s="382">
        <v>0</v>
      </c>
      <c r="Y55" s="382">
        <v>0</v>
      </c>
      <c r="Z55" s="382">
        <v>41</v>
      </c>
      <c r="AA55" s="382">
        <v>5</v>
      </c>
      <c r="AB55" s="382">
        <v>3</v>
      </c>
      <c r="AC55" s="382">
        <v>14</v>
      </c>
      <c r="AD55" s="386">
        <v>12886</v>
      </c>
      <c r="AE55" s="386">
        <v>265</v>
      </c>
      <c r="AF55" s="386">
        <v>240</v>
      </c>
      <c r="AG55" s="386">
        <v>505</v>
      </c>
    </row>
    <row r="56" spans="1:33" x14ac:dyDescent="0.25">
      <c r="A56" s="381" t="s">
        <v>172</v>
      </c>
      <c r="B56" s="387" t="s">
        <v>173</v>
      </c>
      <c r="C56" s="383">
        <v>3650</v>
      </c>
      <c r="D56" s="383">
        <v>610</v>
      </c>
      <c r="E56" s="383">
        <v>482</v>
      </c>
      <c r="F56" s="383">
        <v>478</v>
      </c>
      <c r="G56" s="383">
        <v>554</v>
      </c>
      <c r="H56" s="383">
        <v>5774</v>
      </c>
      <c r="I56" s="382">
        <v>5220</v>
      </c>
      <c r="J56" s="382">
        <v>0</v>
      </c>
      <c r="K56" s="384">
        <v>109.08</v>
      </c>
      <c r="L56" s="384">
        <v>110.12</v>
      </c>
      <c r="M56" s="384">
        <v>7.43</v>
      </c>
      <c r="N56" s="384">
        <v>113.55</v>
      </c>
      <c r="O56" s="385">
        <v>2459</v>
      </c>
      <c r="P56" s="382">
        <v>95.72</v>
      </c>
      <c r="Q56" s="382">
        <v>95.17</v>
      </c>
      <c r="R56" s="382">
        <v>61.08</v>
      </c>
      <c r="S56" s="382">
        <v>155.66</v>
      </c>
      <c r="T56" s="382">
        <v>801</v>
      </c>
      <c r="U56" s="382">
        <v>148.13999999999999</v>
      </c>
      <c r="V56" s="382">
        <v>745</v>
      </c>
      <c r="W56" s="382">
        <v>146.88</v>
      </c>
      <c r="X56" s="382">
        <v>2</v>
      </c>
      <c r="Y56" s="382">
        <v>0</v>
      </c>
      <c r="Z56" s="382">
        <v>1</v>
      </c>
      <c r="AA56" s="382">
        <v>1</v>
      </c>
      <c r="AB56" s="382">
        <v>119</v>
      </c>
      <c r="AC56" s="382">
        <v>19</v>
      </c>
      <c r="AD56" s="386">
        <v>3374</v>
      </c>
      <c r="AE56" s="386">
        <v>59</v>
      </c>
      <c r="AF56" s="386">
        <v>23</v>
      </c>
      <c r="AG56" s="386">
        <v>82</v>
      </c>
    </row>
    <row r="57" spans="1:33" x14ac:dyDescent="0.25">
      <c r="A57" s="381" t="s">
        <v>174</v>
      </c>
      <c r="B57" s="387" t="s">
        <v>175</v>
      </c>
      <c r="C57" s="383">
        <v>7969</v>
      </c>
      <c r="D57" s="383">
        <v>1134</v>
      </c>
      <c r="E57" s="383">
        <v>1536</v>
      </c>
      <c r="F57" s="383">
        <v>965</v>
      </c>
      <c r="G57" s="383">
        <v>558</v>
      </c>
      <c r="H57" s="383">
        <v>12162</v>
      </c>
      <c r="I57" s="382">
        <v>11604</v>
      </c>
      <c r="J57" s="382">
        <v>87</v>
      </c>
      <c r="K57" s="384">
        <v>134.26</v>
      </c>
      <c r="L57" s="384">
        <v>135.57</v>
      </c>
      <c r="M57" s="384">
        <v>13.43</v>
      </c>
      <c r="N57" s="384">
        <v>145.04</v>
      </c>
      <c r="O57" s="385">
        <v>6169</v>
      </c>
      <c r="P57" s="382">
        <v>110.73</v>
      </c>
      <c r="Q57" s="382">
        <v>109.33</v>
      </c>
      <c r="R57" s="382">
        <v>68.28</v>
      </c>
      <c r="S57" s="382">
        <v>165.7</v>
      </c>
      <c r="T57" s="382">
        <v>2346</v>
      </c>
      <c r="U57" s="382">
        <v>215.32</v>
      </c>
      <c r="V57" s="382">
        <v>361</v>
      </c>
      <c r="W57" s="382">
        <v>0</v>
      </c>
      <c r="X57" s="382">
        <v>0</v>
      </c>
      <c r="Y57" s="382">
        <v>0</v>
      </c>
      <c r="Z57" s="382">
        <v>0</v>
      </c>
      <c r="AA57" s="382">
        <v>3</v>
      </c>
      <c r="AB57" s="382">
        <v>55</v>
      </c>
      <c r="AC57" s="382">
        <v>50</v>
      </c>
      <c r="AD57" s="386">
        <v>6591</v>
      </c>
      <c r="AE57" s="386">
        <v>40</v>
      </c>
      <c r="AF57" s="386">
        <v>57</v>
      </c>
      <c r="AG57" s="386">
        <v>97</v>
      </c>
    </row>
    <row r="58" spans="1:33" x14ac:dyDescent="0.25">
      <c r="A58" s="381" t="s">
        <v>176</v>
      </c>
      <c r="B58" s="387" t="s">
        <v>177</v>
      </c>
      <c r="C58" s="383">
        <v>1490</v>
      </c>
      <c r="D58" s="383">
        <v>3</v>
      </c>
      <c r="E58" s="383">
        <v>221</v>
      </c>
      <c r="F58" s="383">
        <v>270</v>
      </c>
      <c r="G58" s="383">
        <v>276</v>
      </c>
      <c r="H58" s="383">
        <v>2260</v>
      </c>
      <c r="I58" s="382">
        <v>1984</v>
      </c>
      <c r="J58" s="382">
        <v>0</v>
      </c>
      <c r="K58" s="384">
        <v>91.61</v>
      </c>
      <c r="L58" s="384">
        <v>82.99</v>
      </c>
      <c r="M58" s="384">
        <v>5.74</v>
      </c>
      <c r="N58" s="384">
        <v>95.19</v>
      </c>
      <c r="O58" s="385">
        <v>1255</v>
      </c>
      <c r="P58" s="382">
        <v>87.29</v>
      </c>
      <c r="Q58" s="382">
        <v>86.32</v>
      </c>
      <c r="R58" s="382">
        <v>54.02</v>
      </c>
      <c r="S58" s="382">
        <v>140.99</v>
      </c>
      <c r="T58" s="382">
        <v>343</v>
      </c>
      <c r="U58" s="382">
        <v>108.91</v>
      </c>
      <c r="V58" s="382">
        <v>191</v>
      </c>
      <c r="W58" s="382">
        <v>161.47999999999999</v>
      </c>
      <c r="X58" s="382">
        <v>63</v>
      </c>
      <c r="Y58" s="382">
        <v>0</v>
      </c>
      <c r="Z58" s="382">
        <v>2</v>
      </c>
      <c r="AA58" s="382">
        <v>2</v>
      </c>
      <c r="AB58" s="382">
        <v>17</v>
      </c>
      <c r="AC58" s="382">
        <v>6</v>
      </c>
      <c r="AD58" s="386">
        <v>1468</v>
      </c>
      <c r="AE58" s="386">
        <v>8</v>
      </c>
      <c r="AF58" s="386">
        <v>1</v>
      </c>
      <c r="AG58" s="386">
        <v>9</v>
      </c>
    </row>
    <row r="59" spans="1:33" x14ac:dyDescent="0.25">
      <c r="A59" s="381" t="s">
        <v>178</v>
      </c>
      <c r="B59" s="387" t="s">
        <v>179</v>
      </c>
      <c r="C59" s="383">
        <v>1958</v>
      </c>
      <c r="D59" s="383">
        <v>0</v>
      </c>
      <c r="E59" s="383">
        <v>175</v>
      </c>
      <c r="F59" s="383">
        <v>386</v>
      </c>
      <c r="G59" s="383">
        <v>477</v>
      </c>
      <c r="H59" s="383">
        <v>2996</v>
      </c>
      <c r="I59" s="382">
        <v>2519</v>
      </c>
      <c r="J59" s="382">
        <v>19</v>
      </c>
      <c r="K59" s="384">
        <v>103.62</v>
      </c>
      <c r="L59" s="384">
        <v>102.15</v>
      </c>
      <c r="M59" s="384">
        <v>7.54</v>
      </c>
      <c r="N59" s="384">
        <v>109.9</v>
      </c>
      <c r="O59" s="385">
        <v>1370</v>
      </c>
      <c r="P59" s="382">
        <v>87.83</v>
      </c>
      <c r="Q59" s="382">
        <v>83.28</v>
      </c>
      <c r="R59" s="382">
        <v>47.23</v>
      </c>
      <c r="S59" s="382">
        <v>134.63</v>
      </c>
      <c r="T59" s="382">
        <v>545</v>
      </c>
      <c r="U59" s="382">
        <v>146.36000000000001</v>
      </c>
      <c r="V59" s="382">
        <v>306</v>
      </c>
      <c r="W59" s="382">
        <v>119.45</v>
      </c>
      <c r="X59" s="382">
        <v>6</v>
      </c>
      <c r="Y59" s="382">
        <v>0</v>
      </c>
      <c r="Z59" s="382">
        <v>3</v>
      </c>
      <c r="AA59" s="382">
        <v>2</v>
      </c>
      <c r="AB59" s="382">
        <v>27</v>
      </c>
      <c r="AC59" s="382">
        <v>7</v>
      </c>
      <c r="AD59" s="386">
        <v>1773</v>
      </c>
      <c r="AE59" s="386">
        <v>2</v>
      </c>
      <c r="AF59" s="386">
        <v>1</v>
      </c>
      <c r="AG59" s="386">
        <v>3</v>
      </c>
    </row>
    <row r="60" spans="1:33" x14ac:dyDescent="0.25">
      <c r="A60" s="381" t="s">
        <v>180</v>
      </c>
      <c r="B60" s="387" t="s">
        <v>181</v>
      </c>
      <c r="C60" s="383">
        <v>7005</v>
      </c>
      <c r="D60" s="383">
        <v>11</v>
      </c>
      <c r="E60" s="383">
        <v>253</v>
      </c>
      <c r="F60" s="383">
        <v>375</v>
      </c>
      <c r="G60" s="383">
        <v>351</v>
      </c>
      <c r="H60" s="383">
        <v>7995</v>
      </c>
      <c r="I60" s="382">
        <v>7644</v>
      </c>
      <c r="J60" s="382">
        <v>48</v>
      </c>
      <c r="K60" s="384">
        <v>81.87</v>
      </c>
      <c r="L60" s="384">
        <v>78.44</v>
      </c>
      <c r="M60" s="384">
        <v>4.2</v>
      </c>
      <c r="N60" s="384">
        <v>84.93</v>
      </c>
      <c r="O60" s="385">
        <v>5680</v>
      </c>
      <c r="P60" s="382">
        <v>90.07</v>
      </c>
      <c r="Q60" s="382">
        <v>77.48</v>
      </c>
      <c r="R60" s="382">
        <v>33.71</v>
      </c>
      <c r="S60" s="382">
        <v>118.44</v>
      </c>
      <c r="T60" s="382">
        <v>568</v>
      </c>
      <c r="U60" s="382">
        <v>89.76</v>
      </c>
      <c r="V60" s="382">
        <v>1304</v>
      </c>
      <c r="W60" s="382">
        <v>0</v>
      </c>
      <c r="X60" s="382">
        <v>0</v>
      </c>
      <c r="Y60" s="382">
        <v>0</v>
      </c>
      <c r="Z60" s="382">
        <v>29</v>
      </c>
      <c r="AA60" s="382">
        <v>15</v>
      </c>
      <c r="AB60" s="382">
        <v>0</v>
      </c>
      <c r="AC60" s="382">
        <v>0</v>
      </c>
      <c r="AD60" s="386">
        <v>6989</v>
      </c>
      <c r="AE60" s="386">
        <v>97</v>
      </c>
      <c r="AF60" s="386">
        <v>19</v>
      </c>
      <c r="AG60" s="386">
        <v>116</v>
      </c>
    </row>
    <row r="61" spans="1:33" x14ac:dyDescent="0.25">
      <c r="A61" s="381" t="s">
        <v>182</v>
      </c>
      <c r="B61" s="387" t="s">
        <v>183</v>
      </c>
      <c r="C61" s="383">
        <v>460</v>
      </c>
      <c r="D61" s="383">
        <v>0</v>
      </c>
      <c r="E61" s="383">
        <v>64</v>
      </c>
      <c r="F61" s="383">
        <v>73</v>
      </c>
      <c r="G61" s="383">
        <v>97</v>
      </c>
      <c r="H61" s="383">
        <v>694</v>
      </c>
      <c r="I61" s="382">
        <v>597</v>
      </c>
      <c r="J61" s="382">
        <v>0</v>
      </c>
      <c r="K61" s="384">
        <v>108.9</v>
      </c>
      <c r="L61" s="384">
        <v>106.92</v>
      </c>
      <c r="M61" s="384">
        <v>6.4</v>
      </c>
      <c r="N61" s="384">
        <v>112.6</v>
      </c>
      <c r="O61" s="385">
        <v>375</v>
      </c>
      <c r="P61" s="382">
        <v>89.3</v>
      </c>
      <c r="Q61" s="382">
        <v>85.55</v>
      </c>
      <c r="R61" s="382">
        <v>60.14</v>
      </c>
      <c r="S61" s="382">
        <v>149.44</v>
      </c>
      <c r="T61" s="382">
        <v>116</v>
      </c>
      <c r="U61" s="382">
        <v>146.93</v>
      </c>
      <c r="V61" s="382">
        <v>73</v>
      </c>
      <c r="W61" s="382">
        <v>0</v>
      </c>
      <c r="X61" s="382">
        <v>0</v>
      </c>
      <c r="Y61" s="382">
        <v>0</v>
      </c>
      <c r="Z61" s="382">
        <v>0</v>
      </c>
      <c r="AA61" s="382">
        <v>1</v>
      </c>
      <c r="AB61" s="382">
        <v>16</v>
      </c>
      <c r="AC61" s="382">
        <v>2</v>
      </c>
      <c r="AD61" s="386">
        <v>460</v>
      </c>
      <c r="AE61" s="386">
        <v>3</v>
      </c>
      <c r="AF61" s="386">
        <v>1</v>
      </c>
      <c r="AG61" s="386">
        <v>4</v>
      </c>
    </row>
    <row r="62" spans="1:33" x14ac:dyDescent="0.25">
      <c r="A62" s="381" t="s">
        <v>184</v>
      </c>
      <c r="B62" s="387" t="s">
        <v>185</v>
      </c>
      <c r="C62" s="383">
        <v>8488</v>
      </c>
      <c r="D62" s="383">
        <v>0</v>
      </c>
      <c r="E62" s="383">
        <v>275</v>
      </c>
      <c r="F62" s="383">
        <v>1639</v>
      </c>
      <c r="G62" s="383">
        <v>1380</v>
      </c>
      <c r="H62" s="383">
        <v>11782</v>
      </c>
      <c r="I62" s="382">
        <v>10402</v>
      </c>
      <c r="J62" s="382">
        <v>13</v>
      </c>
      <c r="K62" s="384">
        <v>103.27</v>
      </c>
      <c r="L62" s="384">
        <v>104.16</v>
      </c>
      <c r="M62" s="384">
        <v>4.6100000000000003</v>
      </c>
      <c r="N62" s="384">
        <v>104.71</v>
      </c>
      <c r="O62" s="385">
        <v>7488</v>
      </c>
      <c r="P62" s="382">
        <v>105.36</v>
      </c>
      <c r="Q62" s="382">
        <v>103.84</v>
      </c>
      <c r="R62" s="382">
        <v>27.31</v>
      </c>
      <c r="S62" s="382">
        <v>119</v>
      </c>
      <c r="T62" s="382">
        <v>1822</v>
      </c>
      <c r="U62" s="382">
        <v>136.47999999999999</v>
      </c>
      <c r="V62" s="382">
        <v>842</v>
      </c>
      <c r="W62" s="382">
        <v>120.58</v>
      </c>
      <c r="X62" s="382">
        <v>50</v>
      </c>
      <c r="Y62" s="382">
        <v>0</v>
      </c>
      <c r="Z62" s="382">
        <v>9</v>
      </c>
      <c r="AA62" s="382">
        <v>4</v>
      </c>
      <c r="AB62" s="382">
        <v>59</v>
      </c>
      <c r="AC62" s="382">
        <v>34</v>
      </c>
      <c r="AD62" s="386">
        <v>8406</v>
      </c>
      <c r="AE62" s="386">
        <v>39</v>
      </c>
      <c r="AF62" s="386">
        <v>16</v>
      </c>
      <c r="AG62" s="386">
        <v>55</v>
      </c>
    </row>
    <row r="63" spans="1:33" x14ac:dyDescent="0.25">
      <c r="A63" s="381" t="s">
        <v>186</v>
      </c>
      <c r="B63" s="387" t="s">
        <v>187</v>
      </c>
      <c r="C63" s="383">
        <v>2848</v>
      </c>
      <c r="D63" s="383">
        <v>0</v>
      </c>
      <c r="E63" s="383">
        <v>324</v>
      </c>
      <c r="F63" s="383">
        <v>271</v>
      </c>
      <c r="G63" s="383">
        <v>585</v>
      </c>
      <c r="H63" s="383">
        <v>4028</v>
      </c>
      <c r="I63" s="382">
        <v>3443</v>
      </c>
      <c r="J63" s="382">
        <v>4</v>
      </c>
      <c r="K63" s="384">
        <v>92.09</v>
      </c>
      <c r="L63" s="384">
        <v>90.14</v>
      </c>
      <c r="M63" s="384">
        <v>6.54</v>
      </c>
      <c r="N63" s="384">
        <v>97.12</v>
      </c>
      <c r="O63" s="385">
        <v>2215</v>
      </c>
      <c r="P63" s="382">
        <v>96.25</v>
      </c>
      <c r="Q63" s="382">
        <v>82.27</v>
      </c>
      <c r="R63" s="382">
        <v>50.81</v>
      </c>
      <c r="S63" s="382">
        <v>140.82</v>
      </c>
      <c r="T63" s="382">
        <v>521</v>
      </c>
      <c r="U63" s="382">
        <v>105.64</v>
      </c>
      <c r="V63" s="382">
        <v>554</v>
      </c>
      <c r="W63" s="382">
        <v>0</v>
      </c>
      <c r="X63" s="382">
        <v>0</v>
      </c>
      <c r="Y63" s="382">
        <v>0</v>
      </c>
      <c r="Z63" s="382">
        <v>3</v>
      </c>
      <c r="AA63" s="382">
        <v>5</v>
      </c>
      <c r="AB63" s="382">
        <v>53</v>
      </c>
      <c r="AC63" s="382">
        <v>19</v>
      </c>
      <c r="AD63" s="386">
        <v>2840</v>
      </c>
      <c r="AE63" s="386">
        <v>26</v>
      </c>
      <c r="AF63" s="386">
        <v>4</v>
      </c>
      <c r="AG63" s="386">
        <v>30</v>
      </c>
    </row>
    <row r="64" spans="1:33" x14ac:dyDescent="0.25">
      <c r="A64" s="381" t="s">
        <v>188</v>
      </c>
      <c r="B64" s="387" t="s">
        <v>189</v>
      </c>
      <c r="C64" s="383">
        <v>9458</v>
      </c>
      <c r="D64" s="383">
        <v>285</v>
      </c>
      <c r="E64" s="383">
        <v>312</v>
      </c>
      <c r="F64" s="383">
        <v>286</v>
      </c>
      <c r="G64" s="383">
        <v>511</v>
      </c>
      <c r="H64" s="383">
        <v>10852</v>
      </c>
      <c r="I64" s="382">
        <v>10341</v>
      </c>
      <c r="J64" s="382">
        <v>2</v>
      </c>
      <c r="K64" s="384">
        <v>101.83</v>
      </c>
      <c r="L64" s="384">
        <v>101.54</v>
      </c>
      <c r="M64" s="384">
        <v>7.38</v>
      </c>
      <c r="N64" s="384">
        <v>105.44</v>
      </c>
      <c r="O64" s="385">
        <v>8635</v>
      </c>
      <c r="P64" s="382">
        <v>97.18</v>
      </c>
      <c r="Q64" s="382">
        <v>95.64</v>
      </c>
      <c r="R64" s="382">
        <v>73.06</v>
      </c>
      <c r="S64" s="382">
        <v>167.68</v>
      </c>
      <c r="T64" s="382">
        <v>485</v>
      </c>
      <c r="U64" s="382">
        <v>136.78</v>
      </c>
      <c r="V64" s="382">
        <v>663</v>
      </c>
      <c r="W64" s="382">
        <v>0</v>
      </c>
      <c r="X64" s="382">
        <v>0</v>
      </c>
      <c r="Y64" s="382">
        <v>0</v>
      </c>
      <c r="Z64" s="382">
        <v>13</v>
      </c>
      <c r="AA64" s="382">
        <v>2</v>
      </c>
      <c r="AB64" s="382">
        <v>45</v>
      </c>
      <c r="AC64" s="382">
        <v>5</v>
      </c>
      <c r="AD64" s="386">
        <v>9450</v>
      </c>
      <c r="AE64" s="386">
        <v>45</v>
      </c>
      <c r="AF64" s="386">
        <v>28</v>
      </c>
      <c r="AG64" s="386">
        <v>73</v>
      </c>
    </row>
    <row r="65" spans="1:33" x14ac:dyDescent="0.25">
      <c r="A65" s="381" t="s">
        <v>190</v>
      </c>
      <c r="B65" s="387" t="s">
        <v>191</v>
      </c>
      <c r="C65" s="383">
        <v>1827</v>
      </c>
      <c r="D65" s="383">
        <v>1</v>
      </c>
      <c r="E65" s="383">
        <v>409</v>
      </c>
      <c r="F65" s="383">
        <v>214</v>
      </c>
      <c r="G65" s="383">
        <v>272</v>
      </c>
      <c r="H65" s="383">
        <v>2723</v>
      </c>
      <c r="I65" s="382">
        <v>2451</v>
      </c>
      <c r="J65" s="382">
        <v>2</v>
      </c>
      <c r="K65" s="384">
        <v>95.73</v>
      </c>
      <c r="L65" s="384">
        <v>77.56</v>
      </c>
      <c r="M65" s="384">
        <v>5.46</v>
      </c>
      <c r="N65" s="384">
        <v>100.28</v>
      </c>
      <c r="O65" s="385">
        <v>1484</v>
      </c>
      <c r="P65" s="382">
        <v>91.96</v>
      </c>
      <c r="Q65" s="382">
        <v>76.069999999999993</v>
      </c>
      <c r="R65" s="382">
        <v>55.54</v>
      </c>
      <c r="S65" s="382">
        <v>142.24</v>
      </c>
      <c r="T65" s="382">
        <v>486</v>
      </c>
      <c r="U65" s="382">
        <v>129.61000000000001</v>
      </c>
      <c r="V65" s="382">
        <v>250</v>
      </c>
      <c r="W65" s="382">
        <v>193.58</v>
      </c>
      <c r="X65" s="382">
        <v>147</v>
      </c>
      <c r="Y65" s="382">
        <v>0</v>
      </c>
      <c r="Z65" s="382">
        <v>0</v>
      </c>
      <c r="AA65" s="382">
        <v>1</v>
      </c>
      <c r="AB65" s="382">
        <v>17</v>
      </c>
      <c r="AC65" s="382">
        <v>7</v>
      </c>
      <c r="AD65" s="386">
        <v>1673</v>
      </c>
      <c r="AE65" s="386">
        <v>11</v>
      </c>
      <c r="AF65" s="386">
        <v>32</v>
      </c>
      <c r="AG65" s="386">
        <v>43</v>
      </c>
    </row>
    <row r="66" spans="1:33" x14ac:dyDescent="0.25">
      <c r="A66" s="381" t="s">
        <v>192</v>
      </c>
      <c r="B66" s="387" t="s">
        <v>193</v>
      </c>
      <c r="C66" s="383">
        <v>6290</v>
      </c>
      <c r="D66" s="383">
        <v>10</v>
      </c>
      <c r="E66" s="383">
        <v>199</v>
      </c>
      <c r="F66" s="383">
        <v>1487</v>
      </c>
      <c r="G66" s="383">
        <v>632</v>
      </c>
      <c r="H66" s="383">
        <v>8618</v>
      </c>
      <c r="I66" s="382">
        <v>7986</v>
      </c>
      <c r="J66" s="382">
        <v>0</v>
      </c>
      <c r="K66" s="384">
        <v>105.67</v>
      </c>
      <c r="L66" s="384">
        <v>102</v>
      </c>
      <c r="M66" s="384">
        <v>6.18</v>
      </c>
      <c r="N66" s="384">
        <v>107.59</v>
      </c>
      <c r="O66" s="385">
        <v>5070</v>
      </c>
      <c r="P66" s="382">
        <v>95.09</v>
      </c>
      <c r="Q66" s="382">
        <v>95.8</v>
      </c>
      <c r="R66" s="382">
        <v>21.45</v>
      </c>
      <c r="S66" s="382">
        <v>115.77</v>
      </c>
      <c r="T66" s="382">
        <v>1562</v>
      </c>
      <c r="U66" s="382">
        <v>155.13999999999999</v>
      </c>
      <c r="V66" s="382">
        <v>1151</v>
      </c>
      <c r="W66" s="382">
        <v>212.79</v>
      </c>
      <c r="X66" s="382">
        <v>95</v>
      </c>
      <c r="Y66" s="382">
        <v>0</v>
      </c>
      <c r="Z66" s="382">
        <v>11</v>
      </c>
      <c r="AA66" s="382">
        <v>7</v>
      </c>
      <c r="AB66" s="382">
        <v>120</v>
      </c>
      <c r="AC66" s="382">
        <v>17</v>
      </c>
      <c r="AD66" s="386">
        <v>6212</v>
      </c>
      <c r="AE66" s="386">
        <v>16</v>
      </c>
      <c r="AF66" s="386">
        <v>37</v>
      </c>
      <c r="AG66" s="386">
        <v>53</v>
      </c>
    </row>
    <row r="67" spans="1:33" x14ac:dyDescent="0.25">
      <c r="A67" s="381" t="s">
        <v>194</v>
      </c>
      <c r="B67" s="387" t="s">
        <v>195</v>
      </c>
      <c r="C67" s="383">
        <v>15591</v>
      </c>
      <c r="D67" s="383">
        <v>0</v>
      </c>
      <c r="E67" s="383">
        <v>852</v>
      </c>
      <c r="F67" s="383">
        <v>4045</v>
      </c>
      <c r="G67" s="383">
        <v>890</v>
      </c>
      <c r="H67" s="383">
        <v>21378</v>
      </c>
      <c r="I67" s="382">
        <v>20488</v>
      </c>
      <c r="J67" s="382">
        <v>162</v>
      </c>
      <c r="K67" s="384">
        <v>89.54</v>
      </c>
      <c r="L67" s="384">
        <v>89.49</v>
      </c>
      <c r="M67" s="384">
        <v>6.21</v>
      </c>
      <c r="N67" s="384">
        <v>91.72</v>
      </c>
      <c r="O67" s="385">
        <v>12194</v>
      </c>
      <c r="P67" s="382">
        <v>87.98</v>
      </c>
      <c r="Q67" s="382">
        <v>85.23</v>
      </c>
      <c r="R67" s="382">
        <v>21.62</v>
      </c>
      <c r="S67" s="382">
        <v>106.43</v>
      </c>
      <c r="T67" s="382">
        <v>4510</v>
      </c>
      <c r="U67" s="382">
        <v>110</v>
      </c>
      <c r="V67" s="382">
        <v>3318</v>
      </c>
      <c r="W67" s="382">
        <v>107.14</v>
      </c>
      <c r="X67" s="382">
        <v>159</v>
      </c>
      <c r="Y67" s="382">
        <v>0</v>
      </c>
      <c r="Z67" s="382">
        <v>63</v>
      </c>
      <c r="AA67" s="382">
        <v>3</v>
      </c>
      <c r="AB67" s="382">
        <v>98</v>
      </c>
      <c r="AC67" s="382">
        <v>17</v>
      </c>
      <c r="AD67" s="386">
        <v>15563</v>
      </c>
      <c r="AE67" s="386">
        <v>112</v>
      </c>
      <c r="AF67" s="386">
        <v>74</v>
      </c>
      <c r="AG67" s="386">
        <v>186</v>
      </c>
    </row>
    <row r="68" spans="1:33" x14ac:dyDescent="0.25">
      <c r="A68" s="381" t="s">
        <v>196</v>
      </c>
      <c r="B68" s="387" t="s">
        <v>197</v>
      </c>
      <c r="C68" s="383">
        <v>14131</v>
      </c>
      <c r="D68" s="383">
        <v>12</v>
      </c>
      <c r="E68" s="383">
        <v>741</v>
      </c>
      <c r="F68" s="383">
        <v>3334</v>
      </c>
      <c r="G68" s="383">
        <v>1429</v>
      </c>
      <c r="H68" s="383">
        <v>19647</v>
      </c>
      <c r="I68" s="382">
        <v>18218</v>
      </c>
      <c r="J68" s="382">
        <v>0</v>
      </c>
      <c r="K68" s="384">
        <v>92.59</v>
      </c>
      <c r="L68" s="384">
        <v>94.08</v>
      </c>
      <c r="M68" s="384">
        <v>4.57</v>
      </c>
      <c r="N68" s="384">
        <v>94.14</v>
      </c>
      <c r="O68" s="385">
        <v>11940</v>
      </c>
      <c r="P68" s="382">
        <v>89.07</v>
      </c>
      <c r="Q68" s="382">
        <v>88.84</v>
      </c>
      <c r="R68" s="382">
        <v>28.43</v>
      </c>
      <c r="S68" s="382">
        <v>109.48</v>
      </c>
      <c r="T68" s="382">
        <v>3279</v>
      </c>
      <c r="U68" s="382">
        <v>111.48</v>
      </c>
      <c r="V68" s="382">
        <v>1905</v>
      </c>
      <c r="W68" s="382">
        <v>149.08000000000001</v>
      </c>
      <c r="X68" s="382">
        <v>369</v>
      </c>
      <c r="Y68" s="382">
        <v>0</v>
      </c>
      <c r="Z68" s="382">
        <v>52</v>
      </c>
      <c r="AA68" s="382">
        <v>0</v>
      </c>
      <c r="AB68" s="382">
        <v>108</v>
      </c>
      <c r="AC68" s="382">
        <v>20</v>
      </c>
      <c r="AD68" s="386">
        <v>13991</v>
      </c>
      <c r="AE68" s="386">
        <v>85</v>
      </c>
      <c r="AF68" s="386">
        <v>34</v>
      </c>
      <c r="AG68" s="386">
        <v>119</v>
      </c>
    </row>
    <row r="69" spans="1:33" x14ac:dyDescent="0.25">
      <c r="A69" s="381" t="s">
        <v>198</v>
      </c>
      <c r="B69" s="387" t="s">
        <v>199</v>
      </c>
      <c r="C69" s="383">
        <v>825</v>
      </c>
      <c r="D69" s="383">
        <v>0</v>
      </c>
      <c r="E69" s="383">
        <v>130</v>
      </c>
      <c r="F69" s="383">
        <v>494</v>
      </c>
      <c r="G69" s="383">
        <v>93</v>
      </c>
      <c r="H69" s="383">
        <v>1542</v>
      </c>
      <c r="I69" s="382">
        <v>1449</v>
      </c>
      <c r="J69" s="382">
        <v>0</v>
      </c>
      <c r="K69" s="384">
        <v>87.17</v>
      </c>
      <c r="L69" s="384">
        <v>85.61</v>
      </c>
      <c r="M69" s="384">
        <v>6.22</v>
      </c>
      <c r="N69" s="384">
        <v>89.82</v>
      </c>
      <c r="O69" s="385">
        <v>653</v>
      </c>
      <c r="P69" s="382">
        <v>88.93</v>
      </c>
      <c r="Q69" s="382">
        <v>83.86</v>
      </c>
      <c r="R69" s="382">
        <v>23.09</v>
      </c>
      <c r="S69" s="382">
        <v>110.49</v>
      </c>
      <c r="T69" s="382">
        <v>588</v>
      </c>
      <c r="U69" s="382">
        <v>96.24</v>
      </c>
      <c r="V69" s="382">
        <v>77</v>
      </c>
      <c r="W69" s="382">
        <v>0</v>
      </c>
      <c r="X69" s="382">
        <v>0</v>
      </c>
      <c r="Y69" s="382">
        <v>0</v>
      </c>
      <c r="Z69" s="382">
        <v>0</v>
      </c>
      <c r="AA69" s="382">
        <v>1</v>
      </c>
      <c r="AB69" s="382">
        <v>4</v>
      </c>
      <c r="AC69" s="382">
        <v>3</v>
      </c>
      <c r="AD69" s="386">
        <v>719</v>
      </c>
      <c r="AE69" s="386">
        <v>14</v>
      </c>
      <c r="AF69" s="386">
        <v>4</v>
      </c>
      <c r="AG69" s="386">
        <v>18</v>
      </c>
    </row>
    <row r="70" spans="1:33" x14ac:dyDescent="0.25">
      <c r="A70" s="381" t="s">
        <v>200</v>
      </c>
      <c r="B70" s="387" t="s">
        <v>201</v>
      </c>
      <c r="C70" s="383">
        <v>7167</v>
      </c>
      <c r="D70" s="383">
        <v>0</v>
      </c>
      <c r="E70" s="383">
        <v>149</v>
      </c>
      <c r="F70" s="383">
        <v>736</v>
      </c>
      <c r="G70" s="383">
        <v>536</v>
      </c>
      <c r="H70" s="383">
        <v>8588</v>
      </c>
      <c r="I70" s="382">
        <v>8052</v>
      </c>
      <c r="J70" s="382">
        <v>224</v>
      </c>
      <c r="K70" s="384">
        <v>105.64</v>
      </c>
      <c r="L70" s="384">
        <v>113.24</v>
      </c>
      <c r="M70" s="384">
        <v>6.41</v>
      </c>
      <c r="N70" s="384">
        <v>108.67</v>
      </c>
      <c r="O70" s="385">
        <v>6270</v>
      </c>
      <c r="P70" s="382">
        <v>95.48</v>
      </c>
      <c r="Q70" s="382">
        <v>100.99</v>
      </c>
      <c r="R70" s="382">
        <v>29.01</v>
      </c>
      <c r="S70" s="382">
        <v>123.9</v>
      </c>
      <c r="T70" s="382">
        <v>676</v>
      </c>
      <c r="U70" s="382">
        <v>153.35</v>
      </c>
      <c r="V70" s="382">
        <v>849</v>
      </c>
      <c r="W70" s="382">
        <v>142.52000000000001</v>
      </c>
      <c r="X70" s="382">
        <v>4</v>
      </c>
      <c r="Y70" s="382">
        <v>0</v>
      </c>
      <c r="Z70" s="382">
        <v>11</v>
      </c>
      <c r="AA70" s="382">
        <v>2</v>
      </c>
      <c r="AB70" s="382">
        <v>59</v>
      </c>
      <c r="AC70" s="382">
        <v>10</v>
      </c>
      <c r="AD70" s="386">
        <v>7102</v>
      </c>
      <c r="AE70" s="386">
        <v>38</v>
      </c>
      <c r="AF70" s="386">
        <v>8</v>
      </c>
      <c r="AG70" s="386">
        <v>46</v>
      </c>
    </row>
    <row r="71" spans="1:33" x14ac:dyDescent="0.25">
      <c r="A71" s="381" t="s">
        <v>202</v>
      </c>
      <c r="B71" s="387" t="s">
        <v>203</v>
      </c>
      <c r="C71" s="383">
        <v>5957</v>
      </c>
      <c r="D71" s="383">
        <v>0</v>
      </c>
      <c r="E71" s="383">
        <v>381</v>
      </c>
      <c r="F71" s="383">
        <v>527</v>
      </c>
      <c r="G71" s="383">
        <v>203</v>
      </c>
      <c r="H71" s="383">
        <v>7068</v>
      </c>
      <c r="I71" s="382">
        <v>6865</v>
      </c>
      <c r="J71" s="382">
        <v>19</v>
      </c>
      <c r="K71" s="384">
        <v>80.87</v>
      </c>
      <c r="L71" s="384">
        <v>78.05</v>
      </c>
      <c r="M71" s="384">
        <v>5.76</v>
      </c>
      <c r="N71" s="384">
        <v>84.96</v>
      </c>
      <c r="O71" s="385">
        <v>5292</v>
      </c>
      <c r="P71" s="382">
        <v>90.05</v>
      </c>
      <c r="Q71" s="382">
        <v>70.56</v>
      </c>
      <c r="R71" s="382">
        <v>23.93</v>
      </c>
      <c r="S71" s="382">
        <v>112.73</v>
      </c>
      <c r="T71" s="382">
        <v>801</v>
      </c>
      <c r="U71" s="382">
        <v>101.12</v>
      </c>
      <c r="V71" s="382">
        <v>611</v>
      </c>
      <c r="W71" s="382">
        <v>0</v>
      </c>
      <c r="X71" s="382">
        <v>0</v>
      </c>
      <c r="Y71" s="382">
        <v>36</v>
      </c>
      <c r="Z71" s="382">
        <v>20</v>
      </c>
      <c r="AA71" s="382">
        <v>8</v>
      </c>
      <c r="AB71" s="382">
        <v>5</v>
      </c>
      <c r="AC71" s="382">
        <v>3</v>
      </c>
      <c r="AD71" s="386">
        <v>5925</v>
      </c>
      <c r="AE71" s="386">
        <v>37</v>
      </c>
      <c r="AF71" s="386">
        <v>5</v>
      </c>
      <c r="AG71" s="386">
        <v>42</v>
      </c>
    </row>
    <row r="72" spans="1:33" x14ac:dyDescent="0.25">
      <c r="A72" s="381" t="s">
        <v>204</v>
      </c>
      <c r="B72" s="387" t="s">
        <v>205</v>
      </c>
      <c r="C72" s="383">
        <v>194</v>
      </c>
      <c r="D72" s="383">
        <v>0</v>
      </c>
      <c r="E72" s="383">
        <v>17</v>
      </c>
      <c r="F72" s="383">
        <v>19</v>
      </c>
      <c r="G72" s="383">
        <v>0</v>
      </c>
      <c r="H72" s="383">
        <v>230</v>
      </c>
      <c r="I72" s="382">
        <v>230</v>
      </c>
      <c r="J72" s="382">
        <v>0</v>
      </c>
      <c r="K72" s="384">
        <v>126.83</v>
      </c>
      <c r="L72" s="384">
        <v>129.80000000000001</v>
      </c>
      <c r="M72" s="384">
        <v>11.99</v>
      </c>
      <c r="N72" s="384">
        <v>138.82</v>
      </c>
      <c r="O72" s="385">
        <v>160</v>
      </c>
      <c r="P72" s="382">
        <v>113.56</v>
      </c>
      <c r="Q72" s="382">
        <v>112.8</v>
      </c>
      <c r="R72" s="382">
        <v>107.59</v>
      </c>
      <c r="S72" s="382">
        <v>221.15</v>
      </c>
      <c r="T72" s="382">
        <v>36</v>
      </c>
      <c r="U72" s="382">
        <v>212.19</v>
      </c>
      <c r="V72" s="382">
        <v>34</v>
      </c>
      <c r="W72" s="382">
        <v>0</v>
      </c>
      <c r="X72" s="382">
        <v>0</v>
      </c>
      <c r="Y72" s="382">
        <v>0</v>
      </c>
      <c r="Z72" s="382">
        <v>0</v>
      </c>
      <c r="AA72" s="382">
        <v>0</v>
      </c>
      <c r="AB72" s="382">
        <v>0</v>
      </c>
      <c r="AC72" s="382">
        <v>0</v>
      </c>
      <c r="AD72" s="386">
        <v>194</v>
      </c>
      <c r="AE72" s="386">
        <v>0</v>
      </c>
      <c r="AF72" s="386">
        <v>0</v>
      </c>
      <c r="AG72" s="386">
        <v>0</v>
      </c>
    </row>
    <row r="73" spans="1:33" x14ac:dyDescent="0.25">
      <c r="A73" s="381" t="s">
        <v>206</v>
      </c>
      <c r="B73" s="387" t="s">
        <v>207</v>
      </c>
      <c r="C73" s="383">
        <v>3988</v>
      </c>
      <c r="D73" s="383">
        <v>178</v>
      </c>
      <c r="E73" s="383">
        <v>632</v>
      </c>
      <c r="F73" s="383">
        <v>355</v>
      </c>
      <c r="G73" s="383">
        <v>294</v>
      </c>
      <c r="H73" s="383">
        <v>5447</v>
      </c>
      <c r="I73" s="382">
        <v>5153</v>
      </c>
      <c r="J73" s="382">
        <v>7</v>
      </c>
      <c r="K73" s="384">
        <v>103.65</v>
      </c>
      <c r="L73" s="384">
        <v>102.79</v>
      </c>
      <c r="M73" s="384">
        <v>6.03</v>
      </c>
      <c r="N73" s="384">
        <v>108.53</v>
      </c>
      <c r="O73" s="385">
        <v>2823</v>
      </c>
      <c r="P73" s="382">
        <v>106.22</v>
      </c>
      <c r="Q73" s="382">
        <v>82.95</v>
      </c>
      <c r="R73" s="382">
        <v>48.31</v>
      </c>
      <c r="S73" s="382">
        <v>149.86000000000001</v>
      </c>
      <c r="T73" s="382">
        <v>674</v>
      </c>
      <c r="U73" s="382">
        <v>131.46</v>
      </c>
      <c r="V73" s="382">
        <v>891</v>
      </c>
      <c r="W73" s="382">
        <v>114.9</v>
      </c>
      <c r="X73" s="382">
        <v>34</v>
      </c>
      <c r="Y73" s="382">
        <v>0</v>
      </c>
      <c r="Z73" s="382">
        <v>0</v>
      </c>
      <c r="AA73" s="382">
        <v>2</v>
      </c>
      <c r="AB73" s="382">
        <v>31</v>
      </c>
      <c r="AC73" s="382">
        <v>7</v>
      </c>
      <c r="AD73" s="386">
        <v>3921</v>
      </c>
      <c r="AE73" s="386">
        <v>18</v>
      </c>
      <c r="AF73" s="386">
        <v>42</v>
      </c>
      <c r="AG73" s="386">
        <v>60</v>
      </c>
    </row>
    <row r="74" spans="1:33" x14ac:dyDescent="0.25">
      <c r="A74" s="381" t="s">
        <v>208</v>
      </c>
      <c r="B74" s="387" t="s">
        <v>209</v>
      </c>
      <c r="C74" s="383">
        <v>5646</v>
      </c>
      <c r="D74" s="383">
        <v>29</v>
      </c>
      <c r="E74" s="383">
        <v>77</v>
      </c>
      <c r="F74" s="383">
        <v>307</v>
      </c>
      <c r="G74" s="383">
        <v>46</v>
      </c>
      <c r="H74" s="383">
        <v>6105</v>
      </c>
      <c r="I74" s="382">
        <v>6059</v>
      </c>
      <c r="J74" s="382">
        <v>27</v>
      </c>
      <c r="K74" s="384">
        <v>85.9</v>
      </c>
      <c r="L74" s="384">
        <v>82.96</v>
      </c>
      <c r="M74" s="384">
        <v>1.18</v>
      </c>
      <c r="N74" s="384">
        <v>86.96</v>
      </c>
      <c r="O74" s="385">
        <v>5371</v>
      </c>
      <c r="P74" s="382">
        <v>78.42</v>
      </c>
      <c r="Q74" s="382">
        <v>77.099999999999994</v>
      </c>
      <c r="R74" s="382">
        <v>36.130000000000003</v>
      </c>
      <c r="S74" s="382">
        <v>114.06</v>
      </c>
      <c r="T74" s="382">
        <v>366</v>
      </c>
      <c r="U74" s="382">
        <v>92.88</v>
      </c>
      <c r="V74" s="382">
        <v>277</v>
      </c>
      <c r="W74" s="382">
        <v>0</v>
      </c>
      <c r="X74" s="382">
        <v>0</v>
      </c>
      <c r="Y74" s="382">
        <v>0</v>
      </c>
      <c r="Z74" s="382">
        <v>0</v>
      </c>
      <c r="AA74" s="382">
        <v>2</v>
      </c>
      <c r="AB74" s="382">
        <v>0</v>
      </c>
      <c r="AC74" s="382">
        <v>0</v>
      </c>
      <c r="AD74" s="386">
        <v>5613</v>
      </c>
      <c r="AE74" s="386">
        <v>136</v>
      </c>
      <c r="AF74" s="386">
        <v>48</v>
      </c>
      <c r="AG74" s="386">
        <v>184</v>
      </c>
    </row>
    <row r="75" spans="1:33" x14ac:dyDescent="0.25">
      <c r="A75" s="381" t="s">
        <v>210</v>
      </c>
      <c r="B75" s="387" t="s">
        <v>211</v>
      </c>
      <c r="C75" s="383">
        <v>18717</v>
      </c>
      <c r="D75" s="383">
        <v>30</v>
      </c>
      <c r="E75" s="383">
        <v>924</v>
      </c>
      <c r="F75" s="383">
        <v>2007</v>
      </c>
      <c r="G75" s="383">
        <v>2074</v>
      </c>
      <c r="H75" s="383">
        <v>23752</v>
      </c>
      <c r="I75" s="382">
        <v>21678</v>
      </c>
      <c r="J75" s="382">
        <v>8</v>
      </c>
      <c r="K75" s="384">
        <v>84.44</v>
      </c>
      <c r="L75" s="384">
        <v>79.02</v>
      </c>
      <c r="M75" s="384">
        <v>3.69</v>
      </c>
      <c r="N75" s="384">
        <v>87.51</v>
      </c>
      <c r="O75" s="385">
        <v>14936</v>
      </c>
      <c r="P75" s="382">
        <v>81.739999999999995</v>
      </c>
      <c r="Q75" s="382">
        <v>72.02</v>
      </c>
      <c r="R75" s="382">
        <v>42.31</v>
      </c>
      <c r="S75" s="382">
        <v>122.2</v>
      </c>
      <c r="T75" s="382">
        <v>2682</v>
      </c>
      <c r="U75" s="382">
        <v>130.37</v>
      </c>
      <c r="V75" s="382">
        <v>2650</v>
      </c>
      <c r="W75" s="382">
        <v>129.32</v>
      </c>
      <c r="X75" s="382">
        <v>62</v>
      </c>
      <c r="Y75" s="382">
        <v>0</v>
      </c>
      <c r="Z75" s="382">
        <v>17</v>
      </c>
      <c r="AA75" s="382">
        <v>77</v>
      </c>
      <c r="AB75" s="382">
        <v>233</v>
      </c>
      <c r="AC75" s="382">
        <v>31</v>
      </c>
      <c r="AD75" s="386">
        <v>18304</v>
      </c>
      <c r="AE75" s="386">
        <v>48</v>
      </c>
      <c r="AF75" s="386">
        <v>181</v>
      </c>
      <c r="AG75" s="386">
        <v>229</v>
      </c>
    </row>
    <row r="76" spans="1:33" x14ac:dyDescent="0.25">
      <c r="A76" s="381" t="s">
        <v>212</v>
      </c>
      <c r="B76" s="387" t="s">
        <v>213</v>
      </c>
      <c r="C76" s="383">
        <v>5336</v>
      </c>
      <c r="D76" s="383">
        <v>2</v>
      </c>
      <c r="E76" s="383">
        <v>59</v>
      </c>
      <c r="F76" s="383">
        <v>554</v>
      </c>
      <c r="G76" s="383">
        <v>639</v>
      </c>
      <c r="H76" s="383">
        <v>6590</v>
      </c>
      <c r="I76" s="382">
        <v>5951</v>
      </c>
      <c r="J76" s="382">
        <v>0</v>
      </c>
      <c r="K76" s="384">
        <v>104.15</v>
      </c>
      <c r="L76" s="384">
        <v>64.53</v>
      </c>
      <c r="M76" s="384">
        <v>4.2699999999999996</v>
      </c>
      <c r="N76" s="384">
        <v>105.71</v>
      </c>
      <c r="O76" s="385">
        <v>4420</v>
      </c>
      <c r="P76" s="382">
        <v>96.45</v>
      </c>
      <c r="Q76" s="382">
        <v>60.99</v>
      </c>
      <c r="R76" s="382">
        <v>22.88</v>
      </c>
      <c r="S76" s="382">
        <v>118.38</v>
      </c>
      <c r="T76" s="382">
        <v>556</v>
      </c>
      <c r="U76" s="382">
        <v>136.07</v>
      </c>
      <c r="V76" s="382">
        <v>680</v>
      </c>
      <c r="W76" s="382">
        <v>176</v>
      </c>
      <c r="X76" s="382">
        <v>50</v>
      </c>
      <c r="Y76" s="382">
        <v>0</v>
      </c>
      <c r="Z76" s="382">
        <v>2</v>
      </c>
      <c r="AA76" s="382">
        <v>0</v>
      </c>
      <c r="AB76" s="382">
        <v>52</v>
      </c>
      <c r="AC76" s="382">
        <v>9</v>
      </c>
      <c r="AD76" s="386">
        <v>5091</v>
      </c>
      <c r="AE76" s="386">
        <v>30</v>
      </c>
      <c r="AF76" s="386">
        <v>78</v>
      </c>
      <c r="AG76" s="386">
        <v>108</v>
      </c>
    </row>
    <row r="77" spans="1:33" x14ac:dyDescent="0.25">
      <c r="A77" s="381" t="s">
        <v>214</v>
      </c>
      <c r="B77" s="387" t="s">
        <v>215</v>
      </c>
      <c r="C77" s="383">
        <v>45417</v>
      </c>
      <c r="D77" s="383">
        <v>94</v>
      </c>
      <c r="E77" s="383">
        <v>802</v>
      </c>
      <c r="F77" s="383">
        <v>1464</v>
      </c>
      <c r="G77" s="383">
        <v>228</v>
      </c>
      <c r="H77" s="383">
        <v>48005</v>
      </c>
      <c r="I77" s="382">
        <v>47777</v>
      </c>
      <c r="J77" s="382">
        <v>58</v>
      </c>
      <c r="K77" s="384">
        <v>72.69</v>
      </c>
      <c r="L77" s="384">
        <v>73.040000000000006</v>
      </c>
      <c r="M77" s="384">
        <v>7.43</v>
      </c>
      <c r="N77" s="384">
        <v>73.819999999999993</v>
      </c>
      <c r="O77" s="385">
        <v>41484</v>
      </c>
      <c r="P77" s="382">
        <v>95.97</v>
      </c>
      <c r="Q77" s="382">
        <v>78.27</v>
      </c>
      <c r="R77" s="382">
        <v>53.16</v>
      </c>
      <c r="S77" s="382">
        <v>145.82</v>
      </c>
      <c r="T77" s="382">
        <v>1909</v>
      </c>
      <c r="U77" s="382">
        <v>89.34</v>
      </c>
      <c r="V77" s="382">
        <v>3289</v>
      </c>
      <c r="W77" s="382">
        <v>134.76</v>
      </c>
      <c r="X77" s="382">
        <v>152</v>
      </c>
      <c r="Y77" s="382">
        <v>0</v>
      </c>
      <c r="Z77" s="382">
        <v>225</v>
      </c>
      <c r="AA77" s="382">
        <v>84</v>
      </c>
      <c r="AB77" s="382">
        <v>17</v>
      </c>
      <c r="AC77" s="382">
        <v>5</v>
      </c>
      <c r="AD77" s="386">
        <v>44509</v>
      </c>
      <c r="AE77" s="386">
        <v>413</v>
      </c>
      <c r="AF77" s="386">
        <v>279</v>
      </c>
      <c r="AG77" s="386">
        <v>692</v>
      </c>
    </row>
    <row r="78" spans="1:33" x14ac:dyDescent="0.25">
      <c r="A78" s="381" t="s">
        <v>216</v>
      </c>
      <c r="B78" s="387" t="s">
        <v>217</v>
      </c>
      <c r="C78" s="383">
        <v>22241</v>
      </c>
      <c r="D78" s="383">
        <v>1</v>
      </c>
      <c r="E78" s="383">
        <v>707</v>
      </c>
      <c r="F78" s="383">
        <v>1797</v>
      </c>
      <c r="G78" s="383">
        <v>623</v>
      </c>
      <c r="H78" s="383">
        <v>25369</v>
      </c>
      <c r="I78" s="382">
        <v>24746</v>
      </c>
      <c r="J78" s="382">
        <v>5</v>
      </c>
      <c r="K78" s="384">
        <v>85.65</v>
      </c>
      <c r="L78" s="384">
        <v>85.79</v>
      </c>
      <c r="M78" s="384">
        <v>5.3</v>
      </c>
      <c r="N78" s="384">
        <v>90.49</v>
      </c>
      <c r="O78" s="385">
        <v>20061</v>
      </c>
      <c r="P78" s="382">
        <v>87.89</v>
      </c>
      <c r="Q78" s="382">
        <v>85.5</v>
      </c>
      <c r="R78" s="382">
        <v>48.95</v>
      </c>
      <c r="S78" s="382">
        <v>135.85</v>
      </c>
      <c r="T78" s="382">
        <v>2298</v>
      </c>
      <c r="U78" s="382">
        <v>108.37</v>
      </c>
      <c r="V78" s="382">
        <v>1833</v>
      </c>
      <c r="W78" s="382">
        <v>0</v>
      </c>
      <c r="X78" s="382">
        <v>0</v>
      </c>
      <c r="Y78" s="382">
        <v>0</v>
      </c>
      <c r="Z78" s="382">
        <v>78</v>
      </c>
      <c r="AA78" s="382">
        <v>27</v>
      </c>
      <c r="AB78" s="382">
        <v>23</v>
      </c>
      <c r="AC78" s="382">
        <v>36</v>
      </c>
      <c r="AD78" s="386">
        <v>22116</v>
      </c>
      <c r="AE78" s="386">
        <v>159</v>
      </c>
      <c r="AF78" s="386">
        <v>95</v>
      </c>
      <c r="AG78" s="386">
        <v>254</v>
      </c>
    </row>
    <row r="79" spans="1:33" x14ac:dyDescent="0.25">
      <c r="A79" s="381" t="s">
        <v>218</v>
      </c>
      <c r="B79" s="387" t="s">
        <v>219</v>
      </c>
      <c r="C79" s="383">
        <v>2233</v>
      </c>
      <c r="D79" s="383">
        <v>19</v>
      </c>
      <c r="E79" s="383">
        <v>43</v>
      </c>
      <c r="F79" s="383">
        <v>203</v>
      </c>
      <c r="G79" s="383">
        <v>45</v>
      </c>
      <c r="H79" s="383">
        <v>2543</v>
      </c>
      <c r="I79" s="382">
        <v>2498</v>
      </c>
      <c r="J79" s="382">
        <v>6</v>
      </c>
      <c r="K79" s="384">
        <v>85.83</v>
      </c>
      <c r="L79" s="384">
        <v>82.25</v>
      </c>
      <c r="M79" s="384">
        <v>7.83</v>
      </c>
      <c r="N79" s="384">
        <v>90.77</v>
      </c>
      <c r="O79" s="385">
        <v>1608</v>
      </c>
      <c r="P79" s="382">
        <v>81.63</v>
      </c>
      <c r="Q79" s="382">
        <v>74.36</v>
      </c>
      <c r="R79" s="382">
        <v>51.7</v>
      </c>
      <c r="S79" s="382">
        <v>131.22</v>
      </c>
      <c r="T79" s="382">
        <v>196</v>
      </c>
      <c r="U79" s="382">
        <v>96.23</v>
      </c>
      <c r="V79" s="382">
        <v>591</v>
      </c>
      <c r="W79" s="382">
        <v>139.35</v>
      </c>
      <c r="X79" s="382">
        <v>34</v>
      </c>
      <c r="Y79" s="382">
        <v>0</v>
      </c>
      <c r="Z79" s="382">
        <v>3</v>
      </c>
      <c r="AA79" s="382">
        <v>3</v>
      </c>
      <c r="AB79" s="382">
        <v>0</v>
      </c>
      <c r="AC79" s="382">
        <v>0</v>
      </c>
      <c r="AD79" s="386">
        <v>2217</v>
      </c>
      <c r="AE79" s="386">
        <v>5</v>
      </c>
      <c r="AF79" s="386">
        <v>5</v>
      </c>
      <c r="AG79" s="386">
        <v>10</v>
      </c>
    </row>
    <row r="80" spans="1:33" x14ac:dyDescent="0.25">
      <c r="A80" s="381" t="s">
        <v>220</v>
      </c>
      <c r="B80" s="387" t="s">
        <v>221</v>
      </c>
      <c r="C80" s="383">
        <v>2039</v>
      </c>
      <c r="D80" s="383">
        <v>0</v>
      </c>
      <c r="E80" s="383">
        <v>169</v>
      </c>
      <c r="F80" s="383">
        <v>285</v>
      </c>
      <c r="G80" s="383">
        <v>408</v>
      </c>
      <c r="H80" s="383">
        <v>2901</v>
      </c>
      <c r="I80" s="382">
        <v>2493</v>
      </c>
      <c r="J80" s="382">
        <v>2</v>
      </c>
      <c r="K80" s="384">
        <v>109.22</v>
      </c>
      <c r="L80" s="384">
        <v>105.53</v>
      </c>
      <c r="M80" s="384">
        <v>8.83</v>
      </c>
      <c r="N80" s="384">
        <v>117.11</v>
      </c>
      <c r="O80" s="385">
        <v>1617</v>
      </c>
      <c r="P80" s="382">
        <v>102.13</v>
      </c>
      <c r="Q80" s="382">
        <v>102.04</v>
      </c>
      <c r="R80" s="382">
        <v>36.07</v>
      </c>
      <c r="S80" s="382">
        <v>131.77000000000001</v>
      </c>
      <c r="T80" s="382">
        <v>202</v>
      </c>
      <c r="U80" s="382">
        <v>154.46</v>
      </c>
      <c r="V80" s="382">
        <v>380</v>
      </c>
      <c r="W80" s="382">
        <v>224.75</v>
      </c>
      <c r="X80" s="382">
        <v>52</v>
      </c>
      <c r="Y80" s="382">
        <v>0</v>
      </c>
      <c r="Z80" s="382">
        <v>8</v>
      </c>
      <c r="AA80" s="382">
        <v>0</v>
      </c>
      <c r="AB80" s="382">
        <v>42</v>
      </c>
      <c r="AC80" s="382">
        <v>7</v>
      </c>
      <c r="AD80" s="386">
        <v>2010</v>
      </c>
      <c r="AE80" s="386">
        <v>10</v>
      </c>
      <c r="AF80" s="386">
        <v>1</v>
      </c>
      <c r="AG80" s="386">
        <v>11</v>
      </c>
    </row>
    <row r="81" spans="1:33" x14ac:dyDescent="0.25">
      <c r="A81" s="381" t="s">
        <v>222</v>
      </c>
      <c r="B81" s="387" t="s">
        <v>223</v>
      </c>
      <c r="C81" s="383">
        <v>11042</v>
      </c>
      <c r="D81" s="383">
        <v>97</v>
      </c>
      <c r="E81" s="383">
        <v>1071</v>
      </c>
      <c r="F81" s="383">
        <v>799</v>
      </c>
      <c r="G81" s="383">
        <v>1802</v>
      </c>
      <c r="H81" s="383">
        <v>14811</v>
      </c>
      <c r="I81" s="382">
        <v>13009</v>
      </c>
      <c r="J81" s="382">
        <v>69</v>
      </c>
      <c r="K81" s="384">
        <v>123.9</v>
      </c>
      <c r="L81" s="384">
        <v>122.4</v>
      </c>
      <c r="M81" s="384">
        <v>8.92</v>
      </c>
      <c r="N81" s="384">
        <v>129.34</v>
      </c>
      <c r="O81" s="385">
        <v>8916</v>
      </c>
      <c r="P81" s="382">
        <v>120.52</v>
      </c>
      <c r="Q81" s="382">
        <v>96.54</v>
      </c>
      <c r="R81" s="382">
        <v>55.05</v>
      </c>
      <c r="S81" s="382">
        <v>170.69</v>
      </c>
      <c r="T81" s="382">
        <v>1230</v>
      </c>
      <c r="U81" s="382">
        <v>182.75</v>
      </c>
      <c r="V81" s="382">
        <v>1682</v>
      </c>
      <c r="W81" s="382">
        <v>117.57</v>
      </c>
      <c r="X81" s="382">
        <v>14</v>
      </c>
      <c r="Y81" s="382">
        <v>0</v>
      </c>
      <c r="Z81" s="382">
        <v>4</v>
      </c>
      <c r="AA81" s="382">
        <v>34</v>
      </c>
      <c r="AB81" s="382">
        <v>51</v>
      </c>
      <c r="AC81" s="382">
        <v>50</v>
      </c>
      <c r="AD81" s="386">
        <v>10781</v>
      </c>
      <c r="AE81" s="386">
        <v>22</v>
      </c>
      <c r="AF81" s="386">
        <v>32</v>
      </c>
      <c r="AG81" s="386">
        <v>54</v>
      </c>
    </row>
    <row r="82" spans="1:33" x14ac:dyDescent="0.25">
      <c r="A82" s="381" t="s">
        <v>224</v>
      </c>
      <c r="B82" s="387" t="s">
        <v>225</v>
      </c>
      <c r="C82" s="383">
        <v>2820</v>
      </c>
      <c r="D82" s="383">
        <v>0</v>
      </c>
      <c r="E82" s="383">
        <v>287</v>
      </c>
      <c r="F82" s="383">
        <v>241</v>
      </c>
      <c r="G82" s="383">
        <v>329</v>
      </c>
      <c r="H82" s="383">
        <v>3677</v>
      </c>
      <c r="I82" s="382">
        <v>3348</v>
      </c>
      <c r="J82" s="382">
        <v>5</v>
      </c>
      <c r="K82" s="384">
        <v>120.97</v>
      </c>
      <c r="L82" s="384">
        <v>116</v>
      </c>
      <c r="M82" s="384">
        <v>6.58</v>
      </c>
      <c r="N82" s="384">
        <v>125.96</v>
      </c>
      <c r="O82" s="385">
        <v>2006</v>
      </c>
      <c r="P82" s="382">
        <v>117.26</v>
      </c>
      <c r="Q82" s="382">
        <v>99.33</v>
      </c>
      <c r="R82" s="382">
        <v>35.25</v>
      </c>
      <c r="S82" s="382">
        <v>151.43</v>
      </c>
      <c r="T82" s="382">
        <v>424</v>
      </c>
      <c r="U82" s="382">
        <v>165.52</v>
      </c>
      <c r="V82" s="382">
        <v>617</v>
      </c>
      <c r="W82" s="382">
        <v>155.55000000000001</v>
      </c>
      <c r="X82" s="382">
        <v>8</v>
      </c>
      <c r="Y82" s="382">
        <v>0</v>
      </c>
      <c r="Z82" s="382">
        <v>1</v>
      </c>
      <c r="AA82" s="382">
        <v>2</v>
      </c>
      <c r="AB82" s="382">
        <v>11</v>
      </c>
      <c r="AC82" s="382">
        <v>8</v>
      </c>
      <c r="AD82" s="386">
        <v>2783</v>
      </c>
      <c r="AE82" s="386">
        <v>28</v>
      </c>
      <c r="AF82" s="386">
        <v>9</v>
      </c>
      <c r="AG82" s="386">
        <v>37</v>
      </c>
    </row>
    <row r="83" spans="1:33" x14ac:dyDescent="0.25">
      <c r="A83" s="381" t="s">
        <v>226</v>
      </c>
      <c r="B83" s="387" t="s">
        <v>227</v>
      </c>
      <c r="C83" s="383">
        <v>1851</v>
      </c>
      <c r="D83" s="383">
        <v>34</v>
      </c>
      <c r="E83" s="383">
        <v>267</v>
      </c>
      <c r="F83" s="383">
        <v>506</v>
      </c>
      <c r="G83" s="383">
        <v>117</v>
      </c>
      <c r="H83" s="383">
        <v>2775</v>
      </c>
      <c r="I83" s="382">
        <v>2658</v>
      </c>
      <c r="J83" s="382">
        <v>0</v>
      </c>
      <c r="K83" s="384">
        <v>80.27</v>
      </c>
      <c r="L83" s="384">
        <v>78.010000000000005</v>
      </c>
      <c r="M83" s="384">
        <v>5.39</v>
      </c>
      <c r="N83" s="384">
        <v>83.68</v>
      </c>
      <c r="O83" s="385">
        <v>1168</v>
      </c>
      <c r="P83" s="382">
        <v>87.06</v>
      </c>
      <c r="Q83" s="382">
        <v>80.67</v>
      </c>
      <c r="R83" s="382">
        <v>36.369999999999997</v>
      </c>
      <c r="S83" s="382">
        <v>120.15</v>
      </c>
      <c r="T83" s="382">
        <v>567</v>
      </c>
      <c r="U83" s="382">
        <v>94.79</v>
      </c>
      <c r="V83" s="382">
        <v>385</v>
      </c>
      <c r="W83" s="382">
        <v>90.44</v>
      </c>
      <c r="X83" s="382">
        <v>10</v>
      </c>
      <c r="Y83" s="382">
        <v>0</v>
      </c>
      <c r="Z83" s="382">
        <v>1</v>
      </c>
      <c r="AA83" s="382">
        <v>2</v>
      </c>
      <c r="AB83" s="382">
        <v>1</v>
      </c>
      <c r="AC83" s="382">
        <v>2</v>
      </c>
      <c r="AD83" s="386">
        <v>1631</v>
      </c>
      <c r="AE83" s="386">
        <v>28</v>
      </c>
      <c r="AF83" s="386">
        <v>4</v>
      </c>
      <c r="AG83" s="386">
        <v>32</v>
      </c>
    </row>
    <row r="84" spans="1:33" x14ac:dyDescent="0.25">
      <c r="A84" s="381" t="s">
        <v>228</v>
      </c>
      <c r="B84" s="387" t="s">
        <v>229</v>
      </c>
      <c r="C84" s="383">
        <v>1666</v>
      </c>
      <c r="D84" s="383">
        <v>6</v>
      </c>
      <c r="E84" s="383">
        <v>164</v>
      </c>
      <c r="F84" s="383">
        <v>107</v>
      </c>
      <c r="G84" s="383">
        <v>769</v>
      </c>
      <c r="H84" s="383">
        <v>2712</v>
      </c>
      <c r="I84" s="382">
        <v>1943</v>
      </c>
      <c r="J84" s="382">
        <v>0</v>
      </c>
      <c r="K84" s="384">
        <v>108.91</v>
      </c>
      <c r="L84" s="384">
        <v>104.68</v>
      </c>
      <c r="M84" s="384">
        <v>6.33</v>
      </c>
      <c r="N84" s="384">
        <v>114.37</v>
      </c>
      <c r="O84" s="385">
        <v>859</v>
      </c>
      <c r="P84" s="382">
        <v>118.98</v>
      </c>
      <c r="Q84" s="382">
        <v>86.96</v>
      </c>
      <c r="R84" s="382">
        <v>46.01</v>
      </c>
      <c r="S84" s="382">
        <v>161.72</v>
      </c>
      <c r="T84" s="382">
        <v>155</v>
      </c>
      <c r="U84" s="382">
        <v>155.96</v>
      </c>
      <c r="V84" s="382">
        <v>367</v>
      </c>
      <c r="W84" s="382">
        <v>0</v>
      </c>
      <c r="X84" s="382">
        <v>0</v>
      </c>
      <c r="Y84" s="382">
        <v>0</v>
      </c>
      <c r="Z84" s="382">
        <v>0</v>
      </c>
      <c r="AA84" s="382">
        <v>2</v>
      </c>
      <c r="AB84" s="382">
        <v>121</v>
      </c>
      <c r="AC84" s="382">
        <v>14</v>
      </c>
      <c r="AD84" s="386">
        <v>1287</v>
      </c>
      <c r="AE84" s="386">
        <v>3</v>
      </c>
      <c r="AF84" s="386">
        <v>1</v>
      </c>
      <c r="AG84" s="386">
        <v>4</v>
      </c>
    </row>
    <row r="85" spans="1:33" x14ac:dyDescent="0.25">
      <c r="A85" s="381" t="s">
        <v>230</v>
      </c>
      <c r="B85" s="387" t="s">
        <v>231</v>
      </c>
      <c r="C85" s="383">
        <v>5963</v>
      </c>
      <c r="D85" s="383">
        <v>0</v>
      </c>
      <c r="E85" s="383">
        <v>620</v>
      </c>
      <c r="F85" s="383">
        <v>1316</v>
      </c>
      <c r="G85" s="383">
        <v>522</v>
      </c>
      <c r="H85" s="383">
        <v>8421</v>
      </c>
      <c r="I85" s="382">
        <v>7899</v>
      </c>
      <c r="J85" s="382">
        <v>12</v>
      </c>
      <c r="K85" s="384">
        <v>88.51</v>
      </c>
      <c r="L85" s="384">
        <v>87.97</v>
      </c>
      <c r="M85" s="384">
        <v>6.03</v>
      </c>
      <c r="N85" s="384">
        <v>92.77</v>
      </c>
      <c r="O85" s="385">
        <v>5464</v>
      </c>
      <c r="P85" s="382">
        <v>83.83</v>
      </c>
      <c r="Q85" s="382">
        <v>81</v>
      </c>
      <c r="R85" s="382">
        <v>45.59</v>
      </c>
      <c r="S85" s="382">
        <v>126.02</v>
      </c>
      <c r="T85" s="382">
        <v>1514</v>
      </c>
      <c r="U85" s="382">
        <v>99.78</v>
      </c>
      <c r="V85" s="382">
        <v>333</v>
      </c>
      <c r="W85" s="382">
        <v>148.72</v>
      </c>
      <c r="X85" s="382">
        <v>103</v>
      </c>
      <c r="Y85" s="382">
        <v>0</v>
      </c>
      <c r="Z85" s="382">
        <v>2</v>
      </c>
      <c r="AA85" s="382">
        <v>17</v>
      </c>
      <c r="AB85" s="382">
        <v>28</v>
      </c>
      <c r="AC85" s="382">
        <v>21</v>
      </c>
      <c r="AD85" s="386">
        <v>5822</v>
      </c>
      <c r="AE85" s="386">
        <v>35</v>
      </c>
      <c r="AF85" s="386">
        <v>12</v>
      </c>
      <c r="AG85" s="386">
        <v>47</v>
      </c>
    </row>
    <row r="86" spans="1:33" x14ac:dyDescent="0.25">
      <c r="A86" s="381" t="s">
        <v>232</v>
      </c>
      <c r="B86" s="387" t="s">
        <v>233</v>
      </c>
      <c r="C86" s="383">
        <v>3705</v>
      </c>
      <c r="D86" s="383">
        <v>0</v>
      </c>
      <c r="E86" s="383">
        <v>53</v>
      </c>
      <c r="F86" s="383">
        <v>283</v>
      </c>
      <c r="G86" s="383">
        <v>165</v>
      </c>
      <c r="H86" s="383">
        <v>4206</v>
      </c>
      <c r="I86" s="382">
        <v>4041</v>
      </c>
      <c r="J86" s="382">
        <v>0</v>
      </c>
      <c r="K86" s="384">
        <v>92.19</v>
      </c>
      <c r="L86" s="384">
        <v>94.53</v>
      </c>
      <c r="M86" s="384">
        <v>2.38</v>
      </c>
      <c r="N86" s="384">
        <v>94.3</v>
      </c>
      <c r="O86" s="385">
        <v>3402</v>
      </c>
      <c r="P86" s="382">
        <v>84.88</v>
      </c>
      <c r="Q86" s="382">
        <v>82.86</v>
      </c>
      <c r="R86" s="382">
        <v>23.12</v>
      </c>
      <c r="S86" s="382">
        <v>106.76</v>
      </c>
      <c r="T86" s="382">
        <v>315</v>
      </c>
      <c r="U86" s="382">
        <v>111.94</v>
      </c>
      <c r="V86" s="382">
        <v>195</v>
      </c>
      <c r="W86" s="382">
        <v>146.30000000000001</v>
      </c>
      <c r="X86" s="382">
        <v>2</v>
      </c>
      <c r="Y86" s="382">
        <v>0</v>
      </c>
      <c r="Z86" s="382">
        <v>12</v>
      </c>
      <c r="AA86" s="382">
        <v>12</v>
      </c>
      <c r="AB86" s="382">
        <v>9</v>
      </c>
      <c r="AC86" s="382">
        <v>2</v>
      </c>
      <c r="AD86" s="386">
        <v>3590</v>
      </c>
      <c r="AE86" s="386">
        <v>23</v>
      </c>
      <c r="AF86" s="386">
        <v>13</v>
      </c>
      <c r="AG86" s="386">
        <v>36</v>
      </c>
    </row>
    <row r="87" spans="1:33" x14ac:dyDescent="0.25">
      <c r="A87" s="381" t="s">
        <v>234</v>
      </c>
      <c r="B87" s="387" t="s">
        <v>235</v>
      </c>
      <c r="C87" s="383">
        <v>2333</v>
      </c>
      <c r="D87" s="383">
        <v>0</v>
      </c>
      <c r="E87" s="383">
        <v>620</v>
      </c>
      <c r="F87" s="383">
        <v>888</v>
      </c>
      <c r="G87" s="383">
        <v>235</v>
      </c>
      <c r="H87" s="383">
        <v>4076</v>
      </c>
      <c r="I87" s="382">
        <v>3841</v>
      </c>
      <c r="J87" s="382">
        <v>1</v>
      </c>
      <c r="K87" s="384">
        <v>82</v>
      </c>
      <c r="L87" s="384">
        <v>79.61</v>
      </c>
      <c r="M87" s="384">
        <v>5.73</v>
      </c>
      <c r="N87" s="384">
        <v>85.48</v>
      </c>
      <c r="O87" s="385">
        <v>1727</v>
      </c>
      <c r="P87" s="382">
        <v>97.64</v>
      </c>
      <c r="Q87" s="382">
        <v>79.97</v>
      </c>
      <c r="R87" s="382">
        <v>31.58</v>
      </c>
      <c r="S87" s="382">
        <v>127.6</v>
      </c>
      <c r="T87" s="382">
        <v>1302</v>
      </c>
      <c r="U87" s="382">
        <v>92.5</v>
      </c>
      <c r="V87" s="382">
        <v>491</v>
      </c>
      <c r="W87" s="382">
        <v>138.06</v>
      </c>
      <c r="X87" s="382">
        <v>90</v>
      </c>
      <c r="Y87" s="382">
        <v>0</v>
      </c>
      <c r="Z87" s="382">
        <v>1</v>
      </c>
      <c r="AA87" s="382">
        <v>10</v>
      </c>
      <c r="AB87" s="382">
        <v>8</v>
      </c>
      <c r="AC87" s="382">
        <v>5</v>
      </c>
      <c r="AD87" s="386">
        <v>2265</v>
      </c>
      <c r="AE87" s="386">
        <v>20</v>
      </c>
      <c r="AF87" s="386">
        <v>23</v>
      </c>
      <c r="AG87" s="386">
        <v>43</v>
      </c>
    </row>
    <row r="88" spans="1:33" x14ac:dyDescent="0.25">
      <c r="A88" s="381" t="s">
        <v>236</v>
      </c>
      <c r="B88" s="387" t="s">
        <v>237</v>
      </c>
      <c r="C88" s="382">
        <v>15915</v>
      </c>
      <c r="D88" s="382">
        <v>39</v>
      </c>
      <c r="E88" s="382">
        <v>758</v>
      </c>
      <c r="F88" s="382">
        <v>4215</v>
      </c>
      <c r="G88" s="382">
        <v>1010</v>
      </c>
      <c r="H88" s="382">
        <v>21937</v>
      </c>
      <c r="I88" s="382">
        <v>20927</v>
      </c>
      <c r="J88" s="382">
        <v>14</v>
      </c>
      <c r="K88" s="382">
        <v>99.67</v>
      </c>
      <c r="L88" s="384">
        <v>99.32</v>
      </c>
      <c r="M88" s="384">
        <v>3.34</v>
      </c>
      <c r="N88" s="384">
        <v>101.86</v>
      </c>
      <c r="O88" s="385">
        <v>14518</v>
      </c>
      <c r="P88" s="382">
        <v>90.97</v>
      </c>
      <c r="Q88" s="382">
        <v>85.99</v>
      </c>
      <c r="R88" s="382">
        <v>23.39</v>
      </c>
      <c r="S88" s="382">
        <v>113.79</v>
      </c>
      <c r="T88" s="382">
        <v>4430</v>
      </c>
      <c r="U88" s="382">
        <v>135.53</v>
      </c>
      <c r="V88" s="382">
        <v>1345</v>
      </c>
      <c r="W88" s="382">
        <v>162.91999999999999</v>
      </c>
      <c r="X88" s="382">
        <v>88</v>
      </c>
      <c r="Y88" s="382">
        <v>94</v>
      </c>
      <c r="Z88" s="382">
        <v>23</v>
      </c>
      <c r="AA88" s="382">
        <v>54</v>
      </c>
      <c r="AB88" s="382">
        <v>50</v>
      </c>
      <c r="AC88" s="382">
        <v>22</v>
      </c>
      <c r="AD88" s="382">
        <v>15845</v>
      </c>
      <c r="AE88" s="382">
        <v>39</v>
      </c>
      <c r="AF88" s="382">
        <v>37</v>
      </c>
      <c r="AG88" s="382">
        <v>76</v>
      </c>
    </row>
    <row r="89" spans="1:33" x14ac:dyDescent="0.25">
      <c r="A89" s="381" t="s">
        <v>238</v>
      </c>
      <c r="B89" s="387" t="s">
        <v>239</v>
      </c>
      <c r="C89" s="383">
        <v>2083</v>
      </c>
      <c r="D89" s="383">
        <v>0</v>
      </c>
      <c r="E89" s="383">
        <v>122</v>
      </c>
      <c r="F89" s="383">
        <v>458</v>
      </c>
      <c r="G89" s="383">
        <v>224</v>
      </c>
      <c r="H89" s="383">
        <v>2887</v>
      </c>
      <c r="I89" s="382">
        <v>2663</v>
      </c>
      <c r="J89" s="382">
        <v>0</v>
      </c>
      <c r="K89" s="384">
        <v>90.32</v>
      </c>
      <c r="L89" s="384">
        <v>88.81</v>
      </c>
      <c r="M89" s="384">
        <v>6.65</v>
      </c>
      <c r="N89" s="384">
        <v>95.58</v>
      </c>
      <c r="O89" s="385">
        <v>1785</v>
      </c>
      <c r="P89" s="382">
        <v>104.71</v>
      </c>
      <c r="Q89" s="382">
        <v>90.25</v>
      </c>
      <c r="R89" s="382">
        <v>40.43</v>
      </c>
      <c r="S89" s="382">
        <v>144.12</v>
      </c>
      <c r="T89" s="382">
        <v>556</v>
      </c>
      <c r="U89" s="382">
        <v>119.22</v>
      </c>
      <c r="V89" s="382">
        <v>215</v>
      </c>
      <c r="W89" s="382">
        <v>0</v>
      </c>
      <c r="X89" s="382">
        <v>0</v>
      </c>
      <c r="Y89" s="382">
        <v>6</v>
      </c>
      <c r="Z89" s="382">
        <v>3</v>
      </c>
      <c r="AA89" s="382">
        <v>1</v>
      </c>
      <c r="AB89" s="382">
        <v>29</v>
      </c>
      <c r="AC89" s="382">
        <v>5</v>
      </c>
      <c r="AD89" s="386">
        <v>2031</v>
      </c>
      <c r="AE89" s="386">
        <v>9</v>
      </c>
      <c r="AF89" s="386">
        <v>8</v>
      </c>
      <c r="AG89" s="386">
        <v>17</v>
      </c>
    </row>
    <row r="90" spans="1:33" x14ac:dyDescent="0.25">
      <c r="A90" s="381" t="s">
        <v>240</v>
      </c>
      <c r="B90" s="387" t="s">
        <v>241</v>
      </c>
      <c r="C90" s="383">
        <v>3593</v>
      </c>
      <c r="D90" s="383">
        <v>0</v>
      </c>
      <c r="E90" s="383">
        <v>436</v>
      </c>
      <c r="F90" s="383">
        <v>820</v>
      </c>
      <c r="G90" s="383">
        <v>697</v>
      </c>
      <c r="H90" s="383">
        <v>5546</v>
      </c>
      <c r="I90" s="382">
        <v>4849</v>
      </c>
      <c r="J90" s="382">
        <v>1</v>
      </c>
      <c r="K90" s="384">
        <v>94.05</v>
      </c>
      <c r="L90" s="384">
        <v>88.36</v>
      </c>
      <c r="M90" s="384">
        <v>6.48</v>
      </c>
      <c r="N90" s="384">
        <v>99.38</v>
      </c>
      <c r="O90" s="385">
        <v>3244</v>
      </c>
      <c r="P90" s="382">
        <v>96.75</v>
      </c>
      <c r="Q90" s="382">
        <v>91.24</v>
      </c>
      <c r="R90" s="382">
        <v>47.44</v>
      </c>
      <c r="S90" s="382">
        <v>142.41999999999999</v>
      </c>
      <c r="T90" s="382">
        <v>857</v>
      </c>
      <c r="U90" s="382">
        <v>110.3</v>
      </c>
      <c r="V90" s="382">
        <v>275</v>
      </c>
      <c r="W90" s="382">
        <v>191.23</v>
      </c>
      <c r="X90" s="382">
        <v>158</v>
      </c>
      <c r="Y90" s="382">
        <v>0</v>
      </c>
      <c r="Z90" s="382">
        <v>4</v>
      </c>
      <c r="AA90" s="382">
        <v>18</v>
      </c>
      <c r="AB90" s="382">
        <v>0</v>
      </c>
      <c r="AC90" s="382">
        <v>15</v>
      </c>
      <c r="AD90" s="386">
        <v>3593</v>
      </c>
      <c r="AE90" s="386">
        <v>14</v>
      </c>
      <c r="AF90" s="386">
        <v>21</v>
      </c>
      <c r="AG90" s="386">
        <v>35</v>
      </c>
    </row>
    <row r="91" spans="1:33" x14ac:dyDescent="0.25">
      <c r="A91" s="381" t="s">
        <v>242</v>
      </c>
      <c r="B91" s="387" t="s">
        <v>243</v>
      </c>
      <c r="C91" s="383">
        <v>9625</v>
      </c>
      <c r="D91" s="383">
        <v>334</v>
      </c>
      <c r="E91" s="383">
        <v>905</v>
      </c>
      <c r="F91" s="383">
        <v>787</v>
      </c>
      <c r="G91" s="383">
        <v>2119</v>
      </c>
      <c r="H91" s="383">
        <v>13770</v>
      </c>
      <c r="I91" s="382">
        <v>11651</v>
      </c>
      <c r="J91" s="382">
        <v>139</v>
      </c>
      <c r="K91" s="384">
        <v>135.72999999999999</v>
      </c>
      <c r="L91" s="384">
        <v>128.13999999999999</v>
      </c>
      <c r="M91" s="384">
        <v>10.27</v>
      </c>
      <c r="N91" s="384">
        <v>142.81</v>
      </c>
      <c r="O91" s="385">
        <v>8586</v>
      </c>
      <c r="P91" s="382">
        <v>121.4</v>
      </c>
      <c r="Q91" s="382">
        <v>115.93</v>
      </c>
      <c r="R91" s="382">
        <v>44.33</v>
      </c>
      <c r="S91" s="382">
        <v>160.6</v>
      </c>
      <c r="T91" s="382">
        <v>1107</v>
      </c>
      <c r="U91" s="382">
        <v>191.56</v>
      </c>
      <c r="V91" s="382">
        <v>841</v>
      </c>
      <c r="W91" s="382">
        <v>190.8</v>
      </c>
      <c r="X91" s="382">
        <v>42</v>
      </c>
      <c r="Y91" s="382">
        <v>3</v>
      </c>
      <c r="Z91" s="382">
        <v>3</v>
      </c>
      <c r="AA91" s="382">
        <v>2</v>
      </c>
      <c r="AB91" s="382">
        <v>109</v>
      </c>
      <c r="AC91" s="382">
        <v>52</v>
      </c>
      <c r="AD91" s="386">
        <v>9257</v>
      </c>
      <c r="AE91" s="386">
        <v>16</v>
      </c>
      <c r="AF91" s="386">
        <v>24</v>
      </c>
      <c r="AG91" s="386">
        <v>40</v>
      </c>
    </row>
    <row r="92" spans="1:33" x14ac:dyDescent="0.25">
      <c r="A92" s="381" t="s">
        <v>244</v>
      </c>
      <c r="B92" s="387" t="s">
        <v>245</v>
      </c>
      <c r="C92" s="383">
        <v>4065</v>
      </c>
      <c r="D92" s="383">
        <v>5</v>
      </c>
      <c r="E92" s="383">
        <v>110</v>
      </c>
      <c r="F92" s="383">
        <v>1029</v>
      </c>
      <c r="G92" s="383">
        <v>395</v>
      </c>
      <c r="H92" s="383">
        <v>5604</v>
      </c>
      <c r="I92" s="382">
        <v>5209</v>
      </c>
      <c r="J92" s="382">
        <v>1</v>
      </c>
      <c r="K92" s="384">
        <v>102.35</v>
      </c>
      <c r="L92" s="384">
        <v>102.29</v>
      </c>
      <c r="M92" s="384">
        <v>2.71</v>
      </c>
      <c r="N92" s="384">
        <v>103.35</v>
      </c>
      <c r="O92" s="385">
        <v>3669</v>
      </c>
      <c r="P92" s="382">
        <v>95.25</v>
      </c>
      <c r="Q92" s="382">
        <v>95.6</v>
      </c>
      <c r="R92" s="382">
        <v>23.14</v>
      </c>
      <c r="S92" s="382">
        <v>118.33</v>
      </c>
      <c r="T92" s="382">
        <v>1128</v>
      </c>
      <c r="U92" s="382">
        <v>126.02</v>
      </c>
      <c r="V92" s="382">
        <v>353</v>
      </c>
      <c r="W92" s="382">
        <v>0</v>
      </c>
      <c r="X92" s="382">
        <v>0</v>
      </c>
      <c r="Y92" s="382">
        <v>0</v>
      </c>
      <c r="Z92" s="382">
        <v>1</v>
      </c>
      <c r="AA92" s="382">
        <v>1</v>
      </c>
      <c r="AB92" s="382">
        <v>7</v>
      </c>
      <c r="AC92" s="382">
        <v>7</v>
      </c>
      <c r="AD92" s="386">
        <v>4057</v>
      </c>
      <c r="AE92" s="386">
        <v>4</v>
      </c>
      <c r="AF92" s="386">
        <v>20</v>
      </c>
      <c r="AG92" s="386">
        <v>24</v>
      </c>
    </row>
    <row r="93" spans="1:33" x14ac:dyDescent="0.25">
      <c r="A93" s="381" t="s">
        <v>246</v>
      </c>
      <c r="B93" s="387" t="s">
        <v>247</v>
      </c>
      <c r="C93" s="383">
        <v>2116</v>
      </c>
      <c r="D93" s="383">
        <v>1</v>
      </c>
      <c r="E93" s="383">
        <v>156</v>
      </c>
      <c r="F93" s="383">
        <v>168</v>
      </c>
      <c r="G93" s="383">
        <v>504</v>
      </c>
      <c r="H93" s="383">
        <v>2945</v>
      </c>
      <c r="I93" s="382">
        <v>2441</v>
      </c>
      <c r="J93" s="382">
        <v>1</v>
      </c>
      <c r="K93" s="384">
        <v>94.45</v>
      </c>
      <c r="L93" s="384">
        <v>91.78</v>
      </c>
      <c r="M93" s="384">
        <v>3.14</v>
      </c>
      <c r="N93" s="384">
        <v>96.83</v>
      </c>
      <c r="O93" s="385">
        <v>1432</v>
      </c>
      <c r="P93" s="382">
        <v>104.82</v>
      </c>
      <c r="Q93" s="382">
        <v>79.03</v>
      </c>
      <c r="R93" s="382">
        <v>60.19</v>
      </c>
      <c r="S93" s="382">
        <v>160.61000000000001</v>
      </c>
      <c r="T93" s="382">
        <v>246</v>
      </c>
      <c r="U93" s="382">
        <v>129.04</v>
      </c>
      <c r="V93" s="382">
        <v>492</v>
      </c>
      <c r="W93" s="382">
        <v>0</v>
      </c>
      <c r="X93" s="382">
        <v>0</v>
      </c>
      <c r="Y93" s="382">
        <v>0</v>
      </c>
      <c r="Z93" s="382">
        <v>1</v>
      </c>
      <c r="AA93" s="382">
        <v>1</v>
      </c>
      <c r="AB93" s="382">
        <v>32</v>
      </c>
      <c r="AC93" s="382">
        <v>8</v>
      </c>
      <c r="AD93" s="386">
        <v>2057</v>
      </c>
      <c r="AE93" s="386">
        <v>3</v>
      </c>
      <c r="AF93" s="386">
        <v>13</v>
      </c>
      <c r="AG93" s="386">
        <v>16</v>
      </c>
    </row>
    <row r="94" spans="1:33" x14ac:dyDescent="0.25">
      <c r="A94" s="381" t="s">
        <v>248</v>
      </c>
      <c r="B94" s="387" t="s">
        <v>249</v>
      </c>
      <c r="C94" s="383">
        <v>5432</v>
      </c>
      <c r="D94" s="383">
        <v>10</v>
      </c>
      <c r="E94" s="383">
        <v>106</v>
      </c>
      <c r="F94" s="383">
        <v>785</v>
      </c>
      <c r="G94" s="383">
        <v>503</v>
      </c>
      <c r="H94" s="383">
        <v>6836</v>
      </c>
      <c r="I94" s="382">
        <v>6333</v>
      </c>
      <c r="J94" s="382">
        <v>0</v>
      </c>
      <c r="K94" s="384">
        <v>115.82</v>
      </c>
      <c r="L94" s="384">
        <v>114.02</v>
      </c>
      <c r="M94" s="384">
        <v>4.51</v>
      </c>
      <c r="N94" s="384">
        <v>117.27</v>
      </c>
      <c r="O94" s="385">
        <v>4228</v>
      </c>
      <c r="P94" s="382">
        <v>96.17</v>
      </c>
      <c r="Q94" s="382">
        <v>94.91</v>
      </c>
      <c r="R94" s="382">
        <v>14.54</v>
      </c>
      <c r="S94" s="382">
        <v>110.28</v>
      </c>
      <c r="T94" s="382">
        <v>887</v>
      </c>
      <c r="U94" s="382">
        <v>148.08000000000001</v>
      </c>
      <c r="V94" s="382">
        <v>795</v>
      </c>
      <c r="W94" s="382">
        <v>0</v>
      </c>
      <c r="X94" s="382">
        <v>0</v>
      </c>
      <c r="Y94" s="382">
        <v>23</v>
      </c>
      <c r="Z94" s="382">
        <v>3</v>
      </c>
      <c r="AA94" s="382">
        <v>0</v>
      </c>
      <c r="AB94" s="382">
        <v>63</v>
      </c>
      <c r="AC94" s="382">
        <v>42</v>
      </c>
      <c r="AD94" s="386">
        <v>5127</v>
      </c>
      <c r="AE94" s="386">
        <v>26</v>
      </c>
      <c r="AF94" s="386">
        <v>8</v>
      </c>
      <c r="AG94" s="386">
        <v>34</v>
      </c>
    </row>
    <row r="95" spans="1:33" x14ac:dyDescent="0.25">
      <c r="A95" s="381" t="s">
        <v>250</v>
      </c>
      <c r="B95" s="387" t="s">
        <v>251</v>
      </c>
      <c r="C95" s="383">
        <v>6745</v>
      </c>
      <c r="D95" s="383">
        <v>6</v>
      </c>
      <c r="E95" s="383">
        <v>196</v>
      </c>
      <c r="F95" s="383">
        <v>1053</v>
      </c>
      <c r="G95" s="383">
        <v>601</v>
      </c>
      <c r="H95" s="383">
        <v>8601</v>
      </c>
      <c r="I95" s="382">
        <v>8000</v>
      </c>
      <c r="J95" s="382">
        <v>1</v>
      </c>
      <c r="K95" s="384">
        <v>117.64</v>
      </c>
      <c r="L95" s="384">
        <v>119.97</v>
      </c>
      <c r="M95" s="384">
        <v>5.73</v>
      </c>
      <c r="N95" s="384">
        <v>119.03</v>
      </c>
      <c r="O95" s="385">
        <v>5120</v>
      </c>
      <c r="P95" s="382">
        <v>105.26</v>
      </c>
      <c r="Q95" s="382">
        <v>106.15</v>
      </c>
      <c r="R95" s="382">
        <v>28.22</v>
      </c>
      <c r="S95" s="382">
        <v>121.04</v>
      </c>
      <c r="T95" s="382">
        <v>1211</v>
      </c>
      <c r="U95" s="382">
        <v>159.01</v>
      </c>
      <c r="V95" s="382">
        <v>1514</v>
      </c>
      <c r="W95" s="382">
        <v>0</v>
      </c>
      <c r="X95" s="382">
        <v>0</v>
      </c>
      <c r="Y95" s="382">
        <v>1</v>
      </c>
      <c r="Z95" s="382">
        <v>3</v>
      </c>
      <c r="AA95" s="382">
        <v>1</v>
      </c>
      <c r="AB95" s="382">
        <v>24</v>
      </c>
      <c r="AC95" s="382">
        <v>12</v>
      </c>
      <c r="AD95" s="386">
        <v>6745</v>
      </c>
      <c r="AE95" s="386">
        <v>18</v>
      </c>
      <c r="AF95" s="386">
        <v>28</v>
      </c>
      <c r="AG95" s="386">
        <v>46</v>
      </c>
    </row>
    <row r="96" spans="1:33" x14ac:dyDescent="0.25">
      <c r="A96" s="381" t="s">
        <v>252</v>
      </c>
      <c r="B96" s="387" t="s">
        <v>253</v>
      </c>
      <c r="C96" s="383">
        <v>6721</v>
      </c>
      <c r="D96" s="383">
        <v>11</v>
      </c>
      <c r="E96" s="383">
        <v>206</v>
      </c>
      <c r="F96" s="383">
        <v>596</v>
      </c>
      <c r="G96" s="383">
        <v>521</v>
      </c>
      <c r="H96" s="383">
        <v>8055</v>
      </c>
      <c r="I96" s="382">
        <v>7534</v>
      </c>
      <c r="J96" s="382">
        <v>0</v>
      </c>
      <c r="K96" s="384">
        <v>83.31</v>
      </c>
      <c r="L96" s="384">
        <v>83.42</v>
      </c>
      <c r="M96" s="384">
        <v>2.84</v>
      </c>
      <c r="N96" s="384">
        <v>85.63</v>
      </c>
      <c r="O96" s="385">
        <v>5208</v>
      </c>
      <c r="P96" s="382">
        <v>80.86</v>
      </c>
      <c r="Q96" s="382">
        <v>78.2</v>
      </c>
      <c r="R96" s="382">
        <v>30.08</v>
      </c>
      <c r="S96" s="382">
        <v>109.55</v>
      </c>
      <c r="T96" s="382">
        <v>737</v>
      </c>
      <c r="U96" s="382">
        <v>92.82</v>
      </c>
      <c r="V96" s="382">
        <v>1325</v>
      </c>
      <c r="W96" s="382">
        <v>127.14</v>
      </c>
      <c r="X96" s="382">
        <v>59</v>
      </c>
      <c r="Y96" s="382">
        <v>0</v>
      </c>
      <c r="Z96" s="382">
        <v>13</v>
      </c>
      <c r="AA96" s="382">
        <v>7</v>
      </c>
      <c r="AB96" s="382">
        <v>38</v>
      </c>
      <c r="AC96" s="382">
        <v>8</v>
      </c>
      <c r="AD96" s="386">
        <v>6586</v>
      </c>
      <c r="AE96" s="386">
        <v>24</v>
      </c>
      <c r="AF96" s="386">
        <v>8</v>
      </c>
      <c r="AG96" s="386">
        <v>32</v>
      </c>
    </row>
    <row r="97" spans="1:33" x14ac:dyDescent="0.25">
      <c r="A97" s="381" t="s">
        <v>254</v>
      </c>
      <c r="B97" s="387" t="s">
        <v>255</v>
      </c>
      <c r="C97" s="383">
        <v>1962</v>
      </c>
      <c r="D97" s="383">
        <v>0</v>
      </c>
      <c r="E97" s="383">
        <v>250</v>
      </c>
      <c r="F97" s="383">
        <v>634</v>
      </c>
      <c r="G97" s="383">
        <v>158</v>
      </c>
      <c r="H97" s="383">
        <v>3004</v>
      </c>
      <c r="I97" s="382">
        <v>2846</v>
      </c>
      <c r="J97" s="382">
        <v>0</v>
      </c>
      <c r="K97" s="384">
        <v>90.71</v>
      </c>
      <c r="L97" s="384">
        <v>87.32</v>
      </c>
      <c r="M97" s="384">
        <v>4.83</v>
      </c>
      <c r="N97" s="384">
        <v>93.55</v>
      </c>
      <c r="O97" s="385">
        <v>1414</v>
      </c>
      <c r="P97" s="382">
        <v>88.32</v>
      </c>
      <c r="Q97" s="382">
        <v>81.56</v>
      </c>
      <c r="R97" s="382">
        <v>41.65</v>
      </c>
      <c r="S97" s="382">
        <v>129.63999999999999</v>
      </c>
      <c r="T97" s="382">
        <v>758</v>
      </c>
      <c r="U97" s="382">
        <v>101.49</v>
      </c>
      <c r="V97" s="382">
        <v>243</v>
      </c>
      <c r="W97" s="382">
        <v>113.68</v>
      </c>
      <c r="X97" s="382">
        <v>33</v>
      </c>
      <c r="Y97" s="382">
        <v>0</v>
      </c>
      <c r="Z97" s="382">
        <v>0</v>
      </c>
      <c r="AA97" s="382">
        <v>2</v>
      </c>
      <c r="AB97" s="382">
        <v>1</v>
      </c>
      <c r="AC97" s="382">
        <v>3</v>
      </c>
      <c r="AD97" s="386">
        <v>1801</v>
      </c>
      <c r="AE97" s="386">
        <v>10</v>
      </c>
      <c r="AF97" s="386">
        <v>4</v>
      </c>
      <c r="AG97" s="386">
        <v>14</v>
      </c>
    </row>
    <row r="98" spans="1:33" x14ac:dyDescent="0.25">
      <c r="A98" s="381" t="s">
        <v>256</v>
      </c>
      <c r="B98" s="387" t="s">
        <v>257</v>
      </c>
      <c r="C98" s="383">
        <v>6066</v>
      </c>
      <c r="D98" s="383">
        <v>4</v>
      </c>
      <c r="E98" s="383">
        <v>140</v>
      </c>
      <c r="F98" s="383">
        <v>465</v>
      </c>
      <c r="G98" s="383">
        <v>192</v>
      </c>
      <c r="H98" s="383">
        <v>6867</v>
      </c>
      <c r="I98" s="382">
        <v>6675</v>
      </c>
      <c r="J98" s="382">
        <v>4</v>
      </c>
      <c r="K98" s="384">
        <v>82.07</v>
      </c>
      <c r="L98" s="384">
        <v>78.900000000000006</v>
      </c>
      <c r="M98" s="384">
        <v>7.2</v>
      </c>
      <c r="N98" s="384">
        <v>84.91</v>
      </c>
      <c r="O98" s="385">
        <v>4968</v>
      </c>
      <c r="P98" s="382">
        <v>79.739999999999995</v>
      </c>
      <c r="Q98" s="382">
        <v>75.7</v>
      </c>
      <c r="R98" s="382">
        <v>42.77</v>
      </c>
      <c r="S98" s="382">
        <v>121.38</v>
      </c>
      <c r="T98" s="382">
        <v>605</v>
      </c>
      <c r="U98" s="382">
        <v>93.72</v>
      </c>
      <c r="V98" s="382">
        <v>1072</v>
      </c>
      <c r="W98" s="382">
        <v>0</v>
      </c>
      <c r="X98" s="382">
        <v>0</v>
      </c>
      <c r="Y98" s="382">
        <v>0</v>
      </c>
      <c r="Z98" s="382">
        <v>22</v>
      </c>
      <c r="AA98" s="382">
        <v>11</v>
      </c>
      <c r="AB98" s="382">
        <v>8</v>
      </c>
      <c r="AC98" s="382">
        <v>2</v>
      </c>
      <c r="AD98" s="386">
        <v>6066</v>
      </c>
      <c r="AE98" s="386">
        <v>49</v>
      </c>
      <c r="AF98" s="386">
        <v>13</v>
      </c>
      <c r="AG98" s="386">
        <v>62</v>
      </c>
    </row>
    <row r="99" spans="1:33" x14ac:dyDescent="0.25">
      <c r="A99" s="381" t="s">
        <v>258</v>
      </c>
      <c r="B99" s="387" t="s">
        <v>259</v>
      </c>
      <c r="C99" s="382">
        <v>7989</v>
      </c>
      <c r="D99" s="382">
        <v>0</v>
      </c>
      <c r="E99" s="382">
        <v>443</v>
      </c>
      <c r="F99" s="382">
        <v>1431</v>
      </c>
      <c r="G99" s="382">
        <v>259</v>
      </c>
      <c r="H99" s="382">
        <v>10122</v>
      </c>
      <c r="I99" s="382">
        <v>9863</v>
      </c>
      <c r="J99" s="382">
        <v>0</v>
      </c>
      <c r="K99" s="382">
        <v>92.33</v>
      </c>
      <c r="L99" s="384">
        <v>92.42</v>
      </c>
      <c r="M99" s="384">
        <v>3.58</v>
      </c>
      <c r="N99" s="384">
        <v>93.78</v>
      </c>
      <c r="O99" s="385">
        <v>7051</v>
      </c>
      <c r="P99" s="382">
        <v>81.180000000000007</v>
      </c>
      <c r="Q99" s="382">
        <v>78.52</v>
      </c>
      <c r="R99" s="382">
        <v>33.58</v>
      </c>
      <c r="S99" s="382">
        <v>113.47</v>
      </c>
      <c r="T99" s="382">
        <v>1733</v>
      </c>
      <c r="U99" s="382">
        <v>102.89</v>
      </c>
      <c r="V99" s="382">
        <v>790</v>
      </c>
      <c r="W99" s="382">
        <v>159.4</v>
      </c>
      <c r="X99" s="382">
        <v>28</v>
      </c>
      <c r="Y99" s="382">
        <v>0</v>
      </c>
      <c r="Z99" s="382">
        <v>5</v>
      </c>
      <c r="AA99" s="382">
        <v>2</v>
      </c>
      <c r="AB99" s="382">
        <v>11</v>
      </c>
      <c r="AC99" s="382">
        <v>10</v>
      </c>
      <c r="AD99" s="382">
        <v>7972</v>
      </c>
      <c r="AE99" s="382">
        <v>46</v>
      </c>
      <c r="AF99" s="382">
        <v>10</v>
      </c>
      <c r="AG99" s="382">
        <v>56</v>
      </c>
    </row>
    <row r="100" spans="1:33" x14ac:dyDescent="0.25">
      <c r="A100" s="381" t="s">
        <v>260</v>
      </c>
      <c r="B100" s="387" t="s">
        <v>261</v>
      </c>
      <c r="C100" s="383">
        <v>1784</v>
      </c>
      <c r="D100" s="383">
        <v>12</v>
      </c>
      <c r="E100" s="383">
        <v>357</v>
      </c>
      <c r="F100" s="383">
        <v>489</v>
      </c>
      <c r="G100" s="383">
        <v>154</v>
      </c>
      <c r="H100" s="383">
        <v>2796</v>
      </c>
      <c r="I100" s="382">
        <v>2642</v>
      </c>
      <c r="J100" s="382">
        <v>19</v>
      </c>
      <c r="K100" s="384">
        <v>95</v>
      </c>
      <c r="L100" s="384">
        <v>91.13</v>
      </c>
      <c r="M100" s="384">
        <v>8.08</v>
      </c>
      <c r="N100" s="384">
        <v>101.9</v>
      </c>
      <c r="O100" s="385">
        <v>1553</v>
      </c>
      <c r="P100" s="382">
        <v>84.45</v>
      </c>
      <c r="Q100" s="382">
        <v>76.319999999999993</v>
      </c>
      <c r="R100" s="382">
        <v>43.83</v>
      </c>
      <c r="S100" s="382">
        <v>124.47</v>
      </c>
      <c r="T100" s="382">
        <v>680</v>
      </c>
      <c r="U100" s="382">
        <v>134.22999999999999</v>
      </c>
      <c r="V100" s="382">
        <v>221</v>
      </c>
      <c r="W100" s="382">
        <v>130.07</v>
      </c>
      <c r="X100" s="382">
        <v>18</v>
      </c>
      <c r="Y100" s="382">
        <v>0</v>
      </c>
      <c r="Z100" s="382">
        <v>1</v>
      </c>
      <c r="AA100" s="382">
        <v>0</v>
      </c>
      <c r="AB100" s="382">
        <v>11</v>
      </c>
      <c r="AC100" s="382">
        <v>4</v>
      </c>
      <c r="AD100" s="386">
        <v>1782</v>
      </c>
      <c r="AE100" s="386">
        <v>31</v>
      </c>
      <c r="AF100" s="386">
        <v>1</v>
      </c>
      <c r="AG100" s="386">
        <v>32</v>
      </c>
    </row>
    <row r="101" spans="1:33" x14ac:dyDescent="0.25">
      <c r="A101" s="381" t="s">
        <v>262</v>
      </c>
      <c r="B101" s="387" t="s">
        <v>263</v>
      </c>
      <c r="C101" s="383">
        <v>5569</v>
      </c>
      <c r="D101" s="383">
        <v>0</v>
      </c>
      <c r="E101" s="383">
        <v>166</v>
      </c>
      <c r="F101" s="383">
        <v>1166</v>
      </c>
      <c r="G101" s="383">
        <v>647</v>
      </c>
      <c r="H101" s="383">
        <v>7548</v>
      </c>
      <c r="I101" s="382">
        <v>6901</v>
      </c>
      <c r="J101" s="382">
        <v>0</v>
      </c>
      <c r="K101" s="384">
        <v>108.75</v>
      </c>
      <c r="L101" s="384">
        <v>107.91</v>
      </c>
      <c r="M101" s="384">
        <v>5.01</v>
      </c>
      <c r="N101" s="384">
        <v>111.35</v>
      </c>
      <c r="O101" s="385">
        <v>4376</v>
      </c>
      <c r="P101" s="382">
        <v>98.4</v>
      </c>
      <c r="Q101" s="382">
        <v>95.28</v>
      </c>
      <c r="R101" s="382">
        <v>25.5</v>
      </c>
      <c r="S101" s="382">
        <v>120.79</v>
      </c>
      <c r="T101" s="382">
        <v>1074</v>
      </c>
      <c r="U101" s="382">
        <v>148.01</v>
      </c>
      <c r="V101" s="382">
        <v>1055</v>
      </c>
      <c r="W101" s="382">
        <v>149.68</v>
      </c>
      <c r="X101" s="382">
        <v>195</v>
      </c>
      <c r="Y101" s="382">
        <v>7</v>
      </c>
      <c r="Z101" s="382">
        <v>3</v>
      </c>
      <c r="AA101" s="382">
        <v>1</v>
      </c>
      <c r="AB101" s="382">
        <v>54</v>
      </c>
      <c r="AC101" s="382">
        <v>34</v>
      </c>
      <c r="AD101" s="386">
        <v>5569</v>
      </c>
      <c r="AE101" s="386">
        <v>35</v>
      </c>
      <c r="AF101" s="386">
        <v>5</v>
      </c>
      <c r="AG101" s="386">
        <v>40</v>
      </c>
    </row>
    <row r="102" spans="1:33" x14ac:dyDescent="0.25">
      <c r="A102" s="381" t="s">
        <v>264</v>
      </c>
      <c r="B102" s="387" t="s">
        <v>265</v>
      </c>
      <c r="C102" s="383">
        <v>2166</v>
      </c>
      <c r="D102" s="383">
        <v>9</v>
      </c>
      <c r="E102" s="383">
        <v>163</v>
      </c>
      <c r="F102" s="383">
        <v>185</v>
      </c>
      <c r="G102" s="383">
        <v>187</v>
      </c>
      <c r="H102" s="383">
        <v>2710</v>
      </c>
      <c r="I102" s="382">
        <v>2523</v>
      </c>
      <c r="J102" s="382">
        <v>48</v>
      </c>
      <c r="K102" s="384">
        <v>96.09</v>
      </c>
      <c r="L102" s="384">
        <v>95.06</v>
      </c>
      <c r="M102" s="384">
        <v>4.79</v>
      </c>
      <c r="N102" s="384">
        <v>97.93</v>
      </c>
      <c r="O102" s="385">
        <v>1971</v>
      </c>
      <c r="P102" s="382">
        <v>84.91</v>
      </c>
      <c r="Q102" s="382">
        <v>80.61</v>
      </c>
      <c r="R102" s="382">
        <v>26.11</v>
      </c>
      <c r="S102" s="382">
        <v>108.95</v>
      </c>
      <c r="T102" s="382">
        <v>341</v>
      </c>
      <c r="U102" s="382">
        <v>109.48</v>
      </c>
      <c r="V102" s="382">
        <v>170</v>
      </c>
      <c r="W102" s="382">
        <v>0</v>
      </c>
      <c r="X102" s="382">
        <v>0</v>
      </c>
      <c r="Y102" s="382">
        <v>0</v>
      </c>
      <c r="Z102" s="382">
        <v>9</v>
      </c>
      <c r="AA102" s="382">
        <v>3</v>
      </c>
      <c r="AB102" s="382">
        <v>2</v>
      </c>
      <c r="AC102" s="382">
        <v>0</v>
      </c>
      <c r="AD102" s="386">
        <v>2128</v>
      </c>
      <c r="AE102" s="386">
        <v>24</v>
      </c>
      <c r="AF102" s="386">
        <v>6</v>
      </c>
      <c r="AG102" s="386">
        <v>30</v>
      </c>
    </row>
    <row r="103" spans="1:33" x14ac:dyDescent="0.25">
      <c r="A103" s="381" t="s">
        <v>266</v>
      </c>
      <c r="B103" s="387" t="s">
        <v>267</v>
      </c>
      <c r="C103" s="383">
        <v>4444</v>
      </c>
      <c r="D103" s="383">
        <v>5</v>
      </c>
      <c r="E103" s="383">
        <v>99</v>
      </c>
      <c r="F103" s="383">
        <v>951</v>
      </c>
      <c r="G103" s="383">
        <v>469</v>
      </c>
      <c r="H103" s="383">
        <v>5968</v>
      </c>
      <c r="I103" s="382">
        <v>5499</v>
      </c>
      <c r="J103" s="382">
        <v>0</v>
      </c>
      <c r="K103" s="384">
        <v>126.5</v>
      </c>
      <c r="L103" s="384">
        <v>129.62</v>
      </c>
      <c r="M103" s="384">
        <v>7.67</v>
      </c>
      <c r="N103" s="384">
        <v>130.32</v>
      </c>
      <c r="O103" s="385">
        <v>3723</v>
      </c>
      <c r="P103" s="382">
        <v>114.75</v>
      </c>
      <c r="Q103" s="382">
        <v>107.63</v>
      </c>
      <c r="R103" s="382">
        <v>19.7</v>
      </c>
      <c r="S103" s="382">
        <v>134.43</v>
      </c>
      <c r="T103" s="382">
        <v>800</v>
      </c>
      <c r="U103" s="382">
        <v>195.72</v>
      </c>
      <c r="V103" s="382">
        <v>489</v>
      </c>
      <c r="W103" s="382">
        <v>149.1</v>
      </c>
      <c r="X103" s="382">
        <v>19</v>
      </c>
      <c r="Y103" s="382">
        <v>0</v>
      </c>
      <c r="Z103" s="382">
        <v>2</v>
      </c>
      <c r="AA103" s="382">
        <v>2</v>
      </c>
      <c r="AB103" s="382">
        <v>31</v>
      </c>
      <c r="AC103" s="382">
        <v>16</v>
      </c>
      <c r="AD103" s="386">
        <v>4324</v>
      </c>
      <c r="AE103" s="386">
        <v>15</v>
      </c>
      <c r="AF103" s="386">
        <v>9</v>
      </c>
      <c r="AG103" s="386">
        <v>24</v>
      </c>
    </row>
    <row r="104" spans="1:33" x14ac:dyDescent="0.25">
      <c r="A104" s="381" t="s">
        <v>268</v>
      </c>
      <c r="B104" s="387" t="s">
        <v>269</v>
      </c>
      <c r="C104" s="383">
        <v>6896</v>
      </c>
      <c r="D104" s="383">
        <v>317</v>
      </c>
      <c r="E104" s="383">
        <v>658</v>
      </c>
      <c r="F104" s="383">
        <v>690</v>
      </c>
      <c r="G104" s="383">
        <v>1240</v>
      </c>
      <c r="H104" s="383">
        <v>9801</v>
      </c>
      <c r="I104" s="382">
        <v>8561</v>
      </c>
      <c r="J104" s="382">
        <v>85</v>
      </c>
      <c r="K104" s="384">
        <v>123.81</v>
      </c>
      <c r="L104" s="384">
        <v>120.96</v>
      </c>
      <c r="M104" s="384">
        <v>12.48</v>
      </c>
      <c r="N104" s="384">
        <v>132.26</v>
      </c>
      <c r="O104" s="385">
        <v>5852</v>
      </c>
      <c r="P104" s="382">
        <v>119.58</v>
      </c>
      <c r="Q104" s="382">
        <v>106.1</v>
      </c>
      <c r="R104" s="382">
        <v>63.84</v>
      </c>
      <c r="S104" s="382">
        <v>174.55</v>
      </c>
      <c r="T104" s="382">
        <v>1231</v>
      </c>
      <c r="U104" s="382">
        <v>192.15</v>
      </c>
      <c r="V104" s="382">
        <v>654</v>
      </c>
      <c r="W104" s="382">
        <v>0</v>
      </c>
      <c r="X104" s="382">
        <v>0</v>
      </c>
      <c r="Y104" s="382">
        <v>0</v>
      </c>
      <c r="Z104" s="382">
        <v>7</v>
      </c>
      <c r="AA104" s="382">
        <v>4</v>
      </c>
      <c r="AB104" s="382">
        <v>82</v>
      </c>
      <c r="AC104" s="382">
        <v>35</v>
      </c>
      <c r="AD104" s="386">
        <v>6505</v>
      </c>
      <c r="AE104" s="386">
        <v>19</v>
      </c>
      <c r="AF104" s="386">
        <v>9</v>
      </c>
      <c r="AG104" s="386">
        <v>28</v>
      </c>
    </row>
    <row r="105" spans="1:33" x14ac:dyDescent="0.25">
      <c r="A105" s="381" t="s">
        <v>270</v>
      </c>
      <c r="B105" s="387" t="s">
        <v>271</v>
      </c>
      <c r="C105" s="383">
        <v>1403</v>
      </c>
      <c r="D105" s="383">
        <v>0</v>
      </c>
      <c r="E105" s="383">
        <v>156</v>
      </c>
      <c r="F105" s="383">
        <v>228</v>
      </c>
      <c r="G105" s="383">
        <v>248</v>
      </c>
      <c r="H105" s="383">
        <v>2035</v>
      </c>
      <c r="I105" s="382">
        <v>1787</v>
      </c>
      <c r="J105" s="382">
        <v>0</v>
      </c>
      <c r="K105" s="384">
        <v>120.61</v>
      </c>
      <c r="L105" s="384">
        <v>118.48</v>
      </c>
      <c r="M105" s="384">
        <v>5.43</v>
      </c>
      <c r="N105" s="384">
        <v>125.36</v>
      </c>
      <c r="O105" s="385">
        <v>1223</v>
      </c>
      <c r="P105" s="382">
        <v>96.19</v>
      </c>
      <c r="Q105" s="382">
        <v>88.35</v>
      </c>
      <c r="R105" s="382">
        <v>51.04</v>
      </c>
      <c r="S105" s="382">
        <v>146.87</v>
      </c>
      <c r="T105" s="382">
        <v>286</v>
      </c>
      <c r="U105" s="382">
        <v>166.5</v>
      </c>
      <c r="V105" s="382">
        <v>163</v>
      </c>
      <c r="W105" s="382">
        <v>0</v>
      </c>
      <c r="X105" s="382">
        <v>0</v>
      </c>
      <c r="Y105" s="382">
        <v>0</v>
      </c>
      <c r="Z105" s="382">
        <v>0</v>
      </c>
      <c r="AA105" s="382">
        <v>0</v>
      </c>
      <c r="AB105" s="382">
        <v>4</v>
      </c>
      <c r="AC105" s="382">
        <v>4</v>
      </c>
      <c r="AD105" s="386">
        <v>1402</v>
      </c>
      <c r="AE105" s="386">
        <v>6</v>
      </c>
      <c r="AF105" s="386">
        <v>0</v>
      </c>
      <c r="AG105" s="386">
        <v>6</v>
      </c>
    </row>
    <row r="106" spans="1:33" x14ac:dyDescent="0.25">
      <c r="A106" s="381" t="s">
        <v>272</v>
      </c>
      <c r="B106" s="387" t="s">
        <v>273</v>
      </c>
      <c r="C106" s="383">
        <v>2093</v>
      </c>
      <c r="D106" s="383">
        <v>8</v>
      </c>
      <c r="E106" s="383">
        <v>144</v>
      </c>
      <c r="F106" s="383">
        <v>383</v>
      </c>
      <c r="G106" s="383">
        <v>341</v>
      </c>
      <c r="H106" s="383">
        <v>2969</v>
      </c>
      <c r="I106" s="382">
        <v>2628</v>
      </c>
      <c r="J106" s="382">
        <v>0</v>
      </c>
      <c r="K106" s="384">
        <v>122.14</v>
      </c>
      <c r="L106" s="384">
        <v>115.65</v>
      </c>
      <c r="M106" s="384">
        <v>8.93</v>
      </c>
      <c r="N106" s="384">
        <v>127.11</v>
      </c>
      <c r="O106" s="385">
        <v>1969</v>
      </c>
      <c r="P106" s="382">
        <v>102.71</v>
      </c>
      <c r="Q106" s="382">
        <v>96.19</v>
      </c>
      <c r="R106" s="382">
        <v>27.61</v>
      </c>
      <c r="S106" s="382">
        <v>129.72999999999999</v>
      </c>
      <c r="T106" s="382">
        <v>329</v>
      </c>
      <c r="U106" s="382">
        <v>187.88</v>
      </c>
      <c r="V106" s="382">
        <v>208</v>
      </c>
      <c r="W106" s="382">
        <v>208.83</v>
      </c>
      <c r="X106" s="382">
        <v>51</v>
      </c>
      <c r="Y106" s="382">
        <v>0</v>
      </c>
      <c r="Z106" s="382">
        <v>2</v>
      </c>
      <c r="AA106" s="382">
        <v>2</v>
      </c>
      <c r="AB106" s="382">
        <v>6</v>
      </c>
      <c r="AC106" s="382">
        <v>5</v>
      </c>
      <c r="AD106" s="386">
        <v>2093</v>
      </c>
      <c r="AE106" s="386">
        <v>4</v>
      </c>
      <c r="AF106" s="386">
        <v>2</v>
      </c>
      <c r="AG106" s="386">
        <v>6</v>
      </c>
    </row>
    <row r="107" spans="1:33" x14ac:dyDescent="0.25">
      <c r="A107" s="381" t="s">
        <v>274</v>
      </c>
      <c r="B107" s="387" t="s">
        <v>275</v>
      </c>
      <c r="C107" s="383">
        <v>4603</v>
      </c>
      <c r="D107" s="383">
        <v>0</v>
      </c>
      <c r="E107" s="383">
        <v>72</v>
      </c>
      <c r="F107" s="383">
        <v>1903</v>
      </c>
      <c r="G107" s="383">
        <v>172</v>
      </c>
      <c r="H107" s="383">
        <v>6750</v>
      </c>
      <c r="I107" s="382">
        <v>6578</v>
      </c>
      <c r="J107" s="382">
        <v>1</v>
      </c>
      <c r="K107" s="384">
        <v>88.69</v>
      </c>
      <c r="L107" s="384">
        <v>88.34</v>
      </c>
      <c r="M107" s="384">
        <v>3.11</v>
      </c>
      <c r="N107" s="384">
        <v>90.48</v>
      </c>
      <c r="O107" s="385">
        <v>4299</v>
      </c>
      <c r="P107" s="382">
        <v>79.7</v>
      </c>
      <c r="Q107" s="382">
        <v>79.150000000000006</v>
      </c>
      <c r="R107" s="382">
        <v>7.47</v>
      </c>
      <c r="S107" s="382">
        <v>86.7</v>
      </c>
      <c r="T107" s="382">
        <v>1972</v>
      </c>
      <c r="U107" s="382">
        <v>97.16</v>
      </c>
      <c r="V107" s="382">
        <v>265</v>
      </c>
      <c r="W107" s="382">
        <v>0</v>
      </c>
      <c r="X107" s="382">
        <v>0</v>
      </c>
      <c r="Y107" s="382">
        <v>4</v>
      </c>
      <c r="Z107" s="382">
        <v>30</v>
      </c>
      <c r="AA107" s="382">
        <v>3</v>
      </c>
      <c r="AB107" s="382">
        <v>0</v>
      </c>
      <c r="AC107" s="382">
        <v>3</v>
      </c>
      <c r="AD107" s="386">
        <v>4602</v>
      </c>
      <c r="AE107" s="386">
        <v>31</v>
      </c>
      <c r="AF107" s="386">
        <v>9</v>
      </c>
      <c r="AG107" s="386">
        <v>40</v>
      </c>
    </row>
    <row r="108" spans="1:33" x14ac:dyDescent="0.25">
      <c r="A108" s="381" t="s">
        <v>276</v>
      </c>
      <c r="B108" s="387" t="s">
        <v>277</v>
      </c>
      <c r="C108" s="383">
        <v>3598</v>
      </c>
      <c r="D108" s="383">
        <v>0</v>
      </c>
      <c r="E108" s="383">
        <v>575</v>
      </c>
      <c r="F108" s="383">
        <v>237</v>
      </c>
      <c r="G108" s="383">
        <v>452</v>
      </c>
      <c r="H108" s="383">
        <v>4862</v>
      </c>
      <c r="I108" s="382">
        <v>4410</v>
      </c>
      <c r="J108" s="382">
        <v>2</v>
      </c>
      <c r="K108" s="384">
        <v>88.56</v>
      </c>
      <c r="L108" s="384">
        <v>86.51</v>
      </c>
      <c r="M108" s="384">
        <v>7.2</v>
      </c>
      <c r="N108" s="384">
        <v>94.04</v>
      </c>
      <c r="O108" s="385">
        <v>3207</v>
      </c>
      <c r="P108" s="382">
        <v>95.15</v>
      </c>
      <c r="Q108" s="382">
        <v>67.83</v>
      </c>
      <c r="R108" s="382">
        <v>75.23</v>
      </c>
      <c r="S108" s="382">
        <v>161.69</v>
      </c>
      <c r="T108" s="382">
        <v>520</v>
      </c>
      <c r="U108" s="382">
        <v>122.87</v>
      </c>
      <c r="V108" s="382">
        <v>241</v>
      </c>
      <c r="W108" s="382">
        <v>0</v>
      </c>
      <c r="X108" s="382">
        <v>0</v>
      </c>
      <c r="Y108" s="382">
        <v>20</v>
      </c>
      <c r="Z108" s="382">
        <v>0</v>
      </c>
      <c r="AA108" s="382">
        <v>0</v>
      </c>
      <c r="AB108" s="382">
        <v>18</v>
      </c>
      <c r="AC108" s="382">
        <v>13</v>
      </c>
      <c r="AD108" s="386">
        <v>3433</v>
      </c>
      <c r="AE108" s="386">
        <v>17</v>
      </c>
      <c r="AF108" s="386">
        <v>50</v>
      </c>
      <c r="AG108" s="386">
        <v>67</v>
      </c>
    </row>
    <row r="109" spans="1:33" x14ac:dyDescent="0.25">
      <c r="A109" s="381" t="s">
        <v>278</v>
      </c>
      <c r="B109" s="387" t="s">
        <v>279</v>
      </c>
      <c r="C109" s="383">
        <v>1441</v>
      </c>
      <c r="D109" s="383">
        <v>0</v>
      </c>
      <c r="E109" s="383">
        <v>179</v>
      </c>
      <c r="F109" s="383">
        <v>182</v>
      </c>
      <c r="G109" s="383">
        <v>281</v>
      </c>
      <c r="H109" s="383">
        <v>2083</v>
      </c>
      <c r="I109" s="382">
        <v>1802</v>
      </c>
      <c r="J109" s="382">
        <v>7</v>
      </c>
      <c r="K109" s="384">
        <v>107.23</v>
      </c>
      <c r="L109" s="384">
        <v>106.34</v>
      </c>
      <c r="M109" s="384">
        <v>7.33</v>
      </c>
      <c r="N109" s="384">
        <v>112.56</v>
      </c>
      <c r="O109" s="385">
        <v>1037</v>
      </c>
      <c r="P109" s="382">
        <v>97.42</v>
      </c>
      <c r="Q109" s="382">
        <v>89.5</v>
      </c>
      <c r="R109" s="382">
        <v>38.31</v>
      </c>
      <c r="S109" s="382">
        <v>132.94</v>
      </c>
      <c r="T109" s="382">
        <v>248</v>
      </c>
      <c r="U109" s="382">
        <v>142.94</v>
      </c>
      <c r="V109" s="382">
        <v>300</v>
      </c>
      <c r="W109" s="382">
        <v>0</v>
      </c>
      <c r="X109" s="382">
        <v>0</v>
      </c>
      <c r="Y109" s="382">
        <v>13</v>
      </c>
      <c r="Z109" s="382">
        <v>1</v>
      </c>
      <c r="AA109" s="382">
        <v>0</v>
      </c>
      <c r="AB109" s="382">
        <v>16</v>
      </c>
      <c r="AC109" s="382">
        <v>3</v>
      </c>
      <c r="AD109" s="386">
        <v>1429</v>
      </c>
      <c r="AE109" s="386">
        <v>5</v>
      </c>
      <c r="AF109" s="386">
        <v>5</v>
      </c>
      <c r="AG109" s="386">
        <v>10</v>
      </c>
    </row>
    <row r="110" spans="1:33" x14ac:dyDescent="0.25">
      <c r="A110" s="381" t="s">
        <v>280</v>
      </c>
      <c r="B110" s="387" t="s">
        <v>281</v>
      </c>
      <c r="C110" s="383">
        <v>4749</v>
      </c>
      <c r="D110" s="383">
        <v>7</v>
      </c>
      <c r="E110" s="383">
        <v>218</v>
      </c>
      <c r="F110" s="383">
        <v>680</v>
      </c>
      <c r="G110" s="383">
        <v>158</v>
      </c>
      <c r="H110" s="383">
        <v>5812</v>
      </c>
      <c r="I110" s="382">
        <v>5654</v>
      </c>
      <c r="J110" s="382">
        <v>10</v>
      </c>
      <c r="K110" s="384">
        <v>92.79</v>
      </c>
      <c r="L110" s="384">
        <v>94.92</v>
      </c>
      <c r="M110" s="384">
        <v>4.33</v>
      </c>
      <c r="N110" s="384">
        <v>93.66</v>
      </c>
      <c r="O110" s="385">
        <v>4406</v>
      </c>
      <c r="P110" s="382">
        <v>88.71</v>
      </c>
      <c r="Q110" s="382">
        <v>88.94</v>
      </c>
      <c r="R110" s="382">
        <v>53.22</v>
      </c>
      <c r="S110" s="382">
        <v>115.35</v>
      </c>
      <c r="T110" s="382">
        <v>853</v>
      </c>
      <c r="U110" s="382">
        <v>108.24</v>
      </c>
      <c r="V110" s="382">
        <v>342</v>
      </c>
      <c r="W110" s="382">
        <v>0</v>
      </c>
      <c r="X110" s="382">
        <v>0</v>
      </c>
      <c r="Y110" s="382">
        <v>0</v>
      </c>
      <c r="Z110" s="382">
        <v>3</v>
      </c>
      <c r="AA110" s="382">
        <v>1</v>
      </c>
      <c r="AB110" s="382">
        <v>20</v>
      </c>
      <c r="AC110" s="382">
        <v>4</v>
      </c>
      <c r="AD110" s="386">
        <v>4746</v>
      </c>
      <c r="AE110" s="386">
        <v>3</v>
      </c>
      <c r="AF110" s="386">
        <v>1</v>
      </c>
      <c r="AG110" s="386">
        <v>4</v>
      </c>
    </row>
    <row r="111" spans="1:33" x14ac:dyDescent="0.25">
      <c r="A111" s="381" t="s">
        <v>282</v>
      </c>
      <c r="B111" s="387" t="s">
        <v>283</v>
      </c>
      <c r="C111" s="383">
        <v>1565</v>
      </c>
      <c r="D111" s="383">
        <v>2</v>
      </c>
      <c r="E111" s="383">
        <v>118</v>
      </c>
      <c r="F111" s="383">
        <v>300</v>
      </c>
      <c r="G111" s="383">
        <v>284</v>
      </c>
      <c r="H111" s="383">
        <v>2269</v>
      </c>
      <c r="I111" s="382">
        <v>1985</v>
      </c>
      <c r="J111" s="382">
        <v>4</v>
      </c>
      <c r="K111" s="384">
        <v>94.79</v>
      </c>
      <c r="L111" s="384">
        <v>92.89</v>
      </c>
      <c r="M111" s="384">
        <v>6.56</v>
      </c>
      <c r="N111" s="384">
        <v>99.75</v>
      </c>
      <c r="O111" s="385">
        <v>1219</v>
      </c>
      <c r="P111" s="382">
        <v>98.25</v>
      </c>
      <c r="Q111" s="382">
        <v>85.53</v>
      </c>
      <c r="R111" s="382">
        <v>42.86</v>
      </c>
      <c r="S111" s="382">
        <v>137.21</v>
      </c>
      <c r="T111" s="382">
        <v>384</v>
      </c>
      <c r="U111" s="382">
        <v>139.27000000000001</v>
      </c>
      <c r="V111" s="382">
        <v>168</v>
      </c>
      <c r="W111" s="382">
        <v>74.06</v>
      </c>
      <c r="X111" s="382">
        <v>7</v>
      </c>
      <c r="Y111" s="382">
        <v>0</v>
      </c>
      <c r="Z111" s="382">
        <v>3</v>
      </c>
      <c r="AA111" s="382">
        <v>19</v>
      </c>
      <c r="AB111" s="382">
        <v>29</v>
      </c>
      <c r="AC111" s="382">
        <v>1</v>
      </c>
      <c r="AD111" s="386">
        <v>1406</v>
      </c>
      <c r="AE111" s="386">
        <v>7</v>
      </c>
      <c r="AF111" s="386">
        <v>48</v>
      </c>
      <c r="AG111" s="386">
        <v>55</v>
      </c>
    </row>
    <row r="112" spans="1:33" x14ac:dyDescent="0.25">
      <c r="A112" s="381" t="s">
        <v>284</v>
      </c>
      <c r="B112" s="387" t="s">
        <v>285</v>
      </c>
      <c r="C112" s="383">
        <v>4186</v>
      </c>
      <c r="D112" s="383">
        <v>12</v>
      </c>
      <c r="E112" s="383">
        <v>81</v>
      </c>
      <c r="F112" s="383">
        <v>786</v>
      </c>
      <c r="G112" s="383">
        <v>205</v>
      </c>
      <c r="H112" s="383">
        <v>5270</v>
      </c>
      <c r="I112" s="382">
        <v>5065</v>
      </c>
      <c r="J112" s="382">
        <v>7</v>
      </c>
      <c r="K112" s="384">
        <v>94.33</v>
      </c>
      <c r="L112" s="384">
        <v>93.71</v>
      </c>
      <c r="M112" s="384">
        <v>1.9</v>
      </c>
      <c r="N112" s="384">
        <v>95.97</v>
      </c>
      <c r="O112" s="385">
        <v>3356</v>
      </c>
      <c r="P112" s="382">
        <v>90.26</v>
      </c>
      <c r="Q112" s="382">
        <v>87.71</v>
      </c>
      <c r="R112" s="382">
        <v>21.86</v>
      </c>
      <c r="S112" s="382">
        <v>111.52</v>
      </c>
      <c r="T112" s="382">
        <v>777</v>
      </c>
      <c r="U112" s="382">
        <v>108.57</v>
      </c>
      <c r="V112" s="382">
        <v>415</v>
      </c>
      <c r="W112" s="382">
        <v>200.24</v>
      </c>
      <c r="X112" s="382">
        <v>68</v>
      </c>
      <c r="Y112" s="382">
        <v>0</v>
      </c>
      <c r="Z112" s="382">
        <v>23</v>
      </c>
      <c r="AA112" s="382">
        <v>7</v>
      </c>
      <c r="AB112" s="382">
        <v>21</v>
      </c>
      <c r="AC112" s="382">
        <v>6</v>
      </c>
      <c r="AD112" s="386">
        <v>3758</v>
      </c>
      <c r="AE112" s="386">
        <v>5</v>
      </c>
      <c r="AF112" s="386">
        <v>17</v>
      </c>
      <c r="AG112" s="386">
        <v>22</v>
      </c>
    </row>
    <row r="113" spans="1:33" x14ac:dyDescent="0.25">
      <c r="A113" s="381" t="s">
        <v>286</v>
      </c>
      <c r="B113" s="387" t="s">
        <v>287</v>
      </c>
      <c r="C113" s="383">
        <v>2101</v>
      </c>
      <c r="D113" s="383">
        <v>0</v>
      </c>
      <c r="E113" s="383">
        <v>147</v>
      </c>
      <c r="F113" s="383">
        <v>541</v>
      </c>
      <c r="G113" s="383">
        <v>97</v>
      </c>
      <c r="H113" s="383">
        <v>2886</v>
      </c>
      <c r="I113" s="382">
        <v>2789</v>
      </c>
      <c r="J113" s="382">
        <v>0</v>
      </c>
      <c r="K113" s="384">
        <v>87.5</v>
      </c>
      <c r="L113" s="384">
        <v>86.91</v>
      </c>
      <c r="M113" s="384">
        <v>3.06</v>
      </c>
      <c r="N113" s="384">
        <v>90.27</v>
      </c>
      <c r="O113" s="385">
        <v>1749</v>
      </c>
      <c r="P113" s="382">
        <v>90.68</v>
      </c>
      <c r="Q113" s="382">
        <v>79.11</v>
      </c>
      <c r="R113" s="382">
        <v>23.08</v>
      </c>
      <c r="S113" s="382">
        <v>113.36</v>
      </c>
      <c r="T113" s="382">
        <v>639</v>
      </c>
      <c r="U113" s="382">
        <v>107.49</v>
      </c>
      <c r="V113" s="382">
        <v>341</v>
      </c>
      <c r="W113" s="382">
        <v>0</v>
      </c>
      <c r="X113" s="382">
        <v>0</v>
      </c>
      <c r="Y113" s="382">
        <v>0</v>
      </c>
      <c r="Z113" s="382">
        <v>7</v>
      </c>
      <c r="AA113" s="382">
        <v>1</v>
      </c>
      <c r="AB113" s="382">
        <v>12</v>
      </c>
      <c r="AC113" s="382">
        <v>8</v>
      </c>
      <c r="AD113" s="386">
        <v>2099</v>
      </c>
      <c r="AE113" s="386">
        <v>38</v>
      </c>
      <c r="AF113" s="386">
        <v>9</v>
      </c>
      <c r="AG113" s="386">
        <v>47</v>
      </c>
    </row>
    <row r="114" spans="1:33" x14ac:dyDescent="0.25">
      <c r="A114" s="381" t="s">
        <v>288</v>
      </c>
      <c r="B114" s="387" t="s">
        <v>289</v>
      </c>
      <c r="C114" s="383">
        <v>3934</v>
      </c>
      <c r="D114" s="383">
        <v>41</v>
      </c>
      <c r="E114" s="383">
        <v>271</v>
      </c>
      <c r="F114" s="383">
        <v>970</v>
      </c>
      <c r="G114" s="383">
        <v>181</v>
      </c>
      <c r="H114" s="383">
        <v>5397</v>
      </c>
      <c r="I114" s="382">
        <v>5216</v>
      </c>
      <c r="J114" s="382">
        <v>3</v>
      </c>
      <c r="K114" s="384">
        <v>79.14</v>
      </c>
      <c r="L114" s="384">
        <v>75.67</v>
      </c>
      <c r="M114" s="384">
        <v>7.21</v>
      </c>
      <c r="N114" s="384">
        <v>83.55</v>
      </c>
      <c r="O114" s="385">
        <v>2973</v>
      </c>
      <c r="P114" s="382">
        <v>88.3</v>
      </c>
      <c r="Q114" s="382">
        <v>79.5</v>
      </c>
      <c r="R114" s="382">
        <v>46.56</v>
      </c>
      <c r="S114" s="382">
        <v>132.26</v>
      </c>
      <c r="T114" s="382">
        <v>1039</v>
      </c>
      <c r="U114" s="382">
        <v>94.34</v>
      </c>
      <c r="V114" s="382">
        <v>987</v>
      </c>
      <c r="W114" s="382">
        <v>149.81</v>
      </c>
      <c r="X114" s="382">
        <v>186</v>
      </c>
      <c r="Y114" s="382">
        <v>0</v>
      </c>
      <c r="Z114" s="382">
        <v>1</v>
      </c>
      <c r="AA114" s="382">
        <v>5</v>
      </c>
      <c r="AB114" s="382">
        <v>12</v>
      </c>
      <c r="AC114" s="382">
        <v>3</v>
      </c>
      <c r="AD114" s="386">
        <v>3712</v>
      </c>
      <c r="AE114" s="386">
        <v>45</v>
      </c>
      <c r="AF114" s="386">
        <v>30</v>
      </c>
      <c r="AG114" s="386">
        <v>75</v>
      </c>
    </row>
    <row r="115" spans="1:33" x14ac:dyDescent="0.25">
      <c r="A115" s="381" t="s">
        <v>290</v>
      </c>
      <c r="B115" s="387" t="s">
        <v>291</v>
      </c>
      <c r="C115" s="383">
        <v>3729</v>
      </c>
      <c r="D115" s="383">
        <v>0</v>
      </c>
      <c r="E115" s="383">
        <v>182</v>
      </c>
      <c r="F115" s="383">
        <v>1175</v>
      </c>
      <c r="G115" s="383">
        <v>214</v>
      </c>
      <c r="H115" s="383">
        <v>5300</v>
      </c>
      <c r="I115" s="382">
        <v>5086</v>
      </c>
      <c r="J115" s="382">
        <v>0</v>
      </c>
      <c r="K115" s="384">
        <v>83.13</v>
      </c>
      <c r="L115" s="384">
        <v>81.72</v>
      </c>
      <c r="M115" s="384">
        <v>4.8499999999999996</v>
      </c>
      <c r="N115" s="384">
        <v>84.96</v>
      </c>
      <c r="O115" s="385">
        <v>3538</v>
      </c>
      <c r="P115" s="382">
        <v>83.97</v>
      </c>
      <c r="Q115" s="382">
        <v>74.02</v>
      </c>
      <c r="R115" s="382">
        <v>27.58</v>
      </c>
      <c r="S115" s="382">
        <v>111.17</v>
      </c>
      <c r="T115" s="382">
        <v>1335</v>
      </c>
      <c r="U115" s="382">
        <v>110.81</v>
      </c>
      <c r="V115" s="382">
        <v>172</v>
      </c>
      <c r="W115" s="382">
        <v>173.87</v>
      </c>
      <c r="X115" s="382">
        <v>15</v>
      </c>
      <c r="Y115" s="382">
        <v>0</v>
      </c>
      <c r="Z115" s="382">
        <v>35</v>
      </c>
      <c r="AA115" s="382">
        <v>3</v>
      </c>
      <c r="AB115" s="382">
        <v>0</v>
      </c>
      <c r="AC115" s="382">
        <v>8</v>
      </c>
      <c r="AD115" s="386">
        <v>3729</v>
      </c>
      <c r="AE115" s="386">
        <v>10</v>
      </c>
      <c r="AF115" s="386">
        <v>27</v>
      </c>
      <c r="AG115" s="386">
        <v>37</v>
      </c>
    </row>
    <row r="116" spans="1:33" x14ac:dyDescent="0.25">
      <c r="A116" s="381" t="s">
        <v>292</v>
      </c>
      <c r="B116" s="387" t="s">
        <v>293</v>
      </c>
      <c r="C116" s="383">
        <v>6532</v>
      </c>
      <c r="D116" s="383">
        <v>6</v>
      </c>
      <c r="E116" s="383">
        <v>586</v>
      </c>
      <c r="F116" s="383">
        <v>947</v>
      </c>
      <c r="G116" s="383">
        <v>491</v>
      </c>
      <c r="H116" s="383">
        <v>8562</v>
      </c>
      <c r="I116" s="382">
        <v>8071</v>
      </c>
      <c r="J116" s="382">
        <v>113</v>
      </c>
      <c r="K116" s="384">
        <v>86.8</v>
      </c>
      <c r="L116" s="384">
        <v>82.95</v>
      </c>
      <c r="M116" s="384">
        <v>6.75</v>
      </c>
      <c r="N116" s="384">
        <v>89.85</v>
      </c>
      <c r="O116" s="385">
        <v>6285</v>
      </c>
      <c r="P116" s="382">
        <v>98.38</v>
      </c>
      <c r="Q116" s="382">
        <v>81.99</v>
      </c>
      <c r="R116" s="382">
        <v>51.88</v>
      </c>
      <c r="S116" s="382">
        <v>149.36000000000001</v>
      </c>
      <c r="T116" s="382">
        <v>1281</v>
      </c>
      <c r="U116" s="382">
        <v>113.38</v>
      </c>
      <c r="V116" s="382">
        <v>172</v>
      </c>
      <c r="W116" s="382">
        <v>181.01</v>
      </c>
      <c r="X116" s="382">
        <v>31</v>
      </c>
      <c r="Y116" s="382">
        <v>8</v>
      </c>
      <c r="Z116" s="382">
        <v>46</v>
      </c>
      <c r="AA116" s="382">
        <v>22</v>
      </c>
      <c r="AB116" s="382">
        <v>17</v>
      </c>
      <c r="AC116" s="382">
        <v>17</v>
      </c>
      <c r="AD116" s="386">
        <v>6473</v>
      </c>
      <c r="AE116" s="386">
        <v>53</v>
      </c>
      <c r="AF116" s="386">
        <v>15</v>
      </c>
      <c r="AG116" s="386">
        <v>68</v>
      </c>
    </row>
    <row r="117" spans="1:33" x14ac:dyDescent="0.25">
      <c r="A117" s="381" t="s">
        <v>294</v>
      </c>
      <c r="B117" s="387" t="s">
        <v>295</v>
      </c>
      <c r="C117" s="383">
        <v>2468</v>
      </c>
      <c r="D117" s="383">
        <v>11</v>
      </c>
      <c r="E117" s="383">
        <v>69</v>
      </c>
      <c r="F117" s="383">
        <v>474</v>
      </c>
      <c r="G117" s="383">
        <v>342</v>
      </c>
      <c r="H117" s="383">
        <v>3364</v>
      </c>
      <c r="I117" s="382">
        <v>3022</v>
      </c>
      <c r="J117" s="382">
        <v>0</v>
      </c>
      <c r="K117" s="384">
        <v>98.69</v>
      </c>
      <c r="L117" s="384">
        <v>96.6</v>
      </c>
      <c r="M117" s="384">
        <v>8.6</v>
      </c>
      <c r="N117" s="384">
        <v>106.1</v>
      </c>
      <c r="O117" s="385">
        <v>2018</v>
      </c>
      <c r="P117" s="382">
        <v>97.4</v>
      </c>
      <c r="Q117" s="382">
        <v>90.44</v>
      </c>
      <c r="R117" s="382">
        <v>42</v>
      </c>
      <c r="S117" s="382">
        <v>136.80000000000001</v>
      </c>
      <c r="T117" s="382">
        <v>274</v>
      </c>
      <c r="U117" s="382">
        <v>127.38</v>
      </c>
      <c r="V117" s="382">
        <v>294</v>
      </c>
      <c r="W117" s="382">
        <v>107.67</v>
      </c>
      <c r="X117" s="382">
        <v>22</v>
      </c>
      <c r="Y117" s="382">
        <v>0</v>
      </c>
      <c r="Z117" s="382">
        <v>0</v>
      </c>
      <c r="AA117" s="382">
        <v>1</v>
      </c>
      <c r="AB117" s="382">
        <v>21</v>
      </c>
      <c r="AC117" s="382">
        <v>10</v>
      </c>
      <c r="AD117" s="386">
        <v>2435</v>
      </c>
      <c r="AE117" s="386">
        <v>18</v>
      </c>
      <c r="AF117" s="386">
        <v>3</v>
      </c>
      <c r="AG117" s="386">
        <v>21</v>
      </c>
    </row>
    <row r="118" spans="1:33" x14ac:dyDescent="0.25">
      <c r="A118" s="381" t="s">
        <v>296</v>
      </c>
      <c r="B118" s="387" t="s">
        <v>297</v>
      </c>
      <c r="C118" s="383">
        <v>1476</v>
      </c>
      <c r="D118" s="383">
        <v>0</v>
      </c>
      <c r="E118" s="383">
        <v>84</v>
      </c>
      <c r="F118" s="383">
        <v>179</v>
      </c>
      <c r="G118" s="383">
        <v>274</v>
      </c>
      <c r="H118" s="383">
        <v>2013</v>
      </c>
      <c r="I118" s="382">
        <v>1739</v>
      </c>
      <c r="J118" s="382">
        <v>3</v>
      </c>
      <c r="K118" s="384">
        <v>107.33</v>
      </c>
      <c r="L118" s="384">
        <v>103.03</v>
      </c>
      <c r="M118" s="384">
        <v>5.52</v>
      </c>
      <c r="N118" s="384">
        <v>111.53</v>
      </c>
      <c r="O118" s="385">
        <v>738</v>
      </c>
      <c r="P118" s="382">
        <v>93.51</v>
      </c>
      <c r="Q118" s="382">
        <v>89.84</v>
      </c>
      <c r="R118" s="382">
        <v>65.400000000000006</v>
      </c>
      <c r="S118" s="382">
        <v>158.05000000000001</v>
      </c>
      <c r="T118" s="382">
        <v>76</v>
      </c>
      <c r="U118" s="382">
        <v>141.29</v>
      </c>
      <c r="V118" s="382">
        <v>339</v>
      </c>
      <c r="W118" s="382">
        <v>169.13</v>
      </c>
      <c r="X118" s="382">
        <v>57</v>
      </c>
      <c r="Y118" s="382">
        <v>0</v>
      </c>
      <c r="Z118" s="382">
        <v>0</v>
      </c>
      <c r="AA118" s="382">
        <v>0</v>
      </c>
      <c r="AB118" s="382">
        <v>25</v>
      </c>
      <c r="AC118" s="382">
        <v>25</v>
      </c>
      <c r="AD118" s="386">
        <v>1077</v>
      </c>
      <c r="AE118" s="386">
        <v>4</v>
      </c>
      <c r="AF118" s="386">
        <v>4</v>
      </c>
      <c r="AG118" s="386">
        <v>8</v>
      </c>
    </row>
    <row r="119" spans="1:33" x14ac:dyDescent="0.25">
      <c r="A119" s="381" t="s">
        <v>298</v>
      </c>
      <c r="B119" s="387" t="s">
        <v>299</v>
      </c>
      <c r="C119" s="383">
        <v>1419</v>
      </c>
      <c r="D119" s="383">
        <v>0</v>
      </c>
      <c r="E119" s="383">
        <v>241</v>
      </c>
      <c r="F119" s="383">
        <v>140</v>
      </c>
      <c r="G119" s="383">
        <v>88</v>
      </c>
      <c r="H119" s="383">
        <v>1888</v>
      </c>
      <c r="I119" s="382">
        <v>1800</v>
      </c>
      <c r="J119" s="382">
        <v>7</v>
      </c>
      <c r="K119" s="384">
        <v>87.63</v>
      </c>
      <c r="L119" s="384">
        <v>87.04</v>
      </c>
      <c r="M119" s="384">
        <v>5.7</v>
      </c>
      <c r="N119" s="384">
        <v>90.99</v>
      </c>
      <c r="O119" s="385">
        <v>1244</v>
      </c>
      <c r="P119" s="382">
        <v>95.92</v>
      </c>
      <c r="Q119" s="382">
        <v>84.04</v>
      </c>
      <c r="R119" s="382">
        <v>53.75</v>
      </c>
      <c r="S119" s="382">
        <v>149.29</v>
      </c>
      <c r="T119" s="382">
        <v>280</v>
      </c>
      <c r="U119" s="382">
        <v>98.81</v>
      </c>
      <c r="V119" s="382">
        <v>159</v>
      </c>
      <c r="W119" s="382">
        <v>0</v>
      </c>
      <c r="X119" s="382">
        <v>0</v>
      </c>
      <c r="Y119" s="382">
        <v>2</v>
      </c>
      <c r="Z119" s="382">
        <v>0</v>
      </c>
      <c r="AA119" s="382">
        <v>2</v>
      </c>
      <c r="AB119" s="382">
        <v>0</v>
      </c>
      <c r="AC119" s="382">
        <v>3</v>
      </c>
      <c r="AD119" s="386">
        <v>1419</v>
      </c>
      <c r="AE119" s="386">
        <v>4</v>
      </c>
      <c r="AF119" s="386">
        <v>10</v>
      </c>
      <c r="AG119" s="386">
        <v>14</v>
      </c>
    </row>
    <row r="120" spans="1:33" x14ac:dyDescent="0.25">
      <c r="A120" s="381" t="s">
        <v>300</v>
      </c>
      <c r="B120" s="387" t="s">
        <v>301</v>
      </c>
      <c r="C120" s="383">
        <v>12823</v>
      </c>
      <c r="D120" s="383">
        <v>156</v>
      </c>
      <c r="E120" s="383">
        <v>457</v>
      </c>
      <c r="F120" s="383">
        <v>990</v>
      </c>
      <c r="G120" s="383">
        <v>2494</v>
      </c>
      <c r="H120" s="383">
        <v>16920</v>
      </c>
      <c r="I120" s="382">
        <v>14426</v>
      </c>
      <c r="J120" s="382">
        <v>166</v>
      </c>
      <c r="K120" s="384">
        <v>120.51</v>
      </c>
      <c r="L120" s="384">
        <v>119.03</v>
      </c>
      <c r="M120" s="384">
        <v>13.98</v>
      </c>
      <c r="N120" s="384">
        <v>131.12</v>
      </c>
      <c r="O120" s="385">
        <v>10105</v>
      </c>
      <c r="P120" s="382">
        <v>112.57</v>
      </c>
      <c r="Q120" s="382">
        <v>109.24</v>
      </c>
      <c r="R120" s="382">
        <v>54.18</v>
      </c>
      <c r="S120" s="382">
        <v>155.85</v>
      </c>
      <c r="T120" s="382">
        <v>1227</v>
      </c>
      <c r="U120" s="382">
        <v>171.14</v>
      </c>
      <c r="V120" s="382">
        <v>1088</v>
      </c>
      <c r="W120" s="382">
        <v>0</v>
      </c>
      <c r="X120" s="382">
        <v>0</v>
      </c>
      <c r="Y120" s="382">
        <v>0</v>
      </c>
      <c r="Z120" s="382">
        <v>27</v>
      </c>
      <c r="AA120" s="382">
        <v>32</v>
      </c>
      <c r="AB120" s="382">
        <v>179</v>
      </c>
      <c r="AC120" s="382">
        <v>18</v>
      </c>
      <c r="AD120" s="386">
        <v>11531</v>
      </c>
      <c r="AE120" s="386">
        <v>35</v>
      </c>
      <c r="AF120" s="386">
        <v>48</v>
      </c>
      <c r="AG120" s="386">
        <v>83</v>
      </c>
    </row>
    <row r="121" spans="1:33" x14ac:dyDescent="0.25">
      <c r="A121" s="381" t="s">
        <v>302</v>
      </c>
      <c r="B121" s="387" t="s">
        <v>303</v>
      </c>
      <c r="C121" s="383">
        <v>1739</v>
      </c>
      <c r="D121" s="383">
        <v>11</v>
      </c>
      <c r="E121" s="383">
        <v>295</v>
      </c>
      <c r="F121" s="383">
        <v>217</v>
      </c>
      <c r="G121" s="383">
        <v>399</v>
      </c>
      <c r="H121" s="383">
        <v>2661</v>
      </c>
      <c r="I121" s="382">
        <v>2262</v>
      </c>
      <c r="J121" s="382">
        <v>14</v>
      </c>
      <c r="K121" s="384">
        <v>125.36</v>
      </c>
      <c r="L121" s="384">
        <v>123.07</v>
      </c>
      <c r="M121" s="384">
        <v>7.89</v>
      </c>
      <c r="N121" s="384">
        <v>131.80000000000001</v>
      </c>
      <c r="O121" s="385">
        <v>1359</v>
      </c>
      <c r="P121" s="382">
        <v>113.51</v>
      </c>
      <c r="Q121" s="382">
        <v>88.58</v>
      </c>
      <c r="R121" s="382">
        <v>77.05</v>
      </c>
      <c r="S121" s="382">
        <v>184.96</v>
      </c>
      <c r="T121" s="382">
        <v>234</v>
      </c>
      <c r="U121" s="382">
        <v>163.96</v>
      </c>
      <c r="V121" s="382">
        <v>248</v>
      </c>
      <c r="W121" s="382">
        <v>137.69</v>
      </c>
      <c r="X121" s="382">
        <v>6</v>
      </c>
      <c r="Y121" s="382">
        <v>6</v>
      </c>
      <c r="Z121" s="382">
        <v>0</v>
      </c>
      <c r="AA121" s="382">
        <v>0</v>
      </c>
      <c r="AB121" s="382">
        <v>25</v>
      </c>
      <c r="AC121" s="382">
        <v>7</v>
      </c>
      <c r="AD121" s="386">
        <v>1589</v>
      </c>
      <c r="AE121" s="386">
        <v>2</v>
      </c>
      <c r="AF121" s="386">
        <v>0</v>
      </c>
      <c r="AG121" s="386">
        <v>2</v>
      </c>
    </row>
    <row r="122" spans="1:33" x14ac:dyDescent="0.25">
      <c r="A122" s="381" t="s">
        <v>304</v>
      </c>
      <c r="B122" s="387" t="s">
        <v>305</v>
      </c>
      <c r="C122" s="383">
        <v>20022</v>
      </c>
      <c r="D122" s="383">
        <v>511</v>
      </c>
      <c r="E122" s="383">
        <v>1589</v>
      </c>
      <c r="F122" s="383">
        <v>1632</v>
      </c>
      <c r="G122" s="383">
        <v>2549</v>
      </c>
      <c r="H122" s="383">
        <v>26303</v>
      </c>
      <c r="I122" s="382">
        <v>23754</v>
      </c>
      <c r="J122" s="382">
        <v>29</v>
      </c>
      <c r="K122" s="384">
        <v>123.22</v>
      </c>
      <c r="L122" s="384">
        <v>124.52</v>
      </c>
      <c r="M122" s="384">
        <v>13.24</v>
      </c>
      <c r="N122" s="384">
        <v>132.72</v>
      </c>
      <c r="O122" s="385">
        <v>17230</v>
      </c>
      <c r="P122" s="382">
        <v>114.12</v>
      </c>
      <c r="Q122" s="382">
        <v>111.2</v>
      </c>
      <c r="R122" s="382">
        <v>54.76</v>
      </c>
      <c r="S122" s="382">
        <v>163.59</v>
      </c>
      <c r="T122" s="382">
        <v>2887</v>
      </c>
      <c r="U122" s="382">
        <v>206.09</v>
      </c>
      <c r="V122" s="382">
        <v>1092</v>
      </c>
      <c r="W122" s="382">
        <v>243.08</v>
      </c>
      <c r="X122" s="382">
        <v>22</v>
      </c>
      <c r="Y122" s="382">
        <v>4</v>
      </c>
      <c r="Z122" s="382">
        <v>41</v>
      </c>
      <c r="AA122" s="382">
        <v>12</v>
      </c>
      <c r="AB122" s="382">
        <v>32</v>
      </c>
      <c r="AC122" s="382">
        <v>52</v>
      </c>
      <c r="AD122" s="386">
        <v>18424</v>
      </c>
      <c r="AE122" s="386">
        <v>44</v>
      </c>
      <c r="AF122" s="386">
        <v>54</v>
      </c>
      <c r="AG122" s="386">
        <v>98</v>
      </c>
    </row>
    <row r="123" spans="1:33" x14ac:dyDescent="0.25">
      <c r="A123" s="381" t="s">
        <v>306</v>
      </c>
      <c r="B123" s="387" t="s">
        <v>307</v>
      </c>
      <c r="C123" s="383">
        <v>13402</v>
      </c>
      <c r="D123" s="383">
        <v>2</v>
      </c>
      <c r="E123" s="383">
        <v>496</v>
      </c>
      <c r="F123" s="383">
        <v>510</v>
      </c>
      <c r="G123" s="383">
        <v>315</v>
      </c>
      <c r="H123" s="383">
        <v>14725</v>
      </c>
      <c r="I123" s="382">
        <v>14410</v>
      </c>
      <c r="J123" s="382">
        <v>2</v>
      </c>
      <c r="K123" s="384">
        <v>83.7</v>
      </c>
      <c r="L123" s="384">
        <v>83.3</v>
      </c>
      <c r="M123" s="384">
        <v>3.91</v>
      </c>
      <c r="N123" s="384">
        <v>87.44</v>
      </c>
      <c r="O123" s="385">
        <v>11419</v>
      </c>
      <c r="P123" s="382">
        <v>87.23</v>
      </c>
      <c r="Q123" s="382">
        <v>77.55</v>
      </c>
      <c r="R123" s="382">
        <v>32.08</v>
      </c>
      <c r="S123" s="382">
        <v>118.47</v>
      </c>
      <c r="T123" s="382">
        <v>874</v>
      </c>
      <c r="U123" s="382">
        <v>99.3</v>
      </c>
      <c r="V123" s="382">
        <v>1961</v>
      </c>
      <c r="W123" s="382">
        <v>145.04</v>
      </c>
      <c r="X123" s="382">
        <v>82</v>
      </c>
      <c r="Y123" s="382">
        <v>0</v>
      </c>
      <c r="Z123" s="382">
        <v>70</v>
      </c>
      <c r="AA123" s="382">
        <v>5</v>
      </c>
      <c r="AB123" s="382">
        <v>10</v>
      </c>
      <c r="AC123" s="382">
        <v>10</v>
      </c>
      <c r="AD123" s="386">
        <v>13402</v>
      </c>
      <c r="AE123" s="386">
        <v>96</v>
      </c>
      <c r="AF123" s="386">
        <v>60</v>
      </c>
      <c r="AG123" s="386">
        <v>156</v>
      </c>
    </row>
    <row r="124" spans="1:33" x14ac:dyDescent="0.25">
      <c r="A124" s="381" t="s">
        <v>308</v>
      </c>
      <c r="B124" s="387" t="s">
        <v>309</v>
      </c>
      <c r="C124" s="383">
        <v>5021</v>
      </c>
      <c r="D124" s="383">
        <v>5</v>
      </c>
      <c r="E124" s="383">
        <v>348</v>
      </c>
      <c r="F124" s="383">
        <v>123</v>
      </c>
      <c r="G124" s="383">
        <v>130</v>
      </c>
      <c r="H124" s="383">
        <v>5627</v>
      </c>
      <c r="I124" s="382">
        <v>5497</v>
      </c>
      <c r="J124" s="382">
        <v>143</v>
      </c>
      <c r="K124" s="384">
        <v>91.61</v>
      </c>
      <c r="L124" s="384">
        <v>92.78</v>
      </c>
      <c r="M124" s="384">
        <v>3.05</v>
      </c>
      <c r="N124" s="384">
        <v>94.28</v>
      </c>
      <c r="O124" s="385">
        <v>4740</v>
      </c>
      <c r="P124" s="382">
        <v>107.49</v>
      </c>
      <c r="Q124" s="382">
        <v>85.96</v>
      </c>
      <c r="R124" s="382">
        <v>118.18</v>
      </c>
      <c r="S124" s="382">
        <v>224.64</v>
      </c>
      <c r="T124" s="382">
        <v>341</v>
      </c>
      <c r="U124" s="382">
        <v>111.38</v>
      </c>
      <c r="V124" s="382">
        <v>137</v>
      </c>
      <c r="W124" s="382">
        <v>165.91</v>
      </c>
      <c r="X124" s="382">
        <v>102</v>
      </c>
      <c r="Y124" s="382">
        <v>0</v>
      </c>
      <c r="Z124" s="382">
        <v>24</v>
      </c>
      <c r="AA124" s="382">
        <v>0</v>
      </c>
      <c r="AB124" s="382">
        <v>16</v>
      </c>
      <c r="AC124" s="382">
        <v>1</v>
      </c>
      <c r="AD124" s="386">
        <v>5009</v>
      </c>
      <c r="AE124" s="386">
        <v>31</v>
      </c>
      <c r="AF124" s="386">
        <v>34</v>
      </c>
      <c r="AG124" s="386">
        <v>65</v>
      </c>
    </row>
    <row r="125" spans="1:33" x14ac:dyDescent="0.25">
      <c r="A125" s="381" t="s">
        <v>310</v>
      </c>
      <c r="B125" s="387" t="s">
        <v>311</v>
      </c>
      <c r="C125" s="383">
        <v>11705</v>
      </c>
      <c r="D125" s="383">
        <v>40</v>
      </c>
      <c r="E125" s="383">
        <v>978</v>
      </c>
      <c r="F125" s="383">
        <v>550</v>
      </c>
      <c r="G125" s="383">
        <v>1122</v>
      </c>
      <c r="H125" s="383">
        <v>14395</v>
      </c>
      <c r="I125" s="382">
        <v>13273</v>
      </c>
      <c r="J125" s="382">
        <v>156</v>
      </c>
      <c r="K125" s="384">
        <v>131.68</v>
      </c>
      <c r="L125" s="384">
        <v>134.63</v>
      </c>
      <c r="M125" s="384">
        <v>11.94</v>
      </c>
      <c r="N125" s="384">
        <v>137.61000000000001</v>
      </c>
      <c r="O125" s="385">
        <v>10136</v>
      </c>
      <c r="P125" s="382">
        <v>126.6</v>
      </c>
      <c r="Q125" s="382">
        <v>122.47</v>
      </c>
      <c r="R125" s="382">
        <v>59.79</v>
      </c>
      <c r="S125" s="382">
        <v>174</v>
      </c>
      <c r="T125" s="382">
        <v>1047</v>
      </c>
      <c r="U125" s="382">
        <v>203.41</v>
      </c>
      <c r="V125" s="382">
        <v>993</v>
      </c>
      <c r="W125" s="382">
        <v>192.69</v>
      </c>
      <c r="X125" s="382">
        <v>81</v>
      </c>
      <c r="Y125" s="382">
        <v>0</v>
      </c>
      <c r="Z125" s="382">
        <v>0</v>
      </c>
      <c r="AA125" s="382">
        <v>19</v>
      </c>
      <c r="AB125" s="382">
        <v>4</v>
      </c>
      <c r="AC125" s="382">
        <v>18</v>
      </c>
      <c r="AD125" s="386">
        <v>11173</v>
      </c>
      <c r="AE125" s="386">
        <v>28</v>
      </c>
      <c r="AF125" s="386">
        <v>213</v>
      </c>
      <c r="AG125" s="386">
        <v>241</v>
      </c>
    </row>
    <row r="126" spans="1:33" x14ac:dyDescent="0.25">
      <c r="A126" s="381" t="s">
        <v>312</v>
      </c>
      <c r="B126" s="387" t="s">
        <v>313</v>
      </c>
      <c r="C126" s="383">
        <v>2844</v>
      </c>
      <c r="D126" s="383">
        <v>0</v>
      </c>
      <c r="E126" s="383">
        <v>96</v>
      </c>
      <c r="F126" s="383">
        <v>321</v>
      </c>
      <c r="G126" s="383">
        <v>516</v>
      </c>
      <c r="H126" s="383">
        <v>3777</v>
      </c>
      <c r="I126" s="382">
        <v>3261</v>
      </c>
      <c r="J126" s="382">
        <v>1</v>
      </c>
      <c r="K126" s="384">
        <v>90.08</v>
      </c>
      <c r="L126" s="384">
        <v>89.9</v>
      </c>
      <c r="M126" s="384">
        <v>3.37</v>
      </c>
      <c r="N126" s="384">
        <v>92.44</v>
      </c>
      <c r="O126" s="385">
        <v>2427</v>
      </c>
      <c r="P126" s="382">
        <v>80.69</v>
      </c>
      <c r="Q126" s="382">
        <v>76.28</v>
      </c>
      <c r="R126" s="382">
        <v>38.54</v>
      </c>
      <c r="S126" s="382">
        <v>117.05</v>
      </c>
      <c r="T126" s="382">
        <v>389</v>
      </c>
      <c r="U126" s="382">
        <v>110.38</v>
      </c>
      <c r="V126" s="382">
        <v>322</v>
      </c>
      <c r="W126" s="382">
        <v>114.98</v>
      </c>
      <c r="X126" s="382">
        <v>12</v>
      </c>
      <c r="Y126" s="382">
        <v>0</v>
      </c>
      <c r="Z126" s="382">
        <v>6</v>
      </c>
      <c r="AA126" s="382">
        <v>4</v>
      </c>
      <c r="AB126" s="382">
        <v>73</v>
      </c>
      <c r="AC126" s="382">
        <v>3</v>
      </c>
      <c r="AD126" s="386">
        <v>2844</v>
      </c>
      <c r="AE126" s="386">
        <v>9</v>
      </c>
      <c r="AF126" s="386">
        <v>5</v>
      </c>
      <c r="AG126" s="386">
        <v>14</v>
      </c>
    </row>
    <row r="127" spans="1:33" x14ac:dyDescent="0.25">
      <c r="A127" s="381" t="s">
        <v>314</v>
      </c>
      <c r="B127" s="387" t="s">
        <v>315</v>
      </c>
      <c r="C127" s="383">
        <v>10053</v>
      </c>
      <c r="D127" s="383">
        <v>56</v>
      </c>
      <c r="E127" s="383">
        <v>874</v>
      </c>
      <c r="F127" s="383">
        <v>945</v>
      </c>
      <c r="G127" s="383">
        <v>1611</v>
      </c>
      <c r="H127" s="383">
        <v>13539</v>
      </c>
      <c r="I127" s="382">
        <v>11928</v>
      </c>
      <c r="J127" s="382">
        <v>35</v>
      </c>
      <c r="K127" s="384">
        <v>120.1</v>
      </c>
      <c r="L127" s="384">
        <v>120.62</v>
      </c>
      <c r="M127" s="384">
        <v>11.27</v>
      </c>
      <c r="N127" s="384">
        <v>126.64</v>
      </c>
      <c r="O127" s="385">
        <v>8160</v>
      </c>
      <c r="P127" s="382">
        <v>122.88</v>
      </c>
      <c r="Q127" s="382">
        <v>114.98</v>
      </c>
      <c r="R127" s="382">
        <v>61.87</v>
      </c>
      <c r="S127" s="382">
        <v>173.04</v>
      </c>
      <c r="T127" s="382">
        <v>1326</v>
      </c>
      <c r="U127" s="382">
        <v>178.6</v>
      </c>
      <c r="V127" s="382">
        <v>591</v>
      </c>
      <c r="W127" s="382">
        <v>196.84</v>
      </c>
      <c r="X127" s="382">
        <v>35</v>
      </c>
      <c r="Y127" s="382">
        <v>0</v>
      </c>
      <c r="Z127" s="382">
        <v>3</v>
      </c>
      <c r="AA127" s="382">
        <v>8</v>
      </c>
      <c r="AB127" s="382">
        <v>43</v>
      </c>
      <c r="AC127" s="382">
        <v>37</v>
      </c>
      <c r="AD127" s="386">
        <v>9048</v>
      </c>
      <c r="AE127" s="386">
        <v>15</v>
      </c>
      <c r="AF127" s="386">
        <v>29</v>
      </c>
      <c r="AG127" s="386">
        <v>44</v>
      </c>
    </row>
    <row r="128" spans="1:33" x14ac:dyDescent="0.25">
      <c r="A128" s="381" t="s">
        <v>316</v>
      </c>
      <c r="B128" s="387" t="s">
        <v>317</v>
      </c>
      <c r="C128" s="383">
        <v>1468</v>
      </c>
      <c r="D128" s="383">
        <v>88</v>
      </c>
      <c r="E128" s="383">
        <v>263</v>
      </c>
      <c r="F128" s="383">
        <v>292</v>
      </c>
      <c r="G128" s="383">
        <v>340</v>
      </c>
      <c r="H128" s="383">
        <v>2451</v>
      </c>
      <c r="I128" s="382">
        <v>2111</v>
      </c>
      <c r="J128" s="382">
        <v>1</v>
      </c>
      <c r="K128" s="384">
        <v>103.01</v>
      </c>
      <c r="L128" s="384">
        <v>101.12</v>
      </c>
      <c r="M128" s="384">
        <v>8.69</v>
      </c>
      <c r="N128" s="384">
        <v>109.65</v>
      </c>
      <c r="O128" s="385">
        <v>1042</v>
      </c>
      <c r="P128" s="382">
        <v>93.19</v>
      </c>
      <c r="Q128" s="382">
        <v>100.87</v>
      </c>
      <c r="R128" s="382">
        <v>50.69</v>
      </c>
      <c r="S128" s="382">
        <v>143.44</v>
      </c>
      <c r="T128" s="382">
        <v>460</v>
      </c>
      <c r="U128" s="382">
        <v>149.63</v>
      </c>
      <c r="V128" s="382">
        <v>225</v>
      </c>
      <c r="W128" s="382">
        <v>0</v>
      </c>
      <c r="X128" s="382">
        <v>0</v>
      </c>
      <c r="Y128" s="382">
        <v>0</v>
      </c>
      <c r="Z128" s="382">
        <v>0</v>
      </c>
      <c r="AA128" s="382">
        <v>0</v>
      </c>
      <c r="AB128" s="382">
        <v>15</v>
      </c>
      <c r="AC128" s="382">
        <v>10</v>
      </c>
      <c r="AD128" s="386">
        <v>1465</v>
      </c>
      <c r="AE128" s="386">
        <v>7</v>
      </c>
      <c r="AF128" s="386">
        <v>4</v>
      </c>
      <c r="AG128" s="386">
        <v>11</v>
      </c>
    </row>
    <row r="129" spans="1:33" x14ac:dyDescent="0.25">
      <c r="A129" s="381" t="s">
        <v>318</v>
      </c>
      <c r="B129" s="387" t="s">
        <v>319</v>
      </c>
      <c r="C129" s="383">
        <v>2244</v>
      </c>
      <c r="D129" s="383">
        <v>24</v>
      </c>
      <c r="E129" s="383">
        <v>223</v>
      </c>
      <c r="F129" s="383">
        <v>409</v>
      </c>
      <c r="G129" s="383">
        <v>287</v>
      </c>
      <c r="H129" s="383">
        <v>3187</v>
      </c>
      <c r="I129" s="382">
        <v>2900</v>
      </c>
      <c r="J129" s="382">
        <v>57</v>
      </c>
      <c r="K129" s="384">
        <v>95.73</v>
      </c>
      <c r="L129" s="384">
        <v>93.58</v>
      </c>
      <c r="M129" s="384">
        <v>6.91</v>
      </c>
      <c r="N129" s="384">
        <v>100.27</v>
      </c>
      <c r="O129" s="385">
        <v>1604</v>
      </c>
      <c r="P129" s="382">
        <v>101.94</v>
      </c>
      <c r="Q129" s="382">
        <v>85.06</v>
      </c>
      <c r="R129" s="382">
        <v>40.26</v>
      </c>
      <c r="S129" s="382">
        <v>141.75</v>
      </c>
      <c r="T129" s="382">
        <v>445</v>
      </c>
      <c r="U129" s="382">
        <v>115.28</v>
      </c>
      <c r="V129" s="382">
        <v>495</v>
      </c>
      <c r="W129" s="382">
        <v>115.89</v>
      </c>
      <c r="X129" s="382">
        <v>9</v>
      </c>
      <c r="Y129" s="382">
        <v>0</v>
      </c>
      <c r="Z129" s="382">
        <v>2</v>
      </c>
      <c r="AA129" s="382">
        <v>0</v>
      </c>
      <c r="AB129" s="382">
        <v>23</v>
      </c>
      <c r="AC129" s="382">
        <v>2</v>
      </c>
      <c r="AD129" s="386">
        <v>2040</v>
      </c>
      <c r="AE129" s="386">
        <v>16</v>
      </c>
      <c r="AF129" s="386">
        <v>13</v>
      </c>
      <c r="AG129" s="386">
        <v>29</v>
      </c>
    </row>
    <row r="130" spans="1:33" x14ac:dyDescent="0.25">
      <c r="A130" s="381" t="s">
        <v>320</v>
      </c>
      <c r="B130" s="387" t="s">
        <v>321</v>
      </c>
      <c r="C130" s="383">
        <v>3371</v>
      </c>
      <c r="D130" s="383">
        <v>2</v>
      </c>
      <c r="E130" s="383">
        <v>344</v>
      </c>
      <c r="F130" s="383">
        <v>545</v>
      </c>
      <c r="G130" s="383">
        <v>1024</v>
      </c>
      <c r="H130" s="383">
        <v>5286</v>
      </c>
      <c r="I130" s="382">
        <v>4262</v>
      </c>
      <c r="J130" s="382">
        <v>11</v>
      </c>
      <c r="K130" s="384">
        <v>134.28</v>
      </c>
      <c r="L130" s="384">
        <v>131.28</v>
      </c>
      <c r="M130" s="384">
        <v>8.9700000000000006</v>
      </c>
      <c r="N130" s="384">
        <v>140.41</v>
      </c>
      <c r="O130" s="385">
        <v>2833</v>
      </c>
      <c r="P130" s="382">
        <v>118.19</v>
      </c>
      <c r="Q130" s="382">
        <v>94.94</v>
      </c>
      <c r="R130" s="382">
        <v>48.72</v>
      </c>
      <c r="S130" s="382">
        <v>153.87</v>
      </c>
      <c r="T130" s="382">
        <v>583</v>
      </c>
      <c r="U130" s="382">
        <v>182.48</v>
      </c>
      <c r="V130" s="382">
        <v>336</v>
      </c>
      <c r="W130" s="382">
        <v>193.85</v>
      </c>
      <c r="X130" s="382">
        <v>28</v>
      </c>
      <c r="Y130" s="382">
        <v>0</v>
      </c>
      <c r="Z130" s="382">
        <v>0</v>
      </c>
      <c r="AA130" s="382">
        <v>3</v>
      </c>
      <c r="AB130" s="382">
        <v>24</v>
      </c>
      <c r="AC130" s="382">
        <v>31</v>
      </c>
      <c r="AD130" s="386">
        <v>3302</v>
      </c>
      <c r="AE130" s="386">
        <v>10</v>
      </c>
      <c r="AF130" s="386">
        <v>3</v>
      </c>
      <c r="AG130" s="386">
        <v>13</v>
      </c>
    </row>
    <row r="131" spans="1:33" x14ac:dyDescent="0.25">
      <c r="A131" s="381" t="s">
        <v>322</v>
      </c>
      <c r="B131" s="387" t="s">
        <v>323</v>
      </c>
      <c r="C131" s="383">
        <v>2847</v>
      </c>
      <c r="D131" s="383">
        <v>0</v>
      </c>
      <c r="E131" s="383">
        <v>46</v>
      </c>
      <c r="F131" s="383">
        <v>322</v>
      </c>
      <c r="G131" s="383">
        <v>666</v>
      </c>
      <c r="H131" s="383">
        <v>3881</v>
      </c>
      <c r="I131" s="382">
        <v>3215</v>
      </c>
      <c r="J131" s="382">
        <v>0</v>
      </c>
      <c r="K131" s="384">
        <v>117.09</v>
      </c>
      <c r="L131" s="384">
        <v>117.69</v>
      </c>
      <c r="M131" s="384">
        <v>5.32</v>
      </c>
      <c r="N131" s="384">
        <v>119.3</v>
      </c>
      <c r="O131" s="385">
        <v>2402</v>
      </c>
      <c r="P131" s="382">
        <v>102.17</v>
      </c>
      <c r="Q131" s="382">
        <v>101.42</v>
      </c>
      <c r="R131" s="382">
        <v>33.49</v>
      </c>
      <c r="S131" s="382">
        <v>133.96</v>
      </c>
      <c r="T131" s="382">
        <v>315</v>
      </c>
      <c r="U131" s="382">
        <v>164.96</v>
      </c>
      <c r="V131" s="382">
        <v>409</v>
      </c>
      <c r="W131" s="382">
        <v>0</v>
      </c>
      <c r="X131" s="382">
        <v>0</v>
      </c>
      <c r="Y131" s="382">
        <v>0</v>
      </c>
      <c r="Z131" s="382">
        <v>1</v>
      </c>
      <c r="AA131" s="382">
        <v>0</v>
      </c>
      <c r="AB131" s="382">
        <v>37</v>
      </c>
      <c r="AC131" s="382">
        <v>27</v>
      </c>
      <c r="AD131" s="386">
        <v>2847</v>
      </c>
      <c r="AE131" s="386">
        <v>3</v>
      </c>
      <c r="AF131" s="386">
        <v>36</v>
      </c>
      <c r="AG131" s="386">
        <v>39</v>
      </c>
    </row>
    <row r="132" spans="1:33" x14ac:dyDescent="0.25">
      <c r="A132" s="381" t="s">
        <v>324</v>
      </c>
      <c r="B132" s="387" t="s">
        <v>325</v>
      </c>
      <c r="C132" s="383">
        <v>7689</v>
      </c>
      <c r="D132" s="383">
        <v>0</v>
      </c>
      <c r="E132" s="383">
        <v>155</v>
      </c>
      <c r="F132" s="383">
        <v>2011</v>
      </c>
      <c r="G132" s="383">
        <v>193</v>
      </c>
      <c r="H132" s="383">
        <v>10048</v>
      </c>
      <c r="I132" s="382">
        <v>9855</v>
      </c>
      <c r="J132" s="382">
        <v>3</v>
      </c>
      <c r="K132" s="384">
        <v>81.75</v>
      </c>
      <c r="L132" s="384">
        <v>80.790000000000006</v>
      </c>
      <c r="M132" s="384">
        <v>6.06</v>
      </c>
      <c r="N132" s="384">
        <v>84.22</v>
      </c>
      <c r="O132" s="385">
        <v>6666</v>
      </c>
      <c r="P132" s="382">
        <v>81.42</v>
      </c>
      <c r="Q132" s="382">
        <v>80.08</v>
      </c>
      <c r="R132" s="382">
        <v>36.89</v>
      </c>
      <c r="S132" s="382">
        <v>102.26</v>
      </c>
      <c r="T132" s="382">
        <v>2066</v>
      </c>
      <c r="U132" s="382">
        <v>93.05</v>
      </c>
      <c r="V132" s="382">
        <v>974</v>
      </c>
      <c r="W132" s="382">
        <v>104.96</v>
      </c>
      <c r="X132" s="382">
        <v>66</v>
      </c>
      <c r="Y132" s="382">
        <v>0</v>
      </c>
      <c r="Z132" s="382">
        <v>34</v>
      </c>
      <c r="AA132" s="382">
        <v>4</v>
      </c>
      <c r="AB132" s="382">
        <v>0</v>
      </c>
      <c r="AC132" s="382">
        <v>1</v>
      </c>
      <c r="AD132" s="386">
        <v>7663</v>
      </c>
      <c r="AE132" s="386">
        <v>162</v>
      </c>
      <c r="AF132" s="386">
        <v>81</v>
      </c>
      <c r="AG132" s="386">
        <v>243</v>
      </c>
    </row>
    <row r="133" spans="1:33" x14ac:dyDescent="0.25">
      <c r="A133" s="381" t="s">
        <v>326</v>
      </c>
      <c r="B133" s="387" t="s">
        <v>327</v>
      </c>
      <c r="C133" s="383">
        <v>5081</v>
      </c>
      <c r="D133" s="383">
        <v>0</v>
      </c>
      <c r="E133" s="383">
        <v>310</v>
      </c>
      <c r="F133" s="383">
        <v>713</v>
      </c>
      <c r="G133" s="383">
        <v>186</v>
      </c>
      <c r="H133" s="383">
        <v>6290</v>
      </c>
      <c r="I133" s="382">
        <v>6104</v>
      </c>
      <c r="J133" s="382">
        <v>2</v>
      </c>
      <c r="K133" s="384">
        <v>87.9</v>
      </c>
      <c r="L133" s="384">
        <v>86.49</v>
      </c>
      <c r="M133" s="384">
        <v>6.45</v>
      </c>
      <c r="N133" s="384">
        <v>93.32</v>
      </c>
      <c r="O133" s="385">
        <v>4316</v>
      </c>
      <c r="P133" s="382">
        <v>73.33</v>
      </c>
      <c r="Q133" s="382">
        <v>71.349999999999994</v>
      </c>
      <c r="R133" s="382">
        <v>35.51</v>
      </c>
      <c r="S133" s="382">
        <v>108.49</v>
      </c>
      <c r="T133" s="382">
        <v>796</v>
      </c>
      <c r="U133" s="382">
        <v>113.63</v>
      </c>
      <c r="V133" s="382">
        <v>692</v>
      </c>
      <c r="W133" s="382">
        <v>91.2</v>
      </c>
      <c r="X133" s="382">
        <v>29</v>
      </c>
      <c r="Y133" s="382">
        <v>0</v>
      </c>
      <c r="Z133" s="382">
        <v>8</v>
      </c>
      <c r="AA133" s="382">
        <v>5</v>
      </c>
      <c r="AB133" s="382">
        <v>0</v>
      </c>
      <c r="AC133" s="382">
        <v>1</v>
      </c>
      <c r="AD133" s="386">
        <v>5012</v>
      </c>
      <c r="AE133" s="386">
        <v>16</v>
      </c>
      <c r="AF133" s="386">
        <v>23</v>
      </c>
      <c r="AG133" s="386">
        <v>39</v>
      </c>
    </row>
    <row r="134" spans="1:33" x14ac:dyDescent="0.25">
      <c r="A134" s="381" t="s">
        <v>328</v>
      </c>
      <c r="B134" s="387" t="s">
        <v>329</v>
      </c>
      <c r="C134" s="383">
        <v>4423</v>
      </c>
      <c r="D134" s="383">
        <v>0</v>
      </c>
      <c r="E134" s="383">
        <v>256</v>
      </c>
      <c r="F134" s="383">
        <v>1010</v>
      </c>
      <c r="G134" s="383">
        <v>415</v>
      </c>
      <c r="H134" s="383">
        <v>6104</v>
      </c>
      <c r="I134" s="382">
        <v>5689</v>
      </c>
      <c r="J134" s="382">
        <v>0</v>
      </c>
      <c r="K134" s="384">
        <v>106.31</v>
      </c>
      <c r="L134" s="384">
        <v>102.19</v>
      </c>
      <c r="M134" s="384">
        <v>9.18</v>
      </c>
      <c r="N134" s="384">
        <v>110.66</v>
      </c>
      <c r="O134" s="385">
        <v>3580</v>
      </c>
      <c r="P134" s="382">
        <v>99.53</v>
      </c>
      <c r="Q134" s="382">
        <v>89.11</v>
      </c>
      <c r="R134" s="382">
        <v>21.23</v>
      </c>
      <c r="S134" s="382">
        <v>118.71</v>
      </c>
      <c r="T134" s="382">
        <v>1100</v>
      </c>
      <c r="U134" s="382">
        <v>142.6</v>
      </c>
      <c r="V134" s="382">
        <v>699</v>
      </c>
      <c r="W134" s="382">
        <v>154.72999999999999</v>
      </c>
      <c r="X134" s="382">
        <v>16</v>
      </c>
      <c r="Y134" s="382">
        <v>36</v>
      </c>
      <c r="Z134" s="382">
        <v>6</v>
      </c>
      <c r="AA134" s="382">
        <v>2</v>
      </c>
      <c r="AB134" s="382">
        <v>49</v>
      </c>
      <c r="AC134" s="382">
        <v>4</v>
      </c>
      <c r="AD134" s="386">
        <v>4374</v>
      </c>
      <c r="AE134" s="386">
        <v>4</v>
      </c>
      <c r="AF134" s="386">
        <v>6</v>
      </c>
      <c r="AG134" s="386">
        <v>10</v>
      </c>
    </row>
    <row r="135" spans="1:33" x14ac:dyDescent="0.25">
      <c r="A135" s="381" t="s">
        <v>330</v>
      </c>
      <c r="B135" s="387" t="s">
        <v>331</v>
      </c>
      <c r="C135" s="383">
        <v>3560</v>
      </c>
      <c r="D135" s="383">
        <v>354</v>
      </c>
      <c r="E135" s="383">
        <v>185</v>
      </c>
      <c r="F135" s="383">
        <v>497</v>
      </c>
      <c r="G135" s="383">
        <v>804</v>
      </c>
      <c r="H135" s="383">
        <v>5400</v>
      </c>
      <c r="I135" s="382">
        <v>4596</v>
      </c>
      <c r="J135" s="382">
        <v>2</v>
      </c>
      <c r="K135" s="384">
        <v>122.19</v>
      </c>
      <c r="L135" s="384">
        <v>117.86</v>
      </c>
      <c r="M135" s="384">
        <v>11.75</v>
      </c>
      <c r="N135" s="384">
        <v>129.56</v>
      </c>
      <c r="O135" s="385">
        <v>2475</v>
      </c>
      <c r="P135" s="382">
        <v>112.14</v>
      </c>
      <c r="Q135" s="382">
        <v>102.64</v>
      </c>
      <c r="R135" s="382">
        <v>42.17</v>
      </c>
      <c r="S135" s="382">
        <v>151.97999999999999</v>
      </c>
      <c r="T135" s="382">
        <v>635</v>
      </c>
      <c r="U135" s="382">
        <v>178.79</v>
      </c>
      <c r="V135" s="382">
        <v>941</v>
      </c>
      <c r="W135" s="382">
        <v>203.18</v>
      </c>
      <c r="X135" s="382">
        <v>37</v>
      </c>
      <c r="Y135" s="382">
        <v>6</v>
      </c>
      <c r="Z135" s="382">
        <v>2</v>
      </c>
      <c r="AA135" s="382">
        <v>7</v>
      </c>
      <c r="AB135" s="382">
        <v>42</v>
      </c>
      <c r="AC135" s="382">
        <v>9</v>
      </c>
      <c r="AD135" s="386">
        <v>3526</v>
      </c>
      <c r="AE135" s="386">
        <v>17</v>
      </c>
      <c r="AF135" s="386">
        <v>33</v>
      </c>
      <c r="AG135" s="386">
        <v>50</v>
      </c>
    </row>
    <row r="136" spans="1:33" x14ac:dyDescent="0.25">
      <c r="A136" s="381" t="s">
        <v>332</v>
      </c>
      <c r="B136" s="387" t="s">
        <v>333</v>
      </c>
      <c r="C136" s="383">
        <v>9125</v>
      </c>
      <c r="D136" s="383">
        <v>0</v>
      </c>
      <c r="E136" s="383">
        <v>334</v>
      </c>
      <c r="F136" s="383">
        <v>1752</v>
      </c>
      <c r="G136" s="383">
        <v>731</v>
      </c>
      <c r="H136" s="383">
        <v>11942</v>
      </c>
      <c r="I136" s="382">
        <v>11211</v>
      </c>
      <c r="J136" s="382">
        <v>9</v>
      </c>
      <c r="K136" s="384">
        <v>90.03</v>
      </c>
      <c r="L136" s="384">
        <v>87.74</v>
      </c>
      <c r="M136" s="384">
        <v>3.75</v>
      </c>
      <c r="N136" s="384">
        <v>91.9</v>
      </c>
      <c r="O136" s="385">
        <v>8380</v>
      </c>
      <c r="P136" s="382">
        <v>83.72</v>
      </c>
      <c r="Q136" s="382">
        <v>82.32</v>
      </c>
      <c r="R136" s="382">
        <v>33.700000000000003</v>
      </c>
      <c r="S136" s="382">
        <v>109.37</v>
      </c>
      <c r="T136" s="382">
        <v>2039</v>
      </c>
      <c r="U136" s="382">
        <v>105.12</v>
      </c>
      <c r="V136" s="382">
        <v>697</v>
      </c>
      <c r="W136" s="382">
        <v>179.19</v>
      </c>
      <c r="X136" s="382">
        <v>20</v>
      </c>
      <c r="Y136" s="382">
        <v>0</v>
      </c>
      <c r="Z136" s="382">
        <v>18</v>
      </c>
      <c r="AA136" s="382">
        <v>11</v>
      </c>
      <c r="AB136" s="382">
        <v>35</v>
      </c>
      <c r="AC136" s="382">
        <v>8</v>
      </c>
      <c r="AD136" s="386">
        <v>9097</v>
      </c>
      <c r="AE136" s="386">
        <v>50</v>
      </c>
      <c r="AF136" s="386">
        <v>38</v>
      </c>
      <c r="AG136" s="386">
        <v>88</v>
      </c>
    </row>
    <row r="137" spans="1:33" x14ac:dyDescent="0.25">
      <c r="A137" s="381" t="s">
        <v>334</v>
      </c>
      <c r="B137" s="387" t="s">
        <v>335</v>
      </c>
      <c r="C137" s="383">
        <v>6347</v>
      </c>
      <c r="D137" s="383">
        <v>24</v>
      </c>
      <c r="E137" s="383">
        <v>145</v>
      </c>
      <c r="F137" s="383">
        <v>851</v>
      </c>
      <c r="G137" s="383">
        <v>420</v>
      </c>
      <c r="H137" s="383">
        <v>7787</v>
      </c>
      <c r="I137" s="382">
        <v>7367</v>
      </c>
      <c r="J137" s="382">
        <v>0</v>
      </c>
      <c r="K137" s="384">
        <v>124.74</v>
      </c>
      <c r="L137" s="384">
        <v>123.02</v>
      </c>
      <c r="M137" s="384">
        <v>8.2100000000000009</v>
      </c>
      <c r="N137" s="384">
        <v>128.75</v>
      </c>
      <c r="O137" s="385">
        <v>5436</v>
      </c>
      <c r="P137" s="382">
        <v>114.75</v>
      </c>
      <c r="Q137" s="382">
        <v>110.96</v>
      </c>
      <c r="R137" s="382">
        <v>34.89</v>
      </c>
      <c r="S137" s="382">
        <v>147.9</v>
      </c>
      <c r="T137" s="382">
        <v>966</v>
      </c>
      <c r="U137" s="382">
        <v>175.07</v>
      </c>
      <c r="V137" s="382">
        <v>737</v>
      </c>
      <c r="W137" s="382">
        <v>0</v>
      </c>
      <c r="X137" s="382">
        <v>0</v>
      </c>
      <c r="Y137" s="382">
        <v>16</v>
      </c>
      <c r="Z137" s="382">
        <v>0</v>
      </c>
      <c r="AA137" s="382">
        <v>0</v>
      </c>
      <c r="AB137" s="382">
        <v>0</v>
      </c>
      <c r="AC137" s="382">
        <v>17</v>
      </c>
      <c r="AD137" s="386">
        <v>6201</v>
      </c>
      <c r="AE137" s="386">
        <v>11</v>
      </c>
      <c r="AF137" s="386">
        <v>2</v>
      </c>
      <c r="AG137" s="386">
        <v>13</v>
      </c>
    </row>
    <row r="138" spans="1:33" x14ac:dyDescent="0.25">
      <c r="A138" s="381" t="s">
        <v>336</v>
      </c>
      <c r="B138" s="387" t="s">
        <v>337</v>
      </c>
      <c r="C138" s="383">
        <v>842</v>
      </c>
      <c r="D138" s="383">
        <v>0</v>
      </c>
      <c r="E138" s="383">
        <v>67</v>
      </c>
      <c r="F138" s="383">
        <v>336</v>
      </c>
      <c r="G138" s="383">
        <v>192</v>
      </c>
      <c r="H138" s="383">
        <v>1437</v>
      </c>
      <c r="I138" s="382">
        <v>1245</v>
      </c>
      <c r="J138" s="382">
        <v>0</v>
      </c>
      <c r="K138" s="384">
        <v>96.65</v>
      </c>
      <c r="L138" s="384">
        <v>94.34</v>
      </c>
      <c r="M138" s="384">
        <v>6.38</v>
      </c>
      <c r="N138" s="384">
        <v>100.13</v>
      </c>
      <c r="O138" s="385">
        <v>733</v>
      </c>
      <c r="P138" s="382">
        <v>90.33</v>
      </c>
      <c r="Q138" s="382">
        <v>80.069999999999993</v>
      </c>
      <c r="R138" s="382">
        <v>36</v>
      </c>
      <c r="S138" s="382">
        <v>122.11</v>
      </c>
      <c r="T138" s="382">
        <v>383</v>
      </c>
      <c r="U138" s="382">
        <v>107.79</v>
      </c>
      <c r="V138" s="382">
        <v>91</v>
      </c>
      <c r="W138" s="382">
        <v>0</v>
      </c>
      <c r="X138" s="382">
        <v>0</v>
      </c>
      <c r="Y138" s="382">
        <v>0</v>
      </c>
      <c r="Z138" s="382">
        <v>0</v>
      </c>
      <c r="AA138" s="382">
        <v>2</v>
      </c>
      <c r="AB138" s="382">
        <v>3</v>
      </c>
      <c r="AC138" s="382">
        <v>5</v>
      </c>
      <c r="AD138" s="386">
        <v>824</v>
      </c>
      <c r="AE138" s="386">
        <v>14</v>
      </c>
      <c r="AF138" s="386">
        <v>3</v>
      </c>
      <c r="AG138" s="386">
        <v>17</v>
      </c>
    </row>
    <row r="139" spans="1:33" x14ac:dyDescent="0.25">
      <c r="A139" s="381" t="s">
        <v>338</v>
      </c>
      <c r="B139" s="387" t="s">
        <v>339</v>
      </c>
      <c r="C139" s="383">
        <v>6437</v>
      </c>
      <c r="D139" s="383">
        <v>30</v>
      </c>
      <c r="E139" s="383">
        <v>621</v>
      </c>
      <c r="F139" s="383">
        <v>501</v>
      </c>
      <c r="G139" s="383">
        <v>1167</v>
      </c>
      <c r="H139" s="383">
        <v>8756</v>
      </c>
      <c r="I139" s="382">
        <v>7589</v>
      </c>
      <c r="J139" s="382">
        <v>63</v>
      </c>
      <c r="K139" s="384">
        <v>126.7</v>
      </c>
      <c r="L139" s="384">
        <v>123.45</v>
      </c>
      <c r="M139" s="384">
        <v>10</v>
      </c>
      <c r="N139" s="384">
        <v>133.38</v>
      </c>
      <c r="O139" s="385">
        <v>5555</v>
      </c>
      <c r="P139" s="382">
        <v>109.25</v>
      </c>
      <c r="Q139" s="382">
        <v>103.79</v>
      </c>
      <c r="R139" s="382">
        <v>46.96</v>
      </c>
      <c r="S139" s="382">
        <v>151.63999999999999</v>
      </c>
      <c r="T139" s="382">
        <v>916</v>
      </c>
      <c r="U139" s="382">
        <v>185.82</v>
      </c>
      <c r="V139" s="382">
        <v>801</v>
      </c>
      <c r="W139" s="382">
        <v>164.7</v>
      </c>
      <c r="X139" s="382">
        <v>51</v>
      </c>
      <c r="Y139" s="382">
        <v>21</v>
      </c>
      <c r="Z139" s="382">
        <v>2</v>
      </c>
      <c r="AA139" s="382">
        <v>0</v>
      </c>
      <c r="AB139" s="382">
        <v>27</v>
      </c>
      <c r="AC139" s="382">
        <v>34</v>
      </c>
      <c r="AD139" s="386">
        <v>6304</v>
      </c>
      <c r="AE139" s="386">
        <v>7</v>
      </c>
      <c r="AF139" s="386">
        <v>7</v>
      </c>
      <c r="AG139" s="386">
        <v>14</v>
      </c>
    </row>
    <row r="140" spans="1:33" x14ac:dyDescent="0.25">
      <c r="A140" s="381" t="s">
        <v>340</v>
      </c>
      <c r="B140" s="387" t="s">
        <v>341</v>
      </c>
      <c r="C140" s="383">
        <v>1806</v>
      </c>
      <c r="D140" s="383">
        <v>0</v>
      </c>
      <c r="E140" s="383">
        <v>108</v>
      </c>
      <c r="F140" s="383">
        <v>125</v>
      </c>
      <c r="G140" s="383">
        <v>331</v>
      </c>
      <c r="H140" s="383">
        <v>2370</v>
      </c>
      <c r="I140" s="382">
        <v>2039</v>
      </c>
      <c r="J140" s="382">
        <v>0</v>
      </c>
      <c r="K140" s="384">
        <v>91.07</v>
      </c>
      <c r="L140" s="384">
        <v>88.69</v>
      </c>
      <c r="M140" s="384">
        <v>5.52</v>
      </c>
      <c r="N140" s="384">
        <v>93.92</v>
      </c>
      <c r="O140" s="385">
        <v>1438</v>
      </c>
      <c r="P140" s="382">
        <v>109.33</v>
      </c>
      <c r="Q140" s="382">
        <v>74.47</v>
      </c>
      <c r="R140" s="382">
        <v>28.57</v>
      </c>
      <c r="S140" s="382">
        <v>137.15</v>
      </c>
      <c r="T140" s="382">
        <v>226</v>
      </c>
      <c r="U140" s="382">
        <v>102.35</v>
      </c>
      <c r="V140" s="382">
        <v>336</v>
      </c>
      <c r="W140" s="382">
        <v>0</v>
      </c>
      <c r="X140" s="382">
        <v>0</v>
      </c>
      <c r="Y140" s="382">
        <v>0</v>
      </c>
      <c r="Z140" s="382">
        <v>1</v>
      </c>
      <c r="AA140" s="382">
        <v>8</v>
      </c>
      <c r="AB140" s="382">
        <v>28</v>
      </c>
      <c r="AC140" s="382">
        <v>12</v>
      </c>
      <c r="AD140" s="386">
        <v>1806</v>
      </c>
      <c r="AE140" s="386">
        <v>12</v>
      </c>
      <c r="AF140" s="386">
        <v>19</v>
      </c>
      <c r="AG140" s="386">
        <v>31</v>
      </c>
    </row>
    <row r="141" spans="1:33" x14ac:dyDescent="0.25">
      <c r="A141" s="381" t="s">
        <v>342</v>
      </c>
      <c r="B141" s="387" t="s">
        <v>343</v>
      </c>
      <c r="C141" s="383">
        <v>5774</v>
      </c>
      <c r="D141" s="383">
        <v>0</v>
      </c>
      <c r="E141" s="383">
        <v>197</v>
      </c>
      <c r="F141" s="383">
        <v>1038</v>
      </c>
      <c r="G141" s="383">
        <v>598</v>
      </c>
      <c r="H141" s="383">
        <v>7607</v>
      </c>
      <c r="I141" s="382">
        <v>7009</v>
      </c>
      <c r="J141" s="382">
        <v>2</v>
      </c>
      <c r="K141" s="384">
        <v>112.02</v>
      </c>
      <c r="L141" s="384">
        <v>110.92</v>
      </c>
      <c r="M141" s="384">
        <v>4.38</v>
      </c>
      <c r="N141" s="384">
        <v>114.69</v>
      </c>
      <c r="O141" s="385">
        <v>4655</v>
      </c>
      <c r="P141" s="382">
        <v>96.49</v>
      </c>
      <c r="Q141" s="382">
        <v>94.63</v>
      </c>
      <c r="R141" s="382">
        <v>26.78</v>
      </c>
      <c r="S141" s="382">
        <v>122.56</v>
      </c>
      <c r="T141" s="382">
        <v>1019</v>
      </c>
      <c r="U141" s="382">
        <v>161.04</v>
      </c>
      <c r="V141" s="382">
        <v>1062</v>
      </c>
      <c r="W141" s="382">
        <v>179.88</v>
      </c>
      <c r="X141" s="382">
        <v>107</v>
      </c>
      <c r="Y141" s="382">
        <v>0</v>
      </c>
      <c r="Z141" s="382">
        <v>15</v>
      </c>
      <c r="AA141" s="382">
        <v>4</v>
      </c>
      <c r="AB141" s="382">
        <v>84</v>
      </c>
      <c r="AC141" s="382">
        <v>11</v>
      </c>
      <c r="AD141" s="386">
        <v>5741</v>
      </c>
      <c r="AE141" s="386">
        <v>11</v>
      </c>
      <c r="AF141" s="386">
        <v>19</v>
      </c>
      <c r="AG141" s="386">
        <v>30</v>
      </c>
    </row>
    <row r="142" spans="1:33" x14ac:dyDescent="0.25">
      <c r="A142" s="381" t="s">
        <v>344</v>
      </c>
      <c r="B142" s="387" t="s">
        <v>345</v>
      </c>
      <c r="C142" s="383">
        <v>7629</v>
      </c>
      <c r="D142" s="383">
        <v>15</v>
      </c>
      <c r="E142" s="383">
        <v>446</v>
      </c>
      <c r="F142" s="383">
        <v>164</v>
      </c>
      <c r="G142" s="383">
        <v>1926</v>
      </c>
      <c r="H142" s="383">
        <v>10180</v>
      </c>
      <c r="I142" s="382">
        <v>8254</v>
      </c>
      <c r="J142" s="382">
        <v>146</v>
      </c>
      <c r="K142" s="384">
        <v>124.92</v>
      </c>
      <c r="L142" s="384">
        <v>124.99</v>
      </c>
      <c r="M142" s="384">
        <v>9.89</v>
      </c>
      <c r="N142" s="384">
        <v>132.68</v>
      </c>
      <c r="O142" s="385">
        <v>5871</v>
      </c>
      <c r="P142" s="382">
        <v>118.87</v>
      </c>
      <c r="Q142" s="382">
        <v>110.02</v>
      </c>
      <c r="R142" s="382">
        <v>56.03</v>
      </c>
      <c r="S142" s="382">
        <v>158.24</v>
      </c>
      <c r="T142" s="382">
        <v>343</v>
      </c>
      <c r="U142" s="382">
        <v>187.61</v>
      </c>
      <c r="V142" s="382">
        <v>867</v>
      </c>
      <c r="W142" s="382">
        <v>233.54</v>
      </c>
      <c r="X142" s="382">
        <v>114</v>
      </c>
      <c r="Y142" s="382">
        <v>0</v>
      </c>
      <c r="Z142" s="382">
        <v>7</v>
      </c>
      <c r="AA142" s="382">
        <v>2</v>
      </c>
      <c r="AB142" s="382">
        <v>85</v>
      </c>
      <c r="AC142" s="382">
        <v>83</v>
      </c>
      <c r="AD142" s="386">
        <v>7049</v>
      </c>
      <c r="AE142" s="386">
        <v>17</v>
      </c>
      <c r="AF142" s="386">
        <v>17</v>
      </c>
      <c r="AG142" s="386">
        <v>34</v>
      </c>
    </row>
    <row r="143" spans="1:33" x14ac:dyDescent="0.25">
      <c r="A143" s="381" t="s">
        <v>346</v>
      </c>
      <c r="B143" s="387" t="s">
        <v>347</v>
      </c>
      <c r="C143" s="383">
        <v>8317</v>
      </c>
      <c r="D143" s="383">
        <v>0</v>
      </c>
      <c r="E143" s="383">
        <v>355</v>
      </c>
      <c r="F143" s="383">
        <v>1054</v>
      </c>
      <c r="G143" s="383">
        <v>597</v>
      </c>
      <c r="H143" s="383">
        <v>10323</v>
      </c>
      <c r="I143" s="382">
        <v>9726</v>
      </c>
      <c r="J143" s="382">
        <v>5</v>
      </c>
      <c r="K143" s="384">
        <v>96.12</v>
      </c>
      <c r="L143" s="384">
        <v>95.56</v>
      </c>
      <c r="M143" s="384">
        <v>4.42</v>
      </c>
      <c r="N143" s="384">
        <v>97.76</v>
      </c>
      <c r="O143" s="385">
        <v>7872</v>
      </c>
      <c r="P143" s="382">
        <v>95.44</v>
      </c>
      <c r="Q143" s="382">
        <v>88.3</v>
      </c>
      <c r="R143" s="382">
        <v>43.96</v>
      </c>
      <c r="S143" s="382">
        <v>138.81</v>
      </c>
      <c r="T143" s="382">
        <v>753</v>
      </c>
      <c r="U143" s="382">
        <v>124.06</v>
      </c>
      <c r="V143" s="382">
        <v>275</v>
      </c>
      <c r="W143" s="382">
        <v>207.74</v>
      </c>
      <c r="X143" s="382">
        <v>55</v>
      </c>
      <c r="Y143" s="382">
        <v>0</v>
      </c>
      <c r="Z143" s="382">
        <v>15</v>
      </c>
      <c r="AA143" s="382">
        <v>25</v>
      </c>
      <c r="AB143" s="382">
        <v>34</v>
      </c>
      <c r="AC143" s="382">
        <v>12</v>
      </c>
      <c r="AD143" s="386">
        <v>8303</v>
      </c>
      <c r="AE143" s="386">
        <v>42</v>
      </c>
      <c r="AF143" s="386">
        <v>67</v>
      </c>
      <c r="AG143" s="386">
        <v>109</v>
      </c>
    </row>
    <row r="144" spans="1:33" x14ac:dyDescent="0.25">
      <c r="A144" s="381" t="s">
        <v>348</v>
      </c>
      <c r="B144" s="387" t="s">
        <v>349</v>
      </c>
      <c r="C144" s="383">
        <v>3019</v>
      </c>
      <c r="D144" s="383">
        <v>0</v>
      </c>
      <c r="E144" s="383">
        <v>250</v>
      </c>
      <c r="F144" s="383">
        <v>1625</v>
      </c>
      <c r="G144" s="383">
        <v>48</v>
      </c>
      <c r="H144" s="383">
        <v>4942</v>
      </c>
      <c r="I144" s="382">
        <v>4894</v>
      </c>
      <c r="J144" s="382">
        <v>15</v>
      </c>
      <c r="K144" s="384">
        <v>77.540000000000006</v>
      </c>
      <c r="L144" s="384">
        <v>78</v>
      </c>
      <c r="M144" s="384">
        <v>1.88</v>
      </c>
      <c r="N144" s="384">
        <v>78.510000000000005</v>
      </c>
      <c r="O144" s="385">
        <v>2915</v>
      </c>
      <c r="P144" s="382">
        <v>77.650000000000006</v>
      </c>
      <c r="Q144" s="382">
        <v>71.91</v>
      </c>
      <c r="R144" s="382">
        <v>21.9</v>
      </c>
      <c r="S144" s="382">
        <v>99.46</v>
      </c>
      <c r="T144" s="382">
        <v>1801</v>
      </c>
      <c r="U144" s="382">
        <v>89.94</v>
      </c>
      <c r="V144" s="382">
        <v>104</v>
      </c>
      <c r="W144" s="382">
        <v>239.71</v>
      </c>
      <c r="X144" s="382">
        <v>12</v>
      </c>
      <c r="Y144" s="382">
        <v>29</v>
      </c>
      <c r="Z144" s="382">
        <v>13</v>
      </c>
      <c r="AA144" s="382">
        <v>13</v>
      </c>
      <c r="AB144" s="382">
        <v>0</v>
      </c>
      <c r="AC144" s="382">
        <v>0</v>
      </c>
      <c r="AD144" s="386">
        <v>3019</v>
      </c>
      <c r="AE144" s="386">
        <v>10</v>
      </c>
      <c r="AF144" s="386">
        <v>9</v>
      </c>
      <c r="AG144" s="386">
        <v>19</v>
      </c>
    </row>
    <row r="145" spans="1:33" x14ac:dyDescent="0.25">
      <c r="A145" s="381" t="s">
        <v>350</v>
      </c>
      <c r="B145" s="387" t="s">
        <v>351</v>
      </c>
      <c r="C145" s="383">
        <v>3728</v>
      </c>
      <c r="D145" s="383">
        <v>0</v>
      </c>
      <c r="E145" s="383">
        <v>599</v>
      </c>
      <c r="F145" s="383">
        <v>744</v>
      </c>
      <c r="G145" s="383">
        <v>306</v>
      </c>
      <c r="H145" s="383">
        <v>5377</v>
      </c>
      <c r="I145" s="382">
        <v>5071</v>
      </c>
      <c r="J145" s="382">
        <v>4</v>
      </c>
      <c r="K145" s="384">
        <v>89.4</v>
      </c>
      <c r="L145" s="384">
        <v>88.67</v>
      </c>
      <c r="M145" s="384">
        <v>6.38</v>
      </c>
      <c r="N145" s="384">
        <v>93.89</v>
      </c>
      <c r="O145" s="385">
        <v>3120</v>
      </c>
      <c r="P145" s="382">
        <v>79.5</v>
      </c>
      <c r="Q145" s="382">
        <v>74.349999999999994</v>
      </c>
      <c r="R145" s="382">
        <v>51.58</v>
      </c>
      <c r="S145" s="382">
        <v>127.8</v>
      </c>
      <c r="T145" s="382">
        <v>1102</v>
      </c>
      <c r="U145" s="382">
        <v>100.08</v>
      </c>
      <c r="V145" s="382">
        <v>551</v>
      </c>
      <c r="W145" s="382">
        <v>91.78</v>
      </c>
      <c r="X145" s="382">
        <v>2</v>
      </c>
      <c r="Y145" s="382">
        <v>0</v>
      </c>
      <c r="Z145" s="382">
        <v>0</v>
      </c>
      <c r="AA145" s="382">
        <v>16</v>
      </c>
      <c r="AB145" s="382">
        <v>2</v>
      </c>
      <c r="AC145" s="382">
        <v>7</v>
      </c>
      <c r="AD145" s="386">
        <v>3728</v>
      </c>
      <c r="AE145" s="386">
        <v>14</v>
      </c>
      <c r="AF145" s="386">
        <v>20</v>
      </c>
      <c r="AG145" s="386">
        <v>34</v>
      </c>
    </row>
    <row r="146" spans="1:33" x14ac:dyDescent="0.25">
      <c r="A146" s="381" t="s">
        <v>352</v>
      </c>
      <c r="B146" s="387" t="s">
        <v>353</v>
      </c>
      <c r="C146" s="383">
        <v>6547</v>
      </c>
      <c r="D146" s="383">
        <v>0</v>
      </c>
      <c r="E146" s="383">
        <v>147</v>
      </c>
      <c r="F146" s="383">
        <v>394</v>
      </c>
      <c r="G146" s="383">
        <v>262</v>
      </c>
      <c r="H146" s="383">
        <v>7350</v>
      </c>
      <c r="I146" s="382">
        <v>7088</v>
      </c>
      <c r="J146" s="382">
        <v>0</v>
      </c>
      <c r="K146" s="384">
        <v>88.6</v>
      </c>
      <c r="L146" s="384">
        <v>86.64</v>
      </c>
      <c r="M146" s="384">
        <v>8.7899999999999991</v>
      </c>
      <c r="N146" s="384">
        <v>94.1</v>
      </c>
      <c r="O146" s="385">
        <v>5704</v>
      </c>
      <c r="P146" s="382">
        <v>79.81</v>
      </c>
      <c r="Q146" s="382">
        <v>78.959999999999994</v>
      </c>
      <c r="R146" s="382">
        <v>36.26</v>
      </c>
      <c r="S146" s="382">
        <v>114.94</v>
      </c>
      <c r="T146" s="382">
        <v>513</v>
      </c>
      <c r="U146" s="382">
        <v>122.05</v>
      </c>
      <c r="V146" s="382">
        <v>307</v>
      </c>
      <c r="W146" s="382">
        <v>97.24</v>
      </c>
      <c r="X146" s="382">
        <v>12</v>
      </c>
      <c r="Y146" s="382">
        <v>0</v>
      </c>
      <c r="Z146" s="382">
        <v>9</v>
      </c>
      <c r="AA146" s="382">
        <v>1</v>
      </c>
      <c r="AB146" s="382">
        <v>0</v>
      </c>
      <c r="AC146" s="382">
        <v>6</v>
      </c>
      <c r="AD146" s="386">
        <v>6106</v>
      </c>
      <c r="AE146" s="386">
        <v>12</v>
      </c>
      <c r="AF146" s="386">
        <v>12</v>
      </c>
      <c r="AG146" s="386">
        <v>24</v>
      </c>
    </row>
    <row r="147" spans="1:33" x14ac:dyDescent="0.25">
      <c r="A147" s="381" t="s">
        <v>354</v>
      </c>
      <c r="B147" s="387" t="s">
        <v>355</v>
      </c>
      <c r="C147" s="383">
        <v>54</v>
      </c>
      <c r="D147" s="383">
        <v>0</v>
      </c>
      <c r="E147" s="383">
        <v>0</v>
      </c>
      <c r="F147" s="383">
        <v>7</v>
      </c>
      <c r="G147" s="383">
        <v>0</v>
      </c>
      <c r="H147" s="383">
        <v>61</v>
      </c>
      <c r="I147" s="382">
        <v>61</v>
      </c>
      <c r="J147" s="382">
        <v>0</v>
      </c>
      <c r="K147" s="384">
        <v>99.91</v>
      </c>
      <c r="L147" s="384">
        <v>104.24</v>
      </c>
      <c r="M147" s="384">
        <v>2.52</v>
      </c>
      <c r="N147" s="384">
        <v>100.94</v>
      </c>
      <c r="O147" s="385">
        <v>27</v>
      </c>
      <c r="P147" s="382">
        <v>96.35</v>
      </c>
      <c r="Q147" s="382">
        <v>87.35</v>
      </c>
      <c r="R147" s="382">
        <v>18.989999999999998</v>
      </c>
      <c r="S147" s="382">
        <v>115.34</v>
      </c>
      <c r="T147" s="382">
        <v>7</v>
      </c>
      <c r="U147" s="382">
        <v>116.25</v>
      </c>
      <c r="V147" s="382">
        <v>2</v>
      </c>
      <c r="W147" s="382">
        <v>0</v>
      </c>
      <c r="X147" s="382">
        <v>0</v>
      </c>
      <c r="Y147" s="382">
        <v>0</v>
      </c>
      <c r="Z147" s="382">
        <v>0</v>
      </c>
      <c r="AA147" s="382">
        <v>0</v>
      </c>
      <c r="AB147" s="382">
        <v>0</v>
      </c>
      <c r="AC147" s="382">
        <v>0</v>
      </c>
      <c r="AD147" s="386">
        <v>27</v>
      </c>
      <c r="AE147" s="386">
        <v>0</v>
      </c>
      <c r="AF147" s="386">
        <v>0</v>
      </c>
      <c r="AG147" s="386">
        <v>0</v>
      </c>
    </row>
    <row r="148" spans="1:33" x14ac:dyDescent="0.25">
      <c r="A148" s="381" t="s">
        <v>356</v>
      </c>
      <c r="B148" s="387" t="s">
        <v>357</v>
      </c>
      <c r="C148" s="383">
        <v>13488</v>
      </c>
      <c r="D148" s="383">
        <v>261</v>
      </c>
      <c r="E148" s="383">
        <v>1362</v>
      </c>
      <c r="F148" s="383">
        <v>790</v>
      </c>
      <c r="G148" s="383">
        <v>1381</v>
      </c>
      <c r="H148" s="383">
        <v>17282</v>
      </c>
      <c r="I148" s="382">
        <v>15901</v>
      </c>
      <c r="J148" s="382">
        <v>64</v>
      </c>
      <c r="K148" s="384">
        <v>126.3</v>
      </c>
      <c r="L148" s="384">
        <v>134.76</v>
      </c>
      <c r="M148" s="384">
        <v>12.78</v>
      </c>
      <c r="N148" s="384">
        <v>135.63999999999999</v>
      </c>
      <c r="O148" s="385">
        <v>11607</v>
      </c>
      <c r="P148" s="382">
        <v>117.18</v>
      </c>
      <c r="Q148" s="382">
        <v>115.85</v>
      </c>
      <c r="R148" s="382">
        <v>67.91</v>
      </c>
      <c r="S148" s="382">
        <v>157.93</v>
      </c>
      <c r="T148" s="382">
        <v>1825</v>
      </c>
      <c r="U148" s="382">
        <v>182.2</v>
      </c>
      <c r="V148" s="382">
        <v>548</v>
      </c>
      <c r="W148" s="382">
        <v>174.73</v>
      </c>
      <c r="X148" s="382">
        <v>2</v>
      </c>
      <c r="Y148" s="382">
        <v>0</v>
      </c>
      <c r="Z148" s="382">
        <v>25</v>
      </c>
      <c r="AA148" s="382">
        <v>0</v>
      </c>
      <c r="AB148" s="382">
        <v>0</v>
      </c>
      <c r="AC148" s="382">
        <v>46</v>
      </c>
      <c r="AD148" s="386">
        <v>12474</v>
      </c>
      <c r="AE148" s="386">
        <v>16</v>
      </c>
      <c r="AF148" s="386">
        <v>29</v>
      </c>
      <c r="AG148" s="386">
        <v>45</v>
      </c>
    </row>
    <row r="149" spans="1:33" x14ac:dyDescent="0.25">
      <c r="A149" s="381" t="s">
        <v>358</v>
      </c>
      <c r="B149" s="387" t="s">
        <v>359</v>
      </c>
      <c r="C149" s="383">
        <v>10894</v>
      </c>
      <c r="D149" s="383">
        <v>142</v>
      </c>
      <c r="E149" s="383">
        <v>948</v>
      </c>
      <c r="F149" s="383">
        <v>939</v>
      </c>
      <c r="G149" s="383">
        <v>554</v>
      </c>
      <c r="H149" s="383">
        <v>13477</v>
      </c>
      <c r="I149" s="382">
        <v>12923</v>
      </c>
      <c r="J149" s="382">
        <v>49</v>
      </c>
      <c r="K149" s="384">
        <v>135.38</v>
      </c>
      <c r="L149" s="384">
        <v>143.59</v>
      </c>
      <c r="M149" s="384">
        <v>11.95</v>
      </c>
      <c r="N149" s="384">
        <v>143.04</v>
      </c>
      <c r="O149" s="385">
        <v>9659</v>
      </c>
      <c r="P149" s="382">
        <v>117.59</v>
      </c>
      <c r="Q149" s="382">
        <v>125.03</v>
      </c>
      <c r="R149" s="382">
        <v>62.75</v>
      </c>
      <c r="S149" s="382">
        <v>169.26</v>
      </c>
      <c r="T149" s="382">
        <v>1466</v>
      </c>
      <c r="U149" s="382">
        <v>206.27</v>
      </c>
      <c r="V149" s="382">
        <v>595</v>
      </c>
      <c r="W149" s="382">
        <v>204.67</v>
      </c>
      <c r="X149" s="382">
        <v>25</v>
      </c>
      <c r="Y149" s="382">
        <v>0</v>
      </c>
      <c r="Z149" s="382">
        <v>3</v>
      </c>
      <c r="AA149" s="382">
        <v>0</v>
      </c>
      <c r="AB149" s="382">
        <v>1</v>
      </c>
      <c r="AC149" s="382">
        <v>8</v>
      </c>
      <c r="AD149" s="386">
        <v>10041</v>
      </c>
      <c r="AE149" s="386">
        <v>24</v>
      </c>
      <c r="AF149" s="386">
        <v>117</v>
      </c>
      <c r="AG149" s="386">
        <v>141</v>
      </c>
    </row>
    <row r="150" spans="1:33" x14ac:dyDescent="0.25">
      <c r="A150" s="381" t="s">
        <v>360</v>
      </c>
      <c r="B150" s="387" t="s">
        <v>361</v>
      </c>
      <c r="C150" s="383">
        <v>8319</v>
      </c>
      <c r="D150" s="383">
        <v>0</v>
      </c>
      <c r="E150" s="383">
        <v>412</v>
      </c>
      <c r="F150" s="383">
        <v>940</v>
      </c>
      <c r="G150" s="383">
        <v>202</v>
      </c>
      <c r="H150" s="383">
        <v>9873</v>
      </c>
      <c r="I150" s="382">
        <v>9671</v>
      </c>
      <c r="J150" s="382">
        <v>3</v>
      </c>
      <c r="K150" s="384">
        <v>84.31</v>
      </c>
      <c r="L150" s="384">
        <v>84.44</v>
      </c>
      <c r="M150" s="384">
        <v>2.91</v>
      </c>
      <c r="N150" s="384">
        <v>85.18</v>
      </c>
      <c r="O150" s="385">
        <v>7655</v>
      </c>
      <c r="P150" s="382">
        <v>85.87</v>
      </c>
      <c r="Q150" s="382">
        <v>79.94</v>
      </c>
      <c r="R150" s="382">
        <v>35.130000000000003</v>
      </c>
      <c r="S150" s="382">
        <v>114.64</v>
      </c>
      <c r="T150" s="382">
        <v>1341</v>
      </c>
      <c r="U150" s="382">
        <v>101.07</v>
      </c>
      <c r="V150" s="382">
        <v>608</v>
      </c>
      <c r="W150" s="382">
        <v>95.89</v>
      </c>
      <c r="X150" s="382">
        <v>10</v>
      </c>
      <c r="Y150" s="382">
        <v>0</v>
      </c>
      <c r="Z150" s="382">
        <v>31</v>
      </c>
      <c r="AA150" s="382">
        <v>0</v>
      </c>
      <c r="AB150" s="382">
        <v>6</v>
      </c>
      <c r="AC150" s="382">
        <v>9</v>
      </c>
      <c r="AD150" s="386">
        <v>8311</v>
      </c>
      <c r="AE150" s="386">
        <v>43</v>
      </c>
      <c r="AF150" s="386">
        <v>87</v>
      </c>
      <c r="AG150" s="386">
        <v>130</v>
      </c>
    </row>
    <row r="151" spans="1:33" x14ac:dyDescent="0.25">
      <c r="A151" s="381" t="s">
        <v>362</v>
      </c>
      <c r="B151" s="387" t="s">
        <v>363</v>
      </c>
      <c r="C151" s="383">
        <v>7073</v>
      </c>
      <c r="D151" s="383">
        <v>0</v>
      </c>
      <c r="E151" s="383">
        <v>876</v>
      </c>
      <c r="F151" s="383">
        <v>1104</v>
      </c>
      <c r="G151" s="383">
        <v>307</v>
      </c>
      <c r="H151" s="383">
        <v>9360</v>
      </c>
      <c r="I151" s="382">
        <v>9053</v>
      </c>
      <c r="J151" s="382">
        <v>1</v>
      </c>
      <c r="K151" s="384">
        <v>82.05</v>
      </c>
      <c r="L151" s="384">
        <v>80.72</v>
      </c>
      <c r="M151" s="384">
        <v>7.09</v>
      </c>
      <c r="N151" s="384">
        <v>87.57</v>
      </c>
      <c r="O151" s="385">
        <v>6159</v>
      </c>
      <c r="P151" s="382">
        <v>79.69</v>
      </c>
      <c r="Q151" s="382">
        <v>75.94</v>
      </c>
      <c r="R151" s="382">
        <v>48.26</v>
      </c>
      <c r="S151" s="382">
        <v>127</v>
      </c>
      <c r="T151" s="382">
        <v>1596</v>
      </c>
      <c r="U151" s="382">
        <v>94.96</v>
      </c>
      <c r="V151" s="382">
        <v>731</v>
      </c>
      <c r="W151" s="382">
        <v>183</v>
      </c>
      <c r="X151" s="382">
        <v>38</v>
      </c>
      <c r="Y151" s="382">
        <v>0</v>
      </c>
      <c r="Z151" s="382">
        <v>14</v>
      </c>
      <c r="AA151" s="382">
        <v>5</v>
      </c>
      <c r="AB151" s="382">
        <v>10</v>
      </c>
      <c r="AC151" s="382">
        <v>5</v>
      </c>
      <c r="AD151" s="386">
        <v>6915</v>
      </c>
      <c r="AE151" s="386">
        <v>40</v>
      </c>
      <c r="AF151" s="386">
        <v>15</v>
      </c>
      <c r="AG151" s="386">
        <v>55</v>
      </c>
    </row>
    <row r="152" spans="1:33" x14ac:dyDescent="0.25">
      <c r="A152" s="381" t="s">
        <v>364</v>
      </c>
      <c r="B152" s="387" t="s">
        <v>365</v>
      </c>
      <c r="C152" s="383">
        <v>2137</v>
      </c>
      <c r="D152" s="383">
        <v>93</v>
      </c>
      <c r="E152" s="383">
        <v>351</v>
      </c>
      <c r="F152" s="383">
        <v>219</v>
      </c>
      <c r="G152" s="383">
        <v>271</v>
      </c>
      <c r="H152" s="383">
        <v>3071</v>
      </c>
      <c r="I152" s="382">
        <v>2800</v>
      </c>
      <c r="J152" s="382">
        <v>24</v>
      </c>
      <c r="K152" s="384">
        <v>130.82</v>
      </c>
      <c r="L152" s="384">
        <v>131.66999999999999</v>
      </c>
      <c r="M152" s="384">
        <v>9.5500000000000007</v>
      </c>
      <c r="N152" s="384">
        <v>138.28</v>
      </c>
      <c r="O152" s="385">
        <v>1553</v>
      </c>
      <c r="P152" s="382">
        <v>127.1</v>
      </c>
      <c r="Q152" s="382">
        <v>104.94</v>
      </c>
      <c r="R152" s="382">
        <v>43.99</v>
      </c>
      <c r="S152" s="382">
        <v>170.73</v>
      </c>
      <c r="T152" s="382">
        <v>365</v>
      </c>
      <c r="U152" s="382">
        <v>219.6</v>
      </c>
      <c r="V152" s="382">
        <v>326</v>
      </c>
      <c r="W152" s="382">
        <v>0</v>
      </c>
      <c r="X152" s="382">
        <v>0</v>
      </c>
      <c r="Y152" s="382">
        <v>0</v>
      </c>
      <c r="Z152" s="382">
        <v>0</v>
      </c>
      <c r="AA152" s="382">
        <v>0</v>
      </c>
      <c r="AB152" s="382">
        <v>3</v>
      </c>
      <c r="AC152" s="382">
        <v>6</v>
      </c>
      <c r="AD152" s="386">
        <v>1876</v>
      </c>
      <c r="AE152" s="386">
        <v>7</v>
      </c>
      <c r="AF152" s="386">
        <v>8</v>
      </c>
      <c r="AG152" s="386">
        <v>15</v>
      </c>
    </row>
    <row r="153" spans="1:33" x14ac:dyDescent="0.25">
      <c r="A153" s="381" t="s">
        <v>366</v>
      </c>
      <c r="B153" s="387" t="s">
        <v>367</v>
      </c>
      <c r="C153" s="383">
        <v>4118</v>
      </c>
      <c r="D153" s="383">
        <v>49</v>
      </c>
      <c r="E153" s="383">
        <v>385</v>
      </c>
      <c r="F153" s="383">
        <v>1255</v>
      </c>
      <c r="G153" s="383">
        <v>298</v>
      </c>
      <c r="H153" s="383">
        <v>6105</v>
      </c>
      <c r="I153" s="382">
        <v>5807</v>
      </c>
      <c r="J153" s="382">
        <v>16</v>
      </c>
      <c r="K153" s="384">
        <v>85.27</v>
      </c>
      <c r="L153" s="384">
        <v>82.83</v>
      </c>
      <c r="M153" s="384">
        <v>4.8899999999999997</v>
      </c>
      <c r="N153" s="384">
        <v>88.87</v>
      </c>
      <c r="O153" s="385">
        <v>3527</v>
      </c>
      <c r="P153" s="382">
        <v>80</v>
      </c>
      <c r="Q153" s="382">
        <v>75.98</v>
      </c>
      <c r="R153" s="382">
        <v>33.409999999999997</v>
      </c>
      <c r="S153" s="382">
        <v>112.43</v>
      </c>
      <c r="T153" s="382">
        <v>1458</v>
      </c>
      <c r="U153" s="382">
        <v>96.12</v>
      </c>
      <c r="V153" s="382">
        <v>494</v>
      </c>
      <c r="W153" s="382">
        <v>104.26</v>
      </c>
      <c r="X153" s="382">
        <v>40</v>
      </c>
      <c r="Y153" s="382">
        <v>0</v>
      </c>
      <c r="Z153" s="382">
        <v>11</v>
      </c>
      <c r="AA153" s="382">
        <v>10</v>
      </c>
      <c r="AB153" s="382">
        <v>6</v>
      </c>
      <c r="AC153" s="382">
        <v>6</v>
      </c>
      <c r="AD153" s="386">
        <v>4109</v>
      </c>
      <c r="AE153" s="386">
        <v>23</v>
      </c>
      <c r="AF153" s="386">
        <v>24</v>
      </c>
      <c r="AG153" s="386">
        <v>47</v>
      </c>
    </row>
    <row r="154" spans="1:33" x14ac:dyDescent="0.25">
      <c r="A154" s="381" t="s">
        <v>368</v>
      </c>
      <c r="B154" s="387" t="s">
        <v>369</v>
      </c>
      <c r="C154" s="383">
        <v>16114</v>
      </c>
      <c r="D154" s="383">
        <v>9</v>
      </c>
      <c r="E154" s="383">
        <v>635</v>
      </c>
      <c r="F154" s="383">
        <v>1395</v>
      </c>
      <c r="G154" s="383">
        <v>298</v>
      </c>
      <c r="H154" s="383">
        <v>18451</v>
      </c>
      <c r="I154" s="382">
        <v>18153</v>
      </c>
      <c r="J154" s="382">
        <v>1</v>
      </c>
      <c r="K154" s="384">
        <v>84.53</v>
      </c>
      <c r="L154" s="384">
        <v>84.7</v>
      </c>
      <c r="M154" s="384">
        <v>10.81</v>
      </c>
      <c r="N154" s="384">
        <v>87.03</v>
      </c>
      <c r="O154" s="385">
        <v>14782</v>
      </c>
      <c r="P154" s="382">
        <v>85.32</v>
      </c>
      <c r="Q154" s="382">
        <v>81.73</v>
      </c>
      <c r="R154" s="382">
        <v>30.69</v>
      </c>
      <c r="S154" s="382">
        <v>111.67</v>
      </c>
      <c r="T154" s="382">
        <v>1655</v>
      </c>
      <c r="U154" s="382">
        <v>106.32</v>
      </c>
      <c r="V154" s="382">
        <v>1073</v>
      </c>
      <c r="W154" s="382">
        <v>144.61000000000001</v>
      </c>
      <c r="X154" s="382">
        <v>206</v>
      </c>
      <c r="Y154" s="382">
        <v>72</v>
      </c>
      <c r="Z154" s="382">
        <v>135</v>
      </c>
      <c r="AA154" s="382">
        <v>1</v>
      </c>
      <c r="AB154" s="382">
        <v>6</v>
      </c>
      <c r="AC154" s="382">
        <v>15</v>
      </c>
      <c r="AD154" s="386">
        <v>15864</v>
      </c>
      <c r="AE154" s="386">
        <v>302</v>
      </c>
      <c r="AF154" s="386">
        <v>27</v>
      </c>
      <c r="AG154" s="386">
        <v>329</v>
      </c>
    </row>
    <row r="155" spans="1:33" x14ac:dyDescent="0.25">
      <c r="A155" s="381" t="s">
        <v>370</v>
      </c>
      <c r="B155" s="387" t="s">
        <v>371</v>
      </c>
      <c r="C155" s="383">
        <v>20749</v>
      </c>
      <c r="D155" s="383">
        <v>67</v>
      </c>
      <c r="E155" s="383">
        <v>1907</v>
      </c>
      <c r="F155" s="383">
        <v>1452</v>
      </c>
      <c r="G155" s="383">
        <v>2174</v>
      </c>
      <c r="H155" s="383">
        <v>26349</v>
      </c>
      <c r="I155" s="382">
        <v>24175</v>
      </c>
      <c r="J155" s="382">
        <v>496</v>
      </c>
      <c r="K155" s="384">
        <v>117.9</v>
      </c>
      <c r="L155" s="384">
        <v>125.25</v>
      </c>
      <c r="M155" s="384">
        <v>12.53</v>
      </c>
      <c r="N155" s="384">
        <v>128.29</v>
      </c>
      <c r="O155" s="385">
        <v>18546</v>
      </c>
      <c r="P155" s="382">
        <v>114.12</v>
      </c>
      <c r="Q155" s="382">
        <v>111.06</v>
      </c>
      <c r="R155" s="382">
        <v>54.52</v>
      </c>
      <c r="S155" s="382">
        <v>156.61000000000001</v>
      </c>
      <c r="T155" s="382">
        <v>2955</v>
      </c>
      <c r="U155" s="382">
        <v>182.31</v>
      </c>
      <c r="V155" s="382">
        <v>1087</v>
      </c>
      <c r="W155" s="382">
        <v>209.5</v>
      </c>
      <c r="X155" s="382">
        <v>129</v>
      </c>
      <c r="Y155" s="382">
        <v>0</v>
      </c>
      <c r="Z155" s="382">
        <v>14</v>
      </c>
      <c r="AA155" s="382">
        <v>62</v>
      </c>
      <c r="AB155" s="382">
        <v>82</v>
      </c>
      <c r="AC155" s="382">
        <v>74</v>
      </c>
      <c r="AD155" s="386">
        <v>19709</v>
      </c>
      <c r="AE155" s="386">
        <v>50</v>
      </c>
      <c r="AF155" s="386">
        <v>138</v>
      </c>
      <c r="AG155" s="386">
        <v>188</v>
      </c>
    </row>
    <row r="156" spans="1:33" x14ac:dyDescent="0.25">
      <c r="A156" s="381" t="s">
        <v>372</v>
      </c>
      <c r="B156" s="387" t="s">
        <v>373</v>
      </c>
      <c r="C156" s="383">
        <v>1987</v>
      </c>
      <c r="D156" s="383">
        <v>0</v>
      </c>
      <c r="E156" s="383">
        <v>350</v>
      </c>
      <c r="F156" s="383">
        <v>486</v>
      </c>
      <c r="G156" s="383">
        <v>213</v>
      </c>
      <c r="H156" s="383">
        <v>3036</v>
      </c>
      <c r="I156" s="382">
        <v>2823</v>
      </c>
      <c r="J156" s="382">
        <v>0</v>
      </c>
      <c r="K156" s="384">
        <v>84.24</v>
      </c>
      <c r="L156" s="384">
        <v>80.53</v>
      </c>
      <c r="M156" s="384">
        <v>5.56</v>
      </c>
      <c r="N156" s="384">
        <v>88.97</v>
      </c>
      <c r="O156" s="385">
        <v>1330</v>
      </c>
      <c r="P156" s="382">
        <v>87.95</v>
      </c>
      <c r="Q156" s="382">
        <v>73.63</v>
      </c>
      <c r="R156" s="382">
        <v>53.86</v>
      </c>
      <c r="S156" s="382">
        <v>141.72999999999999</v>
      </c>
      <c r="T156" s="382">
        <v>722</v>
      </c>
      <c r="U156" s="382">
        <v>104.13</v>
      </c>
      <c r="V156" s="382">
        <v>562</v>
      </c>
      <c r="W156" s="382">
        <v>137.06</v>
      </c>
      <c r="X156" s="382">
        <v>11</v>
      </c>
      <c r="Y156" s="382">
        <v>0</v>
      </c>
      <c r="Z156" s="382">
        <v>1</v>
      </c>
      <c r="AA156" s="382">
        <v>7</v>
      </c>
      <c r="AB156" s="382">
        <v>7</v>
      </c>
      <c r="AC156" s="382">
        <v>7</v>
      </c>
      <c r="AD156" s="386">
        <v>1948</v>
      </c>
      <c r="AE156" s="386">
        <v>38</v>
      </c>
      <c r="AF156" s="386">
        <v>6</v>
      </c>
      <c r="AG156" s="386">
        <v>44</v>
      </c>
    </row>
    <row r="157" spans="1:33" x14ac:dyDescent="0.25">
      <c r="A157" s="381" t="s">
        <v>374</v>
      </c>
      <c r="B157" s="387" t="s">
        <v>375</v>
      </c>
      <c r="C157" s="383">
        <v>12970</v>
      </c>
      <c r="D157" s="383">
        <v>54</v>
      </c>
      <c r="E157" s="383">
        <v>1305</v>
      </c>
      <c r="F157" s="383">
        <v>2756</v>
      </c>
      <c r="G157" s="383">
        <v>1041</v>
      </c>
      <c r="H157" s="383">
        <v>18126</v>
      </c>
      <c r="I157" s="382">
        <v>17085</v>
      </c>
      <c r="J157" s="382">
        <v>42</v>
      </c>
      <c r="K157" s="384">
        <v>84.36</v>
      </c>
      <c r="L157" s="384">
        <v>82.38</v>
      </c>
      <c r="M157" s="384">
        <v>6.7</v>
      </c>
      <c r="N157" s="384">
        <v>88.55</v>
      </c>
      <c r="O157" s="385">
        <v>10941</v>
      </c>
      <c r="P157" s="382">
        <v>90.8</v>
      </c>
      <c r="Q157" s="382">
        <v>77.25</v>
      </c>
      <c r="R157" s="382">
        <v>45.11</v>
      </c>
      <c r="S157" s="382">
        <v>134.49</v>
      </c>
      <c r="T157" s="382">
        <v>3207</v>
      </c>
      <c r="U157" s="382">
        <v>103.71</v>
      </c>
      <c r="V157" s="382">
        <v>1171</v>
      </c>
      <c r="W157" s="382">
        <v>96.07</v>
      </c>
      <c r="X157" s="382">
        <v>20</v>
      </c>
      <c r="Y157" s="382">
        <v>83</v>
      </c>
      <c r="Z157" s="382">
        <v>11</v>
      </c>
      <c r="AA157" s="382">
        <v>17</v>
      </c>
      <c r="AB157" s="382">
        <v>36</v>
      </c>
      <c r="AC157" s="382">
        <v>53</v>
      </c>
      <c r="AD157" s="386">
        <v>12593</v>
      </c>
      <c r="AE157" s="386">
        <v>70</v>
      </c>
      <c r="AF157" s="386">
        <v>56</v>
      </c>
      <c r="AG157" s="386">
        <v>126</v>
      </c>
    </row>
    <row r="158" spans="1:33" x14ac:dyDescent="0.25">
      <c r="A158" s="381" t="s">
        <v>376</v>
      </c>
      <c r="B158" s="387" t="s">
        <v>377</v>
      </c>
      <c r="C158" s="383">
        <v>9006</v>
      </c>
      <c r="D158" s="383">
        <v>0</v>
      </c>
      <c r="E158" s="383">
        <v>907</v>
      </c>
      <c r="F158" s="383">
        <v>927</v>
      </c>
      <c r="G158" s="383">
        <v>520</v>
      </c>
      <c r="H158" s="383">
        <v>11360</v>
      </c>
      <c r="I158" s="382">
        <v>10840</v>
      </c>
      <c r="J158" s="382">
        <v>9</v>
      </c>
      <c r="K158" s="384">
        <v>84.24</v>
      </c>
      <c r="L158" s="384">
        <v>82.02</v>
      </c>
      <c r="M158" s="384">
        <v>8.3000000000000007</v>
      </c>
      <c r="N158" s="384">
        <v>89.73</v>
      </c>
      <c r="O158" s="385">
        <v>7282</v>
      </c>
      <c r="P158" s="382">
        <v>85.86</v>
      </c>
      <c r="Q158" s="382">
        <v>75.650000000000006</v>
      </c>
      <c r="R158" s="382">
        <v>47.84</v>
      </c>
      <c r="S158" s="382">
        <v>132.44</v>
      </c>
      <c r="T158" s="382">
        <v>1529</v>
      </c>
      <c r="U158" s="382">
        <v>104.23</v>
      </c>
      <c r="V158" s="382">
        <v>844</v>
      </c>
      <c r="W158" s="382">
        <v>128.77000000000001</v>
      </c>
      <c r="X158" s="382">
        <v>77</v>
      </c>
      <c r="Y158" s="382">
        <v>0</v>
      </c>
      <c r="Z158" s="382">
        <v>13</v>
      </c>
      <c r="AA158" s="382">
        <v>64</v>
      </c>
      <c r="AB158" s="382">
        <v>14</v>
      </c>
      <c r="AC158" s="382">
        <v>34</v>
      </c>
      <c r="AD158" s="386">
        <v>8291</v>
      </c>
      <c r="AE158" s="386">
        <v>45</v>
      </c>
      <c r="AF158" s="386">
        <v>40</v>
      </c>
      <c r="AG158" s="386">
        <v>85</v>
      </c>
    </row>
    <row r="159" spans="1:33" x14ac:dyDescent="0.25">
      <c r="A159" s="381" t="s">
        <v>378</v>
      </c>
      <c r="B159" s="387" t="s">
        <v>379</v>
      </c>
      <c r="C159" s="383">
        <v>1113</v>
      </c>
      <c r="D159" s="383">
        <v>0</v>
      </c>
      <c r="E159" s="383">
        <v>164</v>
      </c>
      <c r="F159" s="383">
        <v>201</v>
      </c>
      <c r="G159" s="383">
        <v>240</v>
      </c>
      <c r="H159" s="383">
        <v>1718</v>
      </c>
      <c r="I159" s="382">
        <v>1478</v>
      </c>
      <c r="J159" s="382">
        <v>1</v>
      </c>
      <c r="K159" s="384">
        <v>92.54</v>
      </c>
      <c r="L159" s="384">
        <v>91.42</v>
      </c>
      <c r="M159" s="384">
        <v>9.08</v>
      </c>
      <c r="N159" s="384">
        <v>100.61</v>
      </c>
      <c r="O159" s="385">
        <v>947</v>
      </c>
      <c r="P159" s="382">
        <v>85.42</v>
      </c>
      <c r="Q159" s="382">
        <v>79.98</v>
      </c>
      <c r="R159" s="382">
        <v>56.18</v>
      </c>
      <c r="S159" s="382">
        <v>141.06</v>
      </c>
      <c r="T159" s="382">
        <v>204</v>
      </c>
      <c r="U159" s="382">
        <v>156.09</v>
      </c>
      <c r="V159" s="382">
        <v>141</v>
      </c>
      <c r="W159" s="382">
        <v>135.30000000000001</v>
      </c>
      <c r="X159" s="382">
        <v>9</v>
      </c>
      <c r="Y159" s="382">
        <v>0</v>
      </c>
      <c r="Z159" s="382">
        <v>5</v>
      </c>
      <c r="AA159" s="382">
        <v>3</v>
      </c>
      <c r="AB159" s="382">
        <v>9</v>
      </c>
      <c r="AC159" s="382">
        <v>7</v>
      </c>
      <c r="AD159" s="386">
        <v>1099</v>
      </c>
      <c r="AE159" s="386">
        <v>5</v>
      </c>
      <c r="AF159" s="386">
        <v>0</v>
      </c>
      <c r="AG159" s="386">
        <v>5</v>
      </c>
    </row>
    <row r="160" spans="1:33" x14ac:dyDescent="0.25">
      <c r="A160" s="381" t="s">
        <v>380</v>
      </c>
      <c r="B160" s="387" t="s">
        <v>381</v>
      </c>
      <c r="C160" s="383">
        <v>20853</v>
      </c>
      <c r="D160" s="383">
        <v>183</v>
      </c>
      <c r="E160" s="383">
        <v>1295</v>
      </c>
      <c r="F160" s="383">
        <v>651</v>
      </c>
      <c r="G160" s="383">
        <v>1789</v>
      </c>
      <c r="H160" s="383">
        <v>24771</v>
      </c>
      <c r="I160" s="382">
        <v>22982</v>
      </c>
      <c r="J160" s="382">
        <v>176</v>
      </c>
      <c r="K160" s="384">
        <v>110.9</v>
      </c>
      <c r="L160" s="384">
        <v>112.35</v>
      </c>
      <c r="M160" s="384">
        <v>10.72</v>
      </c>
      <c r="N160" s="384">
        <v>117.29</v>
      </c>
      <c r="O160" s="385">
        <v>18584</v>
      </c>
      <c r="P160" s="382">
        <v>110.33</v>
      </c>
      <c r="Q160" s="382">
        <v>109.67</v>
      </c>
      <c r="R160" s="382">
        <v>69.05</v>
      </c>
      <c r="S160" s="382">
        <v>168.31</v>
      </c>
      <c r="T160" s="382">
        <v>1640</v>
      </c>
      <c r="U160" s="382">
        <v>171.67</v>
      </c>
      <c r="V160" s="382">
        <v>1286</v>
      </c>
      <c r="W160" s="382">
        <v>257.66000000000003</v>
      </c>
      <c r="X160" s="382">
        <v>126</v>
      </c>
      <c r="Y160" s="382">
        <v>1</v>
      </c>
      <c r="Z160" s="382">
        <v>43</v>
      </c>
      <c r="AA160" s="382">
        <v>14</v>
      </c>
      <c r="AB160" s="382">
        <v>96</v>
      </c>
      <c r="AC160" s="382">
        <v>17</v>
      </c>
      <c r="AD160" s="386">
        <v>19988</v>
      </c>
      <c r="AE160" s="386">
        <v>70</v>
      </c>
      <c r="AF160" s="386">
        <v>51</v>
      </c>
      <c r="AG160" s="386">
        <v>121</v>
      </c>
    </row>
    <row r="161" spans="1:33" x14ac:dyDescent="0.25">
      <c r="A161" s="381" t="s">
        <v>382</v>
      </c>
      <c r="B161" s="387" t="s">
        <v>383</v>
      </c>
      <c r="C161" s="383">
        <v>5392</v>
      </c>
      <c r="D161" s="383">
        <v>2</v>
      </c>
      <c r="E161" s="383">
        <v>129</v>
      </c>
      <c r="F161" s="383">
        <v>269</v>
      </c>
      <c r="G161" s="383">
        <v>228</v>
      </c>
      <c r="H161" s="383">
        <v>6020</v>
      </c>
      <c r="I161" s="382">
        <v>5792</v>
      </c>
      <c r="J161" s="382">
        <v>0</v>
      </c>
      <c r="K161" s="384">
        <v>88.63</v>
      </c>
      <c r="L161" s="384">
        <v>55.15</v>
      </c>
      <c r="M161" s="384">
        <v>2.81</v>
      </c>
      <c r="N161" s="384">
        <v>90.69</v>
      </c>
      <c r="O161" s="385">
        <v>4991</v>
      </c>
      <c r="P161" s="382">
        <v>97.51</v>
      </c>
      <c r="Q161" s="382">
        <v>66.25</v>
      </c>
      <c r="R161" s="382">
        <v>33.53</v>
      </c>
      <c r="S161" s="382">
        <v>130.44999999999999</v>
      </c>
      <c r="T161" s="382">
        <v>398</v>
      </c>
      <c r="U161" s="382">
        <v>110.53</v>
      </c>
      <c r="V161" s="382">
        <v>382</v>
      </c>
      <c r="W161" s="382">
        <v>0</v>
      </c>
      <c r="X161" s="382">
        <v>0</v>
      </c>
      <c r="Y161" s="382">
        <v>0</v>
      </c>
      <c r="Z161" s="382">
        <v>8</v>
      </c>
      <c r="AA161" s="382">
        <v>3</v>
      </c>
      <c r="AB161" s="382">
        <v>35</v>
      </c>
      <c r="AC161" s="382">
        <v>7</v>
      </c>
      <c r="AD161" s="386">
        <v>5390</v>
      </c>
      <c r="AE161" s="386">
        <v>25</v>
      </c>
      <c r="AF161" s="386">
        <v>45</v>
      </c>
      <c r="AG161" s="386">
        <v>70</v>
      </c>
    </row>
    <row r="162" spans="1:33" x14ac:dyDescent="0.25">
      <c r="A162" s="381" t="s">
        <v>384</v>
      </c>
      <c r="B162" s="387" t="s">
        <v>385</v>
      </c>
      <c r="C162" s="383">
        <v>1285</v>
      </c>
      <c r="D162" s="383">
        <v>0</v>
      </c>
      <c r="E162" s="383">
        <v>313</v>
      </c>
      <c r="F162" s="383">
        <v>163</v>
      </c>
      <c r="G162" s="383">
        <v>231</v>
      </c>
      <c r="H162" s="383">
        <v>1992</v>
      </c>
      <c r="I162" s="382">
        <v>1761</v>
      </c>
      <c r="J162" s="382">
        <v>1</v>
      </c>
      <c r="K162" s="384">
        <v>81.12</v>
      </c>
      <c r="L162" s="384">
        <v>79.849999999999994</v>
      </c>
      <c r="M162" s="384">
        <v>7.73</v>
      </c>
      <c r="N162" s="384">
        <v>87.25</v>
      </c>
      <c r="O162" s="385">
        <v>1018</v>
      </c>
      <c r="P162" s="382">
        <v>130.24</v>
      </c>
      <c r="Q162" s="382">
        <v>85.32</v>
      </c>
      <c r="R162" s="382">
        <v>76.41</v>
      </c>
      <c r="S162" s="382">
        <v>198.07</v>
      </c>
      <c r="T162" s="382">
        <v>267</v>
      </c>
      <c r="U162" s="382">
        <v>95.23</v>
      </c>
      <c r="V162" s="382">
        <v>160</v>
      </c>
      <c r="W162" s="382">
        <v>242.38</v>
      </c>
      <c r="X162" s="382">
        <v>31</v>
      </c>
      <c r="Y162" s="382">
        <v>22</v>
      </c>
      <c r="Z162" s="382">
        <v>0</v>
      </c>
      <c r="AA162" s="382">
        <v>0</v>
      </c>
      <c r="AB162" s="382">
        <v>19</v>
      </c>
      <c r="AC162" s="382">
        <v>6</v>
      </c>
      <c r="AD162" s="386">
        <v>1265</v>
      </c>
      <c r="AE162" s="386">
        <v>9</v>
      </c>
      <c r="AF162" s="386">
        <v>3</v>
      </c>
      <c r="AG162" s="386">
        <v>12</v>
      </c>
    </row>
    <row r="163" spans="1:33" x14ac:dyDescent="0.25">
      <c r="A163" s="381" t="s">
        <v>386</v>
      </c>
      <c r="B163" s="387" t="s">
        <v>387</v>
      </c>
      <c r="C163" s="383">
        <v>52250</v>
      </c>
      <c r="D163" s="383">
        <v>19</v>
      </c>
      <c r="E163" s="383">
        <v>2519</v>
      </c>
      <c r="F163" s="383">
        <v>3961</v>
      </c>
      <c r="G163" s="383">
        <v>724</v>
      </c>
      <c r="H163" s="383">
        <v>59473</v>
      </c>
      <c r="I163" s="382">
        <v>58749</v>
      </c>
      <c r="J163" s="382">
        <v>19</v>
      </c>
      <c r="K163" s="384">
        <v>83.93</v>
      </c>
      <c r="L163" s="384">
        <v>83.45</v>
      </c>
      <c r="M163" s="384">
        <v>8.26</v>
      </c>
      <c r="N163" s="384">
        <v>86.21</v>
      </c>
      <c r="O163" s="385">
        <v>44121</v>
      </c>
      <c r="P163" s="382">
        <v>85.22</v>
      </c>
      <c r="Q163" s="382">
        <v>77.709999999999994</v>
      </c>
      <c r="R163" s="382">
        <v>43.99</v>
      </c>
      <c r="S163" s="382">
        <v>127.7</v>
      </c>
      <c r="T163" s="382">
        <v>5278</v>
      </c>
      <c r="U163" s="382">
        <v>101.85</v>
      </c>
      <c r="V163" s="382">
        <v>5399</v>
      </c>
      <c r="W163" s="382">
        <v>126.98</v>
      </c>
      <c r="X163" s="382">
        <v>132</v>
      </c>
      <c r="Y163" s="382">
        <v>47</v>
      </c>
      <c r="Z163" s="382">
        <v>264</v>
      </c>
      <c r="AA163" s="382">
        <v>185</v>
      </c>
      <c r="AB163" s="382">
        <v>54</v>
      </c>
      <c r="AC163" s="382">
        <v>16</v>
      </c>
      <c r="AD163" s="386">
        <v>49640</v>
      </c>
      <c r="AE163" s="386">
        <v>336</v>
      </c>
      <c r="AF163" s="386">
        <v>328</v>
      </c>
      <c r="AG163" s="386">
        <v>664</v>
      </c>
    </row>
    <row r="164" spans="1:33" x14ac:dyDescent="0.25">
      <c r="A164" s="381" t="s">
        <v>388</v>
      </c>
      <c r="B164" s="387" t="s">
        <v>389</v>
      </c>
      <c r="C164" s="383">
        <v>3772</v>
      </c>
      <c r="D164" s="383">
        <v>173</v>
      </c>
      <c r="E164" s="383">
        <v>303</v>
      </c>
      <c r="F164" s="383">
        <v>330</v>
      </c>
      <c r="G164" s="383">
        <v>207</v>
      </c>
      <c r="H164" s="383">
        <v>4785</v>
      </c>
      <c r="I164" s="382">
        <v>4578</v>
      </c>
      <c r="J164" s="382">
        <v>83</v>
      </c>
      <c r="K164" s="384">
        <v>101.48</v>
      </c>
      <c r="L164" s="384">
        <v>100.47</v>
      </c>
      <c r="M164" s="384">
        <v>5.91</v>
      </c>
      <c r="N164" s="384">
        <v>105.01</v>
      </c>
      <c r="O164" s="385">
        <v>2822</v>
      </c>
      <c r="P164" s="382">
        <v>100.04</v>
      </c>
      <c r="Q164" s="382">
        <v>98.84</v>
      </c>
      <c r="R164" s="382">
        <v>41.63</v>
      </c>
      <c r="S164" s="382">
        <v>136.57</v>
      </c>
      <c r="T164" s="382">
        <v>433</v>
      </c>
      <c r="U164" s="382">
        <v>130.94999999999999</v>
      </c>
      <c r="V164" s="382">
        <v>376</v>
      </c>
      <c r="W164" s="382">
        <v>168.91</v>
      </c>
      <c r="X164" s="382">
        <v>8</v>
      </c>
      <c r="Y164" s="382">
        <v>0</v>
      </c>
      <c r="Z164" s="382">
        <v>1</v>
      </c>
      <c r="AA164" s="382">
        <v>11</v>
      </c>
      <c r="AB164" s="382">
        <v>3</v>
      </c>
      <c r="AC164" s="382">
        <v>9</v>
      </c>
      <c r="AD164" s="386">
        <v>3359</v>
      </c>
      <c r="AE164" s="386">
        <v>5</v>
      </c>
      <c r="AF164" s="386">
        <v>4</v>
      </c>
      <c r="AG164" s="386">
        <v>9</v>
      </c>
    </row>
    <row r="165" spans="1:33" x14ac:dyDescent="0.25">
      <c r="A165" s="381" t="s">
        <v>390</v>
      </c>
      <c r="B165" s="387" t="s">
        <v>391</v>
      </c>
      <c r="C165" s="383">
        <v>7726</v>
      </c>
      <c r="D165" s="383">
        <v>43</v>
      </c>
      <c r="E165" s="383">
        <v>294</v>
      </c>
      <c r="F165" s="383">
        <v>1150</v>
      </c>
      <c r="G165" s="383">
        <v>801</v>
      </c>
      <c r="H165" s="383">
        <v>10014</v>
      </c>
      <c r="I165" s="382">
        <v>9213</v>
      </c>
      <c r="J165" s="382">
        <v>48</v>
      </c>
      <c r="K165" s="384">
        <v>96.98</v>
      </c>
      <c r="L165" s="384">
        <v>95.75</v>
      </c>
      <c r="M165" s="384">
        <v>6.02</v>
      </c>
      <c r="N165" s="384">
        <v>101.53</v>
      </c>
      <c r="O165" s="385">
        <v>6110</v>
      </c>
      <c r="P165" s="382">
        <v>89.37</v>
      </c>
      <c r="Q165" s="382">
        <v>85.8</v>
      </c>
      <c r="R165" s="382">
        <v>18.170000000000002</v>
      </c>
      <c r="S165" s="382">
        <v>107.2</v>
      </c>
      <c r="T165" s="382">
        <v>1275</v>
      </c>
      <c r="U165" s="382">
        <v>159.21</v>
      </c>
      <c r="V165" s="382">
        <v>1313</v>
      </c>
      <c r="W165" s="382">
        <v>197.43</v>
      </c>
      <c r="X165" s="382">
        <v>76</v>
      </c>
      <c r="Y165" s="382">
        <v>0</v>
      </c>
      <c r="Z165" s="382">
        <v>8</v>
      </c>
      <c r="AA165" s="382">
        <v>18</v>
      </c>
      <c r="AB165" s="382">
        <v>116</v>
      </c>
      <c r="AC165" s="382">
        <v>27</v>
      </c>
      <c r="AD165" s="386">
        <v>7292</v>
      </c>
      <c r="AE165" s="386">
        <v>35</v>
      </c>
      <c r="AF165" s="386">
        <v>21</v>
      </c>
      <c r="AG165" s="386">
        <v>56</v>
      </c>
    </row>
    <row r="166" spans="1:33" x14ac:dyDescent="0.25">
      <c r="A166" s="381" t="s">
        <v>392</v>
      </c>
      <c r="B166" s="387" t="s">
        <v>393</v>
      </c>
      <c r="C166" s="383">
        <v>2178</v>
      </c>
      <c r="D166" s="383">
        <v>0</v>
      </c>
      <c r="E166" s="383">
        <v>32</v>
      </c>
      <c r="F166" s="383">
        <v>812</v>
      </c>
      <c r="G166" s="383">
        <v>64</v>
      </c>
      <c r="H166" s="383">
        <v>3086</v>
      </c>
      <c r="I166" s="382">
        <v>3022</v>
      </c>
      <c r="J166" s="382">
        <v>0</v>
      </c>
      <c r="K166" s="384">
        <v>103.39</v>
      </c>
      <c r="L166" s="384">
        <v>102.43</v>
      </c>
      <c r="M166" s="384">
        <v>4.74</v>
      </c>
      <c r="N166" s="384">
        <v>106.41</v>
      </c>
      <c r="O166" s="385">
        <v>1925</v>
      </c>
      <c r="P166" s="382">
        <v>87.45</v>
      </c>
      <c r="Q166" s="382">
        <v>87.05</v>
      </c>
      <c r="R166" s="382">
        <v>14.56</v>
      </c>
      <c r="S166" s="382">
        <v>101.34</v>
      </c>
      <c r="T166" s="382">
        <v>766</v>
      </c>
      <c r="U166" s="382">
        <v>133.69</v>
      </c>
      <c r="V166" s="382">
        <v>238</v>
      </c>
      <c r="W166" s="382">
        <v>113.92</v>
      </c>
      <c r="X166" s="382">
        <v>1</v>
      </c>
      <c r="Y166" s="382">
        <v>0</v>
      </c>
      <c r="Z166" s="382">
        <v>5</v>
      </c>
      <c r="AA166" s="382">
        <v>2</v>
      </c>
      <c r="AB166" s="382">
        <v>9</v>
      </c>
      <c r="AC166" s="382">
        <v>1</v>
      </c>
      <c r="AD166" s="386">
        <v>2178</v>
      </c>
      <c r="AE166" s="386">
        <v>7</v>
      </c>
      <c r="AF166" s="386">
        <v>7</v>
      </c>
      <c r="AG166" s="386">
        <v>14</v>
      </c>
    </row>
    <row r="167" spans="1:33" x14ac:dyDescent="0.25">
      <c r="A167" s="381" t="s">
        <v>394</v>
      </c>
      <c r="B167" s="387" t="s">
        <v>395</v>
      </c>
      <c r="C167" s="383">
        <v>4207</v>
      </c>
      <c r="D167" s="383">
        <v>0</v>
      </c>
      <c r="E167" s="383">
        <v>67</v>
      </c>
      <c r="F167" s="383">
        <v>594</v>
      </c>
      <c r="G167" s="383">
        <v>326</v>
      </c>
      <c r="H167" s="383">
        <v>5194</v>
      </c>
      <c r="I167" s="382">
        <v>4868</v>
      </c>
      <c r="J167" s="382">
        <v>2</v>
      </c>
      <c r="K167" s="384">
        <v>96.55</v>
      </c>
      <c r="L167" s="384">
        <v>96.24</v>
      </c>
      <c r="M167" s="384">
        <v>3.61</v>
      </c>
      <c r="N167" s="384">
        <v>99.84</v>
      </c>
      <c r="O167" s="385">
        <v>3837</v>
      </c>
      <c r="P167" s="382">
        <v>90.41</v>
      </c>
      <c r="Q167" s="382">
        <v>92.25</v>
      </c>
      <c r="R167" s="382">
        <v>27.3</v>
      </c>
      <c r="S167" s="382">
        <v>117.58</v>
      </c>
      <c r="T167" s="382">
        <v>601</v>
      </c>
      <c r="U167" s="382">
        <v>112.85</v>
      </c>
      <c r="V167" s="382">
        <v>296</v>
      </c>
      <c r="W167" s="382">
        <v>152.38999999999999</v>
      </c>
      <c r="X167" s="382">
        <v>60</v>
      </c>
      <c r="Y167" s="382">
        <v>44</v>
      </c>
      <c r="Z167" s="382">
        <v>7</v>
      </c>
      <c r="AA167" s="382">
        <v>0</v>
      </c>
      <c r="AB167" s="382">
        <v>12</v>
      </c>
      <c r="AC167" s="382">
        <v>7</v>
      </c>
      <c r="AD167" s="386">
        <v>4206</v>
      </c>
      <c r="AE167" s="386">
        <v>23</v>
      </c>
      <c r="AF167" s="386">
        <v>10</v>
      </c>
      <c r="AG167" s="386">
        <v>33</v>
      </c>
    </row>
    <row r="168" spans="1:33" x14ac:dyDescent="0.25">
      <c r="A168" s="381" t="s">
        <v>396</v>
      </c>
      <c r="B168" s="387" t="s">
        <v>397</v>
      </c>
      <c r="C168" s="383">
        <v>46322</v>
      </c>
      <c r="D168" s="383">
        <v>151</v>
      </c>
      <c r="E168" s="383">
        <v>1562</v>
      </c>
      <c r="F168" s="383">
        <v>3225</v>
      </c>
      <c r="G168" s="383">
        <v>1197</v>
      </c>
      <c r="H168" s="383">
        <v>52457</v>
      </c>
      <c r="I168" s="382">
        <v>51260</v>
      </c>
      <c r="J168" s="382">
        <v>48</v>
      </c>
      <c r="K168" s="384">
        <v>82</v>
      </c>
      <c r="L168" s="384">
        <v>82.47</v>
      </c>
      <c r="M168" s="384">
        <v>4.57</v>
      </c>
      <c r="N168" s="384">
        <v>83.68</v>
      </c>
      <c r="O168" s="385">
        <v>43061</v>
      </c>
      <c r="P168" s="382">
        <v>79.72</v>
      </c>
      <c r="Q168" s="382">
        <v>73.98</v>
      </c>
      <c r="R168" s="382">
        <v>38.22</v>
      </c>
      <c r="S168" s="382">
        <v>115.76</v>
      </c>
      <c r="T168" s="382">
        <v>4542</v>
      </c>
      <c r="U168" s="382">
        <v>108.15</v>
      </c>
      <c r="V168" s="382">
        <v>2667</v>
      </c>
      <c r="W168" s="382">
        <v>116.5</v>
      </c>
      <c r="X168" s="382">
        <v>2</v>
      </c>
      <c r="Y168" s="382">
        <v>21</v>
      </c>
      <c r="Z168" s="382">
        <v>263</v>
      </c>
      <c r="AA168" s="382">
        <v>40</v>
      </c>
      <c r="AB168" s="382">
        <v>60</v>
      </c>
      <c r="AC168" s="382">
        <v>39</v>
      </c>
      <c r="AD168" s="386">
        <v>45807</v>
      </c>
      <c r="AE168" s="386">
        <v>160</v>
      </c>
      <c r="AF168" s="386">
        <v>141</v>
      </c>
      <c r="AG168" s="386">
        <v>301</v>
      </c>
    </row>
    <row r="169" spans="1:33" x14ac:dyDescent="0.25">
      <c r="A169" s="381" t="s">
        <v>398</v>
      </c>
      <c r="B169" s="387" t="s">
        <v>399</v>
      </c>
      <c r="C169" s="383">
        <v>1713</v>
      </c>
      <c r="D169" s="383">
        <v>0</v>
      </c>
      <c r="E169" s="383">
        <v>385</v>
      </c>
      <c r="F169" s="383">
        <v>234</v>
      </c>
      <c r="G169" s="383">
        <v>125</v>
      </c>
      <c r="H169" s="383">
        <v>2457</v>
      </c>
      <c r="I169" s="382">
        <v>2332</v>
      </c>
      <c r="J169" s="382">
        <v>0</v>
      </c>
      <c r="K169" s="384">
        <v>82.12</v>
      </c>
      <c r="L169" s="384">
        <v>79.98</v>
      </c>
      <c r="M169" s="384">
        <v>5.87</v>
      </c>
      <c r="N169" s="384">
        <v>85.18</v>
      </c>
      <c r="O169" s="385">
        <v>1547</v>
      </c>
      <c r="P169" s="382">
        <v>100.47</v>
      </c>
      <c r="Q169" s="382">
        <v>75.239999999999995</v>
      </c>
      <c r="R169" s="382">
        <v>67.73</v>
      </c>
      <c r="S169" s="382">
        <v>164.01</v>
      </c>
      <c r="T169" s="382">
        <v>421</v>
      </c>
      <c r="U169" s="382">
        <v>92.41</v>
      </c>
      <c r="V169" s="382">
        <v>61</v>
      </c>
      <c r="W169" s="382">
        <v>0</v>
      </c>
      <c r="X169" s="382">
        <v>0</v>
      </c>
      <c r="Y169" s="382">
        <v>15</v>
      </c>
      <c r="Z169" s="382">
        <v>0</v>
      </c>
      <c r="AA169" s="382">
        <v>16</v>
      </c>
      <c r="AB169" s="382">
        <v>10</v>
      </c>
      <c r="AC169" s="382">
        <v>0</v>
      </c>
      <c r="AD169" s="386">
        <v>1699</v>
      </c>
      <c r="AE169" s="386">
        <v>7</v>
      </c>
      <c r="AF169" s="386">
        <v>9</v>
      </c>
      <c r="AG169" s="386">
        <v>16</v>
      </c>
    </row>
    <row r="170" spans="1:33" x14ac:dyDescent="0.25">
      <c r="A170" s="381" t="s">
        <v>400</v>
      </c>
      <c r="B170" s="387" t="s">
        <v>401</v>
      </c>
      <c r="C170" s="383">
        <v>4058</v>
      </c>
      <c r="D170" s="383">
        <v>0</v>
      </c>
      <c r="E170" s="383">
        <v>409</v>
      </c>
      <c r="F170" s="383">
        <v>715</v>
      </c>
      <c r="G170" s="383">
        <v>1105</v>
      </c>
      <c r="H170" s="383">
        <v>6287</v>
      </c>
      <c r="I170" s="382">
        <v>5182</v>
      </c>
      <c r="J170" s="382">
        <v>6</v>
      </c>
      <c r="K170" s="384">
        <v>102.15</v>
      </c>
      <c r="L170" s="384">
        <v>96.8</v>
      </c>
      <c r="M170" s="384">
        <v>7.51</v>
      </c>
      <c r="N170" s="384">
        <v>108.03</v>
      </c>
      <c r="O170" s="385">
        <v>3033</v>
      </c>
      <c r="P170" s="382">
        <v>91.85</v>
      </c>
      <c r="Q170" s="382">
        <v>86.91</v>
      </c>
      <c r="R170" s="382">
        <v>40.53</v>
      </c>
      <c r="S170" s="382">
        <v>132.06</v>
      </c>
      <c r="T170" s="382">
        <v>882</v>
      </c>
      <c r="U170" s="382">
        <v>127.64</v>
      </c>
      <c r="V170" s="382">
        <v>658</v>
      </c>
      <c r="W170" s="382">
        <v>177.19</v>
      </c>
      <c r="X170" s="382">
        <v>61</v>
      </c>
      <c r="Y170" s="382">
        <v>0</v>
      </c>
      <c r="Z170" s="382">
        <v>2</v>
      </c>
      <c r="AA170" s="382">
        <v>8</v>
      </c>
      <c r="AB170" s="382">
        <v>15</v>
      </c>
      <c r="AC170" s="382">
        <v>22</v>
      </c>
      <c r="AD170" s="386">
        <v>3666</v>
      </c>
      <c r="AE170" s="386">
        <v>14</v>
      </c>
      <c r="AF170" s="386">
        <v>6</v>
      </c>
      <c r="AG170" s="386">
        <v>20</v>
      </c>
    </row>
    <row r="171" spans="1:33" x14ac:dyDescent="0.25">
      <c r="A171" s="381" t="s">
        <v>402</v>
      </c>
      <c r="B171" s="387" t="s">
        <v>403</v>
      </c>
      <c r="C171" s="383">
        <v>541</v>
      </c>
      <c r="D171" s="383">
        <v>0</v>
      </c>
      <c r="E171" s="383">
        <v>66</v>
      </c>
      <c r="F171" s="383">
        <v>76</v>
      </c>
      <c r="G171" s="383">
        <v>165</v>
      </c>
      <c r="H171" s="383">
        <v>848</v>
      </c>
      <c r="I171" s="382">
        <v>683</v>
      </c>
      <c r="J171" s="382">
        <v>0</v>
      </c>
      <c r="K171" s="384">
        <v>92.38</v>
      </c>
      <c r="L171" s="384">
        <v>89.01</v>
      </c>
      <c r="M171" s="384">
        <v>2.2000000000000002</v>
      </c>
      <c r="N171" s="384">
        <v>93.95</v>
      </c>
      <c r="O171" s="385">
        <v>421</v>
      </c>
      <c r="P171" s="382">
        <v>79.69</v>
      </c>
      <c r="Q171" s="382">
        <v>75.510000000000005</v>
      </c>
      <c r="R171" s="382">
        <v>62.67</v>
      </c>
      <c r="S171" s="382">
        <v>141.91999999999999</v>
      </c>
      <c r="T171" s="382">
        <v>142</v>
      </c>
      <c r="U171" s="382">
        <v>101.98</v>
      </c>
      <c r="V171" s="382">
        <v>102</v>
      </c>
      <c r="W171" s="382">
        <v>0</v>
      </c>
      <c r="X171" s="382">
        <v>0</v>
      </c>
      <c r="Y171" s="382">
        <v>0</v>
      </c>
      <c r="Z171" s="382">
        <v>0</v>
      </c>
      <c r="AA171" s="382">
        <v>0</v>
      </c>
      <c r="AB171" s="382">
        <v>11</v>
      </c>
      <c r="AC171" s="382">
        <v>1</v>
      </c>
      <c r="AD171" s="386">
        <v>540</v>
      </c>
      <c r="AE171" s="386">
        <v>1</v>
      </c>
      <c r="AF171" s="386">
        <v>1</v>
      </c>
      <c r="AG171" s="386">
        <v>2</v>
      </c>
    </row>
    <row r="172" spans="1:33" x14ac:dyDescent="0.25">
      <c r="A172" s="381" t="s">
        <v>404</v>
      </c>
      <c r="B172" s="387" t="s">
        <v>405</v>
      </c>
      <c r="C172" s="383">
        <v>5083</v>
      </c>
      <c r="D172" s="383">
        <v>0</v>
      </c>
      <c r="E172" s="383">
        <v>401</v>
      </c>
      <c r="F172" s="383">
        <v>915</v>
      </c>
      <c r="G172" s="383">
        <v>406</v>
      </c>
      <c r="H172" s="383">
        <v>6805</v>
      </c>
      <c r="I172" s="382">
        <v>6399</v>
      </c>
      <c r="J172" s="382">
        <v>0</v>
      </c>
      <c r="K172" s="384">
        <v>93.39</v>
      </c>
      <c r="L172" s="384">
        <v>92.83</v>
      </c>
      <c r="M172" s="384">
        <v>3.37</v>
      </c>
      <c r="N172" s="384">
        <v>95.17</v>
      </c>
      <c r="O172" s="385">
        <v>4226</v>
      </c>
      <c r="P172" s="382">
        <v>85.62</v>
      </c>
      <c r="Q172" s="382">
        <v>83.98</v>
      </c>
      <c r="R172" s="382">
        <v>25.98</v>
      </c>
      <c r="S172" s="382">
        <v>110.73</v>
      </c>
      <c r="T172" s="382">
        <v>1139</v>
      </c>
      <c r="U172" s="382">
        <v>114.88</v>
      </c>
      <c r="V172" s="382">
        <v>724</v>
      </c>
      <c r="W172" s="382">
        <v>110.68</v>
      </c>
      <c r="X172" s="382">
        <v>31</v>
      </c>
      <c r="Y172" s="382">
        <v>0</v>
      </c>
      <c r="Z172" s="382">
        <v>13</v>
      </c>
      <c r="AA172" s="382">
        <v>12</v>
      </c>
      <c r="AB172" s="382">
        <v>25</v>
      </c>
      <c r="AC172" s="382">
        <v>11</v>
      </c>
      <c r="AD172" s="386">
        <v>4958</v>
      </c>
      <c r="AE172" s="386">
        <v>10</v>
      </c>
      <c r="AF172" s="386">
        <v>11</v>
      </c>
      <c r="AG172" s="386">
        <v>21</v>
      </c>
    </row>
    <row r="173" spans="1:33" x14ac:dyDescent="0.25">
      <c r="A173" s="381" t="s">
        <v>406</v>
      </c>
      <c r="B173" s="387" t="s">
        <v>407</v>
      </c>
      <c r="C173" s="383">
        <v>10197</v>
      </c>
      <c r="D173" s="383">
        <v>21</v>
      </c>
      <c r="E173" s="383">
        <v>410</v>
      </c>
      <c r="F173" s="383">
        <v>806</v>
      </c>
      <c r="G173" s="383">
        <v>719</v>
      </c>
      <c r="H173" s="383">
        <v>12153</v>
      </c>
      <c r="I173" s="382">
        <v>11434</v>
      </c>
      <c r="J173" s="382">
        <v>122</v>
      </c>
      <c r="K173" s="384">
        <v>113.85</v>
      </c>
      <c r="L173" s="384">
        <v>120.4</v>
      </c>
      <c r="M173" s="384">
        <v>9</v>
      </c>
      <c r="N173" s="384">
        <v>116.62</v>
      </c>
      <c r="O173" s="385">
        <v>8847</v>
      </c>
      <c r="P173" s="382">
        <v>106.01</v>
      </c>
      <c r="Q173" s="382">
        <v>102.67</v>
      </c>
      <c r="R173" s="382">
        <v>39.03</v>
      </c>
      <c r="S173" s="382">
        <v>135.06</v>
      </c>
      <c r="T173" s="382">
        <v>919</v>
      </c>
      <c r="U173" s="382">
        <v>150.49</v>
      </c>
      <c r="V173" s="382">
        <v>1217</v>
      </c>
      <c r="W173" s="382">
        <v>255.89</v>
      </c>
      <c r="X173" s="382">
        <v>33</v>
      </c>
      <c r="Y173" s="382">
        <v>0</v>
      </c>
      <c r="Z173" s="382">
        <v>1</v>
      </c>
      <c r="AA173" s="382">
        <v>8</v>
      </c>
      <c r="AB173" s="382">
        <v>23</v>
      </c>
      <c r="AC173" s="382">
        <v>12</v>
      </c>
      <c r="AD173" s="386">
        <v>10113</v>
      </c>
      <c r="AE173" s="386">
        <v>9</v>
      </c>
      <c r="AF173" s="386">
        <v>28</v>
      </c>
      <c r="AG173" s="386">
        <v>37</v>
      </c>
    </row>
    <row r="174" spans="1:33" x14ac:dyDescent="0.25">
      <c r="A174" s="381" t="s">
        <v>408</v>
      </c>
      <c r="B174" s="387" t="s">
        <v>409</v>
      </c>
      <c r="C174" s="383">
        <v>1077</v>
      </c>
      <c r="D174" s="383">
        <v>0</v>
      </c>
      <c r="E174" s="383">
        <v>38</v>
      </c>
      <c r="F174" s="383">
        <v>281</v>
      </c>
      <c r="G174" s="383">
        <v>221</v>
      </c>
      <c r="H174" s="383">
        <v>1617</v>
      </c>
      <c r="I174" s="382">
        <v>1396</v>
      </c>
      <c r="J174" s="382">
        <v>0</v>
      </c>
      <c r="K174" s="384">
        <v>88.67</v>
      </c>
      <c r="L174" s="384">
        <v>85</v>
      </c>
      <c r="M174" s="384">
        <v>7.77</v>
      </c>
      <c r="N174" s="384">
        <v>95.19</v>
      </c>
      <c r="O174" s="385">
        <v>797</v>
      </c>
      <c r="P174" s="382">
        <v>81.5</v>
      </c>
      <c r="Q174" s="382">
        <v>76.180000000000007</v>
      </c>
      <c r="R174" s="382">
        <v>40.15</v>
      </c>
      <c r="S174" s="382">
        <v>120.87</v>
      </c>
      <c r="T174" s="382">
        <v>153</v>
      </c>
      <c r="U174" s="382">
        <v>120.93</v>
      </c>
      <c r="V174" s="382">
        <v>188</v>
      </c>
      <c r="W174" s="382">
        <v>0</v>
      </c>
      <c r="X174" s="382">
        <v>0</v>
      </c>
      <c r="Y174" s="382">
        <v>0</v>
      </c>
      <c r="Z174" s="382">
        <v>0</v>
      </c>
      <c r="AA174" s="382">
        <v>3</v>
      </c>
      <c r="AB174" s="382">
        <v>0</v>
      </c>
      <c r="AC174" s="382">
        <v>7</v>
      </c>
      <c r="AD174" s="386">
        <v>964</v>
      </c>
      <c r="AE174" s="386">
        <v>3</v>
      </c>
      <c r="AF174" s="386">
        <v>7</v>
      </c>
      <c r="AG174" s="386">
        <v>10</v>
      </c>
    </row>
    <row r="175" spans="1:33" x14ac:dyDescent="0.25">
      <c r="A175" s="381" t="s">
        <v>410</v>
      </c>
      <c r="B175" s="387" t="s">
        <v>411</v>
      </c>
      <c r="C175" s="383">
        <v>1313</v>
      </c>
      <c r="D175" s="383">
        <v>0</v>
      </c>
      <c r="E175" s="383">
        <v>109</v>
      </c>
      <c r="F175" s="383">
        <v>210</v>
      </c>
      <c r="G175" s="383">
        <v>302</v>
      </c>
      <c r="H175" s="383">
        <v>1934</v>
      </c>
      <c r="I175" s="382">
        <v>1632</v>
      </c>
      <c r="J175" s="382">
        <v>0</v>
      </c>
      <c r="K175" s="384">
        <v>93.82</v>
      </c>
      <c r="L175" s="384">
        <v>93.64</v>
      </c>
      <c r="M175" s="384">
        <v>3.76</v>
      </c>
      <c r="N175" s="384">
        <v>96.29</v>
      </c>
      <c r="O175" s="385">
        <v>897</v>
      </c>
      <c r="P175" s="382">
        <v>85.7</v>
      </c>
      <c r="Q175" s="382">
        <v>79.08</v>
      </c>
      <c r="R175" s="382">
        <v>30.86</v>
      </c>
      <c r="S175" s="382">
        <v>114.76</v>
      </c>
      <c r="T175" s="382">
        <v>291</v>
      </c>
      <c r="U175" s="382">
        <v>112.65</v>
      </c>
      <c r="V175" s="382">
        <v>388</v>
      </c>
      <c r="W175" s="382">
        <v>115.63</v>
      </c>
      <c r="X175" s="382">
        <v>1</v>
      </c>
      <c r="Y175" s="382">
        <v>0</v>
      </c>
      <c r="Z175" s="382">
        <v>0</v>
      </c>
      <c r="AA175" s="382">
        <v>0</v>
      </c>
      <c r="AB175" s="382">
        <v>14</v>
      </c>
      <c r="AC175" s="382">
        <v>5</v>
      </c>
      <c r="AD175" s="386">
        <v>1304</v>
      </c>
      <c r="AE175" s="386">
        <v>27</v>
      </c>
      <c r="AF175" s="386">
        <v>5</v>
      </c>
      <c r="AG175" s="386">
        <v>32</v>
      </c>
    </row>
    <row r="176" spans="1:33" x14ac:dyDescent="0.25">
      <c r="A176" s="381" t="s">
        <v>412</v>
      </c>
      <c r="B176" s="387" t="s">
        <v>413</v>
      </c>
      <c r="C176" s="383">
        <v>5741</v>
      </c>
      <c r="D176" s="383">
        <v>3</v>
      </c>
      <c r="E176" s="383">
        <v>161</v>
      </c>
      <c r="F176" s="383">
        <v>791</v>
      </c>
      <c r="G176" s="383">
        <v>677</v>
      </c>
      <c r="H176" s="383">
        <v>7373</v>
      </c>
      <c r="I176" s="382">
        <v>6696</v>
      </c>
      <c r="J176" s="382">
        <v>24</v>
      </c>
      <c r="K176" s="384">
        <v>117.08</v>
      </c>
      <c r="L176" s="384">
        <v>116.05</v>
      </c>
      <c r="M176" s="384">
        <v>6.07</v>
      </c>
      <c r="N176" s="384">
        <v>121.66</v>
      </c>
      <c r="O176" s="385">
        <v>4146</v>
      </c>
      <c r="P176" s="382">
        <v>108.78</v>
      </c>
      <c r="Q176" s="382">
        <v>100.6</v>
      </c>
      <c r="R176" s="382">
        <v>47.69</v>
      </c>
      <c r="S176" s="382">
        <v>151.85</v>
      </c>
      <c r="T176" s="382">
        <v>858</v>
      </c>
      <c r="U176" s="382">
        <v>160.22</v>
      </c>
      <c r="V176" s="382">
        <v>1244</v>
      </c>
      <c r="W176" s="382">
        <v>0</v>
      </c>
      <c r="X176" s="382">
        <v>0</v>
      </c>
      <c r="Y176" s="382">
        <v>0</v>
      </c>
      <c r="Z176" s="382">
        <v>1</v>
      </c>
      <c r="AA176" s="382">
        <v>1</v>
      </c>
      <c r="AB176" s="382">
        <v>35</v>
      </c>
      <c r="AC176" s="382">
        <v>27</v>
      </c>
      <c r="AD176" s="386">
        <v>5440</v>
      </c>
      <c r="AE176" s="386">
        <v>13</v>
      </c>
      <c r="AF176" s="386">
        <v>0</v>
      </c>
      <c r="AG176" s="386">
        <v>13</v>
      </c>
    </row>
    <row r="177" spans="1:33" x14ac:dyDescent="0.25">
      <c r="A177" s="381" t="s">
        <v>414</v>
      </c>
      <c r="B177" s="387" t="s">
        <v>415</v>
      </c>
      <c r="C177" s="383">
        <v>13122</v>
      </c>
      <c r="D177" s="383">
        <v>4</v>
      </c>
      <c r="E177" s="383">
        <v>539</v>
      </c>
      <c r="F177" s="383">
        <v>1481</v>
      </c>
      <c r="G177" s="383">
        <v>246</v>
      </c>
      <c r="H177" s="383">
        <v>15392</v>
      </c>
      <c r="I177" s="382">
        <v>15146</v>
      </c>
      <c r="J177" s="382">
        <v>18</v>
      </c>
      <c r="K177" s="384">
        <v>86.12</v>
      </c>
      <c r="L177" s="384">
        <v>85.59</v>
      </c>
      <c r="M177" s="384">
        <v>7.86</v>
      </c>
      <c r="N177" s="384">
        <v>88.58</v>
      </c>
      <c r="O177" s="385">
        <v>12474</v>
      </c>
      <c r="P177" s="382">
        <v>86</v>
      </c>
      <c r="Q177" s="382">
        <v>80.28</v>
      </c>
      <c r="R177" s="382">
        <v>51.81</v>
      </c>
      <c r="S177" s="382">
        <v>123.47</v>
      </c>
      <c r="T177" s="382">
        <v>1903</v>
      </c>
      <c r="U177" s="382">
        <v>93.8</v>
      </c>
      <c r="V177" s="382">
        <v>511</v>
      </c>
      <c r="W177" s="382">
        <v>158.61000000000001</v>
      </c>
      <c r="X177" s="382">
        <v>99</v>
      </c>
      <c r="Y177" s="382">
        <v>0</v>
      </c>
      <c r="Z177" s="382">
        <v>52</v>
      </c>
      <c r="AA177" s="382">
        <v>10</v>
      </c>
      <c r="AB177" s="382">
        <v>1</v>
      </c>
      <c r="AC177" s="382">
        <v>0</v>
      </c>
      <c r="AD177" s="386">
        <v>13092</v>
      </c>
      <c r="AE177" s="386">
        <v>176</v>
      </c>
      <c r="AF177" s="386">
        <v>48</v>
      </c>
      <c r="AG177" s="386">
        <v>224</v>
      </c>
    </row>
    <row r="178" spans="1:33" x14ac:dyDescent="0.25">
      <c r="A178" s="381" t="s">
        <v>416</v>
      </c>
      <c r="B178" s="387" t="s">
        <v>417</v>
      </c>
      <c r="C178" s="383">
        <v>8152</v>
      </c>
      <c r="D178" s="383">
        <v>0</v>
      </c>
      <c r="E178" s="383">
        <v>593</v>
      </c>
      <c r="F178" s="383">
        <v>587</v>
      </c>
      <c r="G178" s="383">
        <v>5280</v>
      </c>
      <c r="H178" s="383">
        <v>14612</v>
      </c>
      <c r="I178" s="382">
        <v>9332</v>
      </c>
      <c r="J178" s="382">
        <v>40</v>
      </c>
      <c r="K178" s="384">
        <v>100.26</v>
      </c>
      <c r="L178" s="384">
        <v>97.22</v>
      </c>
      <c r="M178" s="384">
        <v>6.38</v>
      </c>
      <c r="N178" s="384">
        <v>104.52</v>
      </c>
      <c r="O178" s="385">
        <v>6308</v>
      </c>
      <c r="P178" s="382">
        <v>103.7</v>
      </c>
      <c r="Q178" s="382">
        <v>98.52</v>
      </c>
      <c r="R178" s="382">
        <v>40.86</v>
      </c>
      <c r="S178" s="382">
        <v>143.35</v>
      </c>
      <c r="T178" s="382">
        <v>878</v>
      </c>
      <c r="U178" s="382">
        <v>134.81</v>
      </c>
      <c r="V178" s="382">
        <v>1013</v>
      </c>
      <c r="W178" s="382">
        <v>0</v>
      </c>
      <c r="X178" s="382">
        <v>0</v>
      </c>
      <c r="Y178" s="382">
        <v>0</v>
      </c>
      <c r="Z178" s="382">
        <v>2</v>
      </c>
      <c r="AA178" s="382">
        <v>3</v>
      </c>
      <c r="AB178" s="382">
        <v>125</v>
      </c>
      <c r="AC178" s="382">
        <v>44</v>
      </c>
      <c r="AD178" s="386">
        <v>7939</v>
      </c>
      <c r="AE178" s="386">
        <v>30</v>
      </c>
      <c r="AF178" s="386">
        <v>21</v>
      </c>
      <c r="AG178" s="386">
        <v>51</v>
      </c>
    </row>
    <row r="179" spans="1:33" x14ac:dyDescent="0.25">
      <c r="A179" s="381" t="s">
        <v>418</v>
      </c>
      <c r="B179" s="387" t="s">
        <v>419</v>
      </c>
      <c r="C179" s="383">
        <v>3534</v>
      </c>
      <c r="D179" s="383">
        <v>19</v>
      </c>
      <c r="E179" s="383">
        <v>224</v>
      </c>
      <c r="F179" s="383">
        <v>660</v>
      </c>
      <c r="G179" s="383">
        <v>295</v>
      </c>
      <c r="H179" s="383">
        <v>4732</v>
      </c>
      <c r="I179" s="382">
        <v>4437</v>
      </c>
      <c r="J179" s="382">
        <v>0</v>
      </c>
      <c r="K179" s="384">
        <v>113.84</v>
      </c>
      <c r="L179" s="384">
        <v>118.78</v>
      </c>
      <c r="M179" s="384">
        <v>11.98</v>
      </c>
      <c r="N179" s="384">
        <v>115.47</v>
      </c>
      <c r="O179" s="385">
        <v>3055</v>
      </c>
      <c r="P179" s="382">
        <v>100.57</v>
      </c>
      <c r="Q179" s="382">
        <v>98.39</v>
      </c>
      <c r="R179" s="382">
        <v>49.37</v>
      </c>
      <c r="S179" s="382">
        <v>113.45</v>
      </c>
      <c r="T179" s="382">
        <v>713</v>
      </c>
      <c r="U179" s="382">
        <v>154.31</v>
      </c>
      <c r="V179" s="382">
        <v>445</v>
      </c>
      <c r="W179" s="382">
        <v>0</v>
      </c>
      <c r="X179" s="382">
        <v>0</v>
      </c>
      <c r="Y179" s="382">
        <v>0</v>
      </c>
      <c r="Z179" s="382">
        <v>0</v>
      </c>
      <c r="AA179" s="382">
        <v>0</v>
      </c>
      <c r="AB179" s="382">
        <v>7</v>
      </c>
      <c r="AC179" s="382">
        <v>1</v>
      </c>
      <c r="AD179" s="386">
        <v>3501</v>
      </c>
      <c r="AE179" s="386">
        <v>3</v>
      </c>
      <c r="AF179" s="386">
        <v>1</v>
      </c>
      <c r="AG179" s="386">
        <v>4</v>
      </c>
    </row>
    <row r="180" spans="1:33" x14ac:dyDescent="0.25">
      <c r="A180" s="381" t="s">
        <v>420</v>
      </c>
      <c r="B180" s="387" t="s">
        <v>421</v>
      </c>
      <c r="C180" s="383">
        <v>2796</v>
      </c>
      <c r="D180" s="383">
        <v>8</v>
      </c>
      <c r="E180" s="383">
        <v>284</v>
      </c>
      <c r="F180" s="383">
        <v>330</v>
      </c>
      <c r="G180" s="383">
        <v>341</v>
      </c>
      <c r="H180" s="383">
        <v>3759</v>
      </c>
      <c r="I180" s="382">
        <v>3418</v>
      </c>
      <c r="J180" s="382">
        <v>0</v>
      </c>
      <c r="K180" s="384">
        <v>113.03</v>
      </c>
      <c r="L180" s="384">
        <v>112.07</v>
      </c>
      <c r="M180" s="384">
        <v>4.51</v>
      </c>
      <c r="N180" s="384">
        <v>116.41</v>
      </c>
      <c r="O180" s="385">
        <v>2387</v>
      </c>
      <c r="P180" s="382">
        <v>95.97</v>
      </c>
      <c r="Q180" s="382">
        <v>94.93</v>
      </c>
      <c r="R180" s="382">
        <v>29.33</v>
      </c>
      <c r="S180" s="382">
        <v>124.86</v>
      </c>
      <c r="T180" s="382">
        <v>472</v>
      </c>
      <c r="U180" s="382">
        <v>142.78</v>
      </c>
      <c r="V180" s="382">
        <v>240</v>
      </c>
      <c r="W180" s="382">
        <v>136.97999999999999</v>
      </c>
      <c r="X180" s="382">
        <v>3</v>
      </c>
      <c r="Y180" s="382">
        <v>9</v>
      </c>
      <c r="Z180" s="382">
        <v>0</v>
      </c>
      <c r="AA180" s="382">
        <v>0</v>
      </c>
      <c r="AB180" s="382">
        <v>10</v>
      </c>
      <c r="AC180" s="382">
        <v>5</v>
      </c>
      <c r="AD180" s="386">
        <v>2704</v>
      </c>
      <c r="AE180" s="386">
        <v>10</v>
      </c>
      <c r="AF180" s="386">
        <v>5</v>
      </c>
      <c r="AG180" s="386">
        <v>15</v>
      </c>
    </row>
    <row r="181" spans="1:33" x14ac:dyDescent="0.25">
      <c r="A181" s="381" t="s">
        <v>422</v>
      </c>
      <c r="B181" s="387" t="s">
        <v>423</v>
      </c>
      <c r="C181" s="383">
        <v>1758</v>
      </c>
      <c r="D181" s="383">
        <v>11</v>
      </c>
      <c r="E181" s="383">
        <v>312</v>
      </c>
      <c r="F181" s="383">
        <v>365</v>
      </c>
      <c r="G181" s="383">
        <v>277</v>
      </c>
      <c r="H181" s="383">
        <v>2723</v>
      </c>
      <c r="I181" s="382">
        <v>2446</v>
      </c>
      <c r="J181" s="382">
        <v>2</v>
      </c>
      <c r="K181" s="384">
        <v>87.15</v>
      </c>
      <c r="L181" s="384">
        <v>83.13</v>
      </c>
      <c r="M181" s="384">
        <v>4.17</v>
      </c>
      <c r="N181" s="384">
        <v>89.46</v>
      </c>
      <c r="O181" s="385">
        <v>1494</v>
      </c>
      <c r="P181" s="382">
        <v>103.21</v>
      </c>
      <c r="Q181" s="382">
        <v>79.16</v>
      </c>
      <c r="R181" s="382">
        <v>52.2</v>
      </c>
      <c r="S181" s="382">
        <v>153.96</v>
      </c>
      <c r="T181" s="382">
        <v>540</v>
      </c>
      <c r="U181" s="382">
        <v>93.38</v>
      </c>
      <c r="V181" s="382">
        <v>207</v>
      </c>
      <c r="W181" s="382">
        <v>0</v>
      </c>
      <c r="X181" s="382">
        <v>0</v>
      </c>
      <c r="Y181" s="382">
        <v>0</v>
      </c>
      <c r="Z181" s="382">
        <v>0</v>
      </c>
      <c r="AA181" s="382">
        <v>19</v>
      </c>
      <c r="AB181" s="382">
        <v>38</v>
      </c>
      <c r="AC181" s="382">
        <v>13</v>
      </c>
      <c r="AD181" s="386">
        <v>1758</v>
      </c>
      <c r="AE181" s="386">
        <v>17</v>
      </c>
      <c r="AF181" s="386">
        <v>25</v>
      </c>
      <c r="AG181" s="386">
        <v>42</v>
      </c>
    </row>
    <row r="182" spans="1:33" x14ac:dyDescent="0.25">
      <c r="A182" s="381" t="s">
        <v>424</v>
      </c>
      <c r="B182" s="387" t="s">
        <v>425</v>
      </c>
      <c r="C182" s="383">
        <v>7229</v>
      </c>
      <c r="D182" s="383">
        <v>234</v>
      </c>
      <c r="E182" s="383">
        <v>1225</v>
      </c>
      <c r="F182" s="383">
        <v>1547</v>
      </c>
      <c r="G182" s="383">
        <v>312</v>
      </c>
      <c r="H182" s="383">
        <v>10547</v>
      </c>
      <c r="I182" s="382">
        <v>10235</v>
      </c>
      <c r="J182" s="382">
        <v>62</v>
      </c>
      <c r="K182" s="384">
        <v>78.459999999999994</v>
      </c>
      <c r="L182" s="384">
        <v>76.489999999999995</v>
      </c>
      <c r="M182" s="384">
        <v>9.61</v>
      </c>
      <c r="N182" s="384">
        <v>86.4</v>
      </c>
      <c r="O182" s="385">
        <v>5818</v>
      </c>
      <c r="P182" s="382">
        <v>85.35</v>
      </c>
      <c r="Q182" s="382">
        <v>74.319999999999993</v>
      </c>
      <c r="R182" s="382">
        <v>57.57</v>
      </c>
      <c r="S182" s="382">
        <v>141.24</v>
      </c>
      <c r="T182" s="382">
        <v>2127</v>
      </c>
      <c r="U182" s="382">
        <v>99.8</v>
      </c>
      <c r="V182" s="382">
        <v>1033</v>
      </c>
      <c r="W182" s="382">
        <v>202.14</v>
      </c>
      <c r="X182" s="382">
        <v>333</v>
      </c>
      <c r="Y182" s="382">
        <v>0</v>
      </c>
      <c r="Z182" s="382">
        <v>10</v>
      </c>
      <c r="AA182" s="382">
        <v>9</v>
      </c>
      <c r="AB182" s="382">
        <v>35</v>
      </c>
      <c r="AC182" s="382">
        <v>4</v>
      </c>
      <c r="AD182" s="386">
        <v>6709</v>
      </c>
      <c r="AE182" s="386">
        <v>86</v>
      </c>
      <c r="AF182" s="386">
        <v>43</v>
      </c>
      <c r="AG182" s="386">
        <v>129</v>
      </c>
    </row>
    <row r="183" spans="1:33" x14ac:dyDescent="0.25">
      <c r="A183" s="381" t="s">
        <v>426</v>
      </c>
      <c r="B183" s="387" t="s">
        <v>427</v>
      </c>
      <c r="C183" s="383">
        <v>8900</v>
      </c>
      <c r="D183" s="383">
        <v>10</v>
      </c>
      <c r="E183" s="383">
        <v>119</v>
      </c>
      <c r="F183" s="383">
        <v>874</v>
      </c>
      <c r="G183" s="383">
        <v>230</v>
      </c>
      <c r="H183" s="383">
        <v>10133</v>
      </c>
      <c r="I183" s="382">
        <v>9903</v>
      </c>
      <c r="J183" s="382">
        <v>0</v>
      </c>
      <c r="K183" s="384">
        <v>77.040000000000006</v>
      </c>
      <c r="L183" s="384">
        <v>77.44</v>
      </c>
      <c r="M183" s="384">
        <v>6.76</v>
      </c>
      <c r="N183" s="384">
        <v>77.7</v>
      </c>
      <c r="O183" s="385">
        <v>8380</v>
      </c>
      <c r="P183" s="382">
        <v>76.099999999999994</v>
      </c>
      <c r="Q183" s="382">
        <v>74.64</v>
      </c>
      <c r="R183" s="382">
        <v>31.34</v>
      </c>
      <c r="S183" s="382">
        <v>84.09</v>
      </c>
      <c r="T183" s="382">
        <v>816</v>
      </c>
      <c r="U183" s="382">
        <v>91.97</v>
      </c>
      <c r="V183" s="382">
        <v>488</v>
      </c>
      <c r="W183" s="382">
        <v>196.19</v>
      </c>
      <c r="X183" s="382">
        <v>94</v>
      </c>
      <c r="Y183" s="382">
        <v>0</v>
      </c>
      <c r="Z183" s="382">
        <v>39</v>
      </c>
      <c r="AA183" s="382">
        <v>43</v>
      </c>
      <c r="AB183" s="382">
        <v>16</v>
      </c>
      <c r="AC183" s="382">
        <v>2</v>
      </c>
      <c r="AD183" s="386">
        <v>8900</v>
      </c>
      <c r="AE183" s="386">
        <v>11</v>
      </c>
      <c r="AF183" s="386">
        <v>50</v>
      </c>
      <c r="AG183" s="386">
        <v>61</v>
      </c>
    </row>
    <row r="184" spans="1:33" x14ac:dyDescent="0.25">
      <c r="A184" s="381" t="s">
        <v>428</v>
      </c>
      <c r="B184" s="387" t="s">
        <v>429</v>
      </c>
      <c r="C184" s="383">
        <v>12545</v>
      </c>
      <c r="D184" s="383">
        <v>19</v>
      </c>
      <c r="E184" s="383">
        <v>1003</v>
      </c>
      <c r="F184" s="383">
        <v>830</v>
      </c>
      <c r="G184" s="383">
        <v>2213</v>
      </c>
      <c r="H184" s="383">
        <v>16610</v>
      </c>
      <c r="I184" s="382">
        <v>14397</v>
      </c>
      <c r="J184" s="382">
        <v>304</v>
      </c>
      <c r="K184" s="384">
        <v>141.22</v>
      </c>
      <c r="L184" s="384">
        <v>116.36</v>
      </c>
      <c r="M184" s="384">
        <v>10.68</v>
      </c>
      <c r="N184" s="384">
        <v>146.33000000000001</v>
      </c>
      <c r="O184" s="385">
        <v>10383</v>
      </c>
      <c r="P184" s="382">
        <v>105.21</v>
      </c>
      <c r="Q184" s="382">
        <v>101.7</v>
      </c>
      <c r="R184" s="382">
        <v>69.84</v>
      </c>
      <c r="S184" s="382">
        <v>166.12</v>
      </c>
      <c r="T184" s="382">
        <v>1596</v>
      </c>
      <c r="U184" s="382">
        <v>185.39</v>
      </c>
      <c r="V184" s="382">
        <v>820</v>
      </c>
      <c r="W184" s="382">
        <v>220.86</v>
      </c>
      <c r="X184" s="382">
        <v>38</v>
      </c>
      <c r="Y184" s="382">
        <v>15</v>
      </c>
      <c r="Z184" s="382">
        <v>5</v>
      </c>
      <c r="AA184" s="382">
        <v>6</v>
      </c>
      <c r="AB184" s="382">
        <v>170</v>
      </c>
      <c r="AC184" s="382">
        <v>44</v>
      </c>
      <c r="AD184" s="386">
        <v>11669</v>
      </c>
      <c r="AE184" s="386">
        <v>51</v>
      </c>
      <c r="AF184" s="386">
        <v>44</v>
      </c>
      <c r="AG184" s="386">
        <v>95</v>
      </c>
    </row>
    <row r="185" spans="1:33" x14ac:dyDescent="0.25">
      <c r="A185" s="381" t="s">
        <v>430</v>
      </c>
      <c r="B185" s="387" t="s">
        <v>431</v>
      </c>
      <c r="C185" s="383">
        <v>3755</v>
      </c>
      <c r="D185" s="383">
        <v>0</v>
      </c>
      <c r="E185" s="383">
        <v>78</v>
      </c>
      <c r="F185" s="383">
        <v>765</v>
      </c>
      <c r="G185" s="383">
        <v>264</v>
      </c>
      <c r="H185" s="383">
        <v>4862</v>
      </c>
      <c r="I185" s="382">
        <v>4598</v>
      </c>
      <c r="J185" s="382">
        <v>4</v>
      </c>
      <c r="K185" s="384">
        <v>84.81</v>
      </c>
      <c r="L185" s="384">
        <v>84.1</v>
      </c>
      <c r="M185" s="384">
        <v>3.34</v>
      </c>
      <c r="N185" s="384">
        <v>86.9</v>
      </c>
      <c r="O185" s="385">
        <v>3268</v>
      </c>
      <c r="P185" s="382">
        <v>84.45</v>
      </c>
      <c r="Q185" s="382">
        <v>74.91</v>
      </c>
      <c r="R185" s="382">
        <v>21.05</v>
      </c>
      <c r="S185" s="382">
        <v>104.99</v>
      </c>
      <c r="T185" s="382">
        <v>788</v>
      </c>
      <c r="U185" s="382">
        <v>114.76</v>
      </c>
      <c r="V185" s="382">
        <v>458</v>
      </c>
      <c r="W185" s="382">
        <v>0</v>
      </c>
      <c r="X185" s="382">
        <v>0</v>
      </c>
      <c r="Y185" s="382">
        <v>18</v>
      </c>
      <c r="Z185" s="382">
        <v>11</v>
      </c>
      <c r="AA185" s="382">
        <v>3</v>
      </c>
      <c r="AB185" s="382">
        <v>17</v>
      </c>
      <c r="AC185" s="382">
        <v>7</v>
      </c>
      <c r="AD185" s="386">
        <v>3755</v>
      </c>
      <c r="AE185" s="386">
        <v>4</v>
      </c>
      <c r="AF185" s="386">
        <v>67</v>
      </c>
      <c r="AG185" s="386">
        <v>71</v>
      </c>
    </row>
    <row r="186" spans="1:33" x14ac:dyDescent="0.25">
      <c r="A186" s="381" t="s">
        <v>432</v>
      </c>
      <c r="B186" s="387" t="s">
        <v>433</v>
      </c>
      <c r="C186" s="383">
        <v>769</v>
      </c>
      <c r="D186" s="383">
        <v>0</v>
      </c>
      <c r="E186" s="383">
        <v>69</v>
      </c>
      <c r="F186" s="383">
        <v>143</v>
      </c>
      <c r="G186" s="383">
        <v>110</v>
      </c>
      <c r="H186" s="383">
        <v>1091</v>
      </c>
      <c r="I186" s="382">
        <v>981</v>
      </c>
      <c r="J186" s="382">
        <v>1</v>
      </c>
      <c r="K186" s="384">
        <v>89.95</v>
      </c>
      <c r="L186" s="384">
        <v>89.18</v>
      </c>
      <c r="M186" s="384">
        <v>4.41</v>
      </c>
      <c r="N186" s="384">
        <v>92.17</v>
      </c>
      <c r="O186" s="385">
        <v>585</v>
      </c>
      <c r="P186" s="382">
        <v>92.79</v>
      </c>
      <c r="Q186" s="382">
        <v>85.79</v>
      </c>
      <c r="R186" s="382">
        <v>24.21</v>
      </c>
      <c r="S186" s="382">
        <v>111.5</v>
      </c>
      <c r="T186" s="382">
        <v>207</v>
      </c>
      <c r="U186" s="382">
        <v>100.26</v>
      </c>
      <c r="V186" s="382">
        <v>155</v>
      </c>
      <c r="W186" s="382">
        <v>0</v>
      </c>
      <c r="X186" s="382">
        <v>0</v>
      </c>
      <c r="Y186" s="382">
        <v>0</v>
      </c>
      <c r="Z186" s="382">
        <v>0</v>
      </c>
      <c r="AA186" s="382">
        <v>0</v>
      </c>
      <c r="AB186" s="382">
        <v>4</v>
      </c>
      <c r="AC186" s="382">
        <v>1</v>
      </c>
      <c r="AD186" s="386">
        <v>672</v>
      </c>
      <c r="AE186" s="386">
        <v>8</v>
      </c>
      <c r="AF186" s="386">
        <v>0</v>
      </c>
      <c r="AG186" s="386">
        <v>8</v>
      </c>
    </row>
    <row r="187" spans="1:33" x14ac:dyDescent="0.25">
      <c r="A187" s="381" t="s">
        <v>434</v>
      </c>
      <c r="B187" s="387" t="s">
        <v>435</v>
      </c>
      <c r="C187" s="383">
        <v>8555</v>
      </c>
      <c r="D187" s="383">
        <v>0</v>
      </c>
      <c r="E187" s="383">
        <v>386</v>
      </c>
      <c r="F187" s="383">
        <v>1295</v>
      </c>
      <c r="G187" s="383">
        <v>206</v>
      </c>
      <c r="H187" s="383">
        <v>10442</v>
      </c>
      <c r="I187" s="382">
        <v>10236</v>
      </c>
      <c r="J187" s="382">
        <v>0</v>
      </c>
      <c r="K187" s="384">
        <v>78.05</v>
      </c>
      <c r="L187" s="384">
        <v>77.42</v>
      </c>
      <c r="M187" s="384">
        <v>2.08</v>
      </c>
      <c r="N187" s="384">
        <v>79.849999999999994</v>
      </c>
      <c r="O187" s="385">
        <v>8513</v>
      </c>
      <c r="P187" s="382">
        <v>85.25</v>
      </c>
      <c r="Q187" s="382">
        <v>68.930000000000007</v>
      </c>
      <c r="R187" s="382">
        <v>25.76</v>
      </c>
      <c r="S187" s="382">
        <v>107.49</v>
      </c>
      <c r="T187" s="382">
        <v>1515</v>
      </c>
      <c r="U187" s="382">
        <v>91.37</v>
      </c>
      <c r="V187" s="382">
        <v>26</v>
      </c>
      <c r="W187" s="382">
        <v>0</v>
      </c>
      <c r="X187" s="382">
        <v>0</v>
      </c>
      <c r="Y187" s="382">
        <v>0</v>
      </c>
      <c r="Z187" s="382">
        <v>22</v>
      </c>
      <c r="AA187" s="382">
        <v>11</v>
      </c>
      <c r="AB187" s="382">
        <v>12</v>
      </c>
      <c r="AC187" s="382">
        <v>1</v>
      </c>
      <c r="AD187" s="386">
        <v>8553</v>
      </c>
      <c r="AE187" s="386">
        <v>147</v>
      </c>
      <c r="AF187" s="386">
        <v>646</v>
      </c>
      <c r="AG187" s="386">
        <v>793</v>
      </c>
    </row>
    <row r="188" spans="1:33" x14ac:dyDescent="0.25">
      <c r="A188" s="381" t="s">
        <v>436</v>
      </c>
      <c r="B188" s="387" t="s">
        <v>437</v>
      </c>
      <c r="C188" s="383">
        <v>9508</v>
      </c>
      <c r="D188" s="383">
        <v>0</v>
      </c>
      <c r="E188" s="383">
        <v>263</v>
      </c>
      <c r="F188" s="383">
        <v>965</v>
      </c>
      <c r="G188" s="383">
        <v>482</v>
      </c>
      <c r="H188" s="383">
        <v>11218</v>
      </c>
      <c r="I188" s="382">
        <v>10736</v>
      </c>
      <c r="J188" s="382">
        <v>486</v>
      </c>
      <c r="K188" s="384">
        <v>108.86</v>
      </c>
      <c r="L188" s="384">
        <v>115.68</v>
      </c>
      <c r="M188" s="384">
        <v>5.07</v>
      </c>
      <c r="N188" s="384">
        <v>110.38</v>
      </c>
      <c r="O188" s="385">
        <v>9288</v>
      </c>
      <c r="P188" s="382">
        <v>93.47</v>
      </c>
      <c r="Q188" s="382">
        <v>95.75</v>
      </c>
      <c r="R188" s="382">
        <v>26.03</v>
      </c>
      <c r="S188" s="382">
        <v>118.94</v>
      </c>
      <c r="T188" s="382">
        <v>1124</v>
      </c>
      <c r="U188" s="382">
        <v>136.19999999999999</v>
      </c>
      <c r="V188" s="382">
        <v>228</v>
      </c>
      <c r="W188" s="382">
        <v>0</v>
      </c>
      <c r="X188" s="382">
        <v>0</v>
      </c>
      <c r="Y188" s="382">
        <v>2</v>
      </c>
      <c r="Z188" s="382">
        <v>23</v>
      </c>
      <c r="AA188" s="382">
        <v>1</v>
      </c>
      <c r="AB188" s="382">
        <v>55</v>
      </c>
      <c r="AC188" s="382">
        <v>9</v>
      </c>
      <c r="AD188" s="386">
        <v>9457</v>
      </c>
      <c r="AE188" s="386">
        <v>39</v>
      </c>
      <c r="AF188" s="386">
        <v>23</v>
      </c>
      <c r="AG188" s="386">
        <v>62</v>
      </c>
    </row>
    <row r="189" spans="1:33" x14ac:dyDescent="0.25">
      <c r="A189" s="381" t="s">
        <v>438</v>
      </c>
      <c r="B189" s="387" t="s">
        <v>439</v>
      </c>
      <c r="C189" s="383">
        <v>1017</v>
      </c>
      <c r="D189" s="383">
        <v>0</v>
      </c>
      <c r="E189" s="383">
        <v>91</v>
      </c>
      <c r="F189" s="383">
        <v>152</v>
      </c>
      <c r="G189" s="383">
        <v>291</v>
      </c>
      <c r="H189" s="383">
        <v>1551</v>
      </c>
      <c r="I189" s="382">
        <v>1260</v>
      </c>
      <c r="J189" s="382">
        <v>0</v>
      </c>
      <c r="K189" s="384">
        <v>87.84</v>
      </c>
      <c r="L189" s="384">
        <v>86.17</v>
      </c>
      <c r="M189" s="384">
        <v>4.16</v>
      </c>
      <c r="N189" s="384">
        <v>91.21</v>
      </c>
      <c r="O189" s="385">
        <v>753</v>
      </c>
      <c r="P189" s="382">
        <v>102.87</v>
      </c>
      <c r="Q189" s="382">
        <v>86.15</v>
      </c>
      <c r="R189" s="382">
        <v>44.39</v>
      </c>
      <c r="S189" s="382">
        <v>141.99</v>
      </c>
      <c r="T189" s="382">
        <v>219</v>
      </c>
      <c r="U189" s="382">
        <v>97.68</v>
      </c>
      <c r="V189" s="382">
        <v>177</v>
      </c>
      <c r="W189" s="382">
        <v>113.43</v>
      </c>
      <c r="X189" s="382">
        <v>1</v>
      </c>
      <c r="Y189" s="382">
        <v>53</v>
      </c>
      <c r="Z189" s="382">
        <v>0</v>
      </c>
      <c r="AA189" s="382">
        <v>0</v>
      </c>
      <c r="AB189" s="382">
        <v>22</v>
      </c>
      <c r="AC189" s="382">
        <v>5</v>
      </c>
      <c r="AD189" s="386">
        <v>960</v>
      </c>
      <c r="AE189" s="386">
        <v>3</v>
      </c>
      <c r="AF189" s="386">
        <v>3</v>
      </c>
      <c r="AG189" s="386">
        <v>6</v>
      </c>
    </row>
    <row r="190" spans="1:33" x14ac:dyDescent="0.25">
      <c r="A190" s="381" t="s">
        <v>440</v>
      </c>
      <c r="B190" s="387" t="s">
        <v>441</v>
      </c>
      <c r="C190" s="383">
        <v>10842</v>
      </c>
      <c r="D190" s="383">
        <v>0</v>
      </c>
      <c r="E190" s="383">
        <v>167</v>
      </c>
      <c r="F190" s="383">
        <v>317</v>
      </c>
      <c r="G190" s="383">
        <v>74</v>
      </c>
      <c r="H190" s="383">
        <v>11400</v>
      </c>
      <c r="I190" s="382">
        <v>11326</v>
      </c>
      <c r="J190" s="382">
        <v>0</v>
      </c>
      <c r="K190" s="384">
        <v>79.94</v>
      </c>
      <c r="L190" s="384">
        <v>79.760000000000005</v>
      </c>
      <c r="M190" s="384">
        <v>3.07</v>
      </c>
      <c r="N190" s="384">
        <v>81.290000000000006</v>
      </c>
      <c r="O190" s="385">
        <v>10432</v>
      </c>
      <c r="P190" s="382">
        <v>95.67</v>
      </c>
      <c r="Q190" s="382">
        <v>80.11</v>
      </c>
      <c r="R190" s="382">
        <v>51.11</v>
      </c>
      <c r="S190" s="382">
        <v>143.6</v>
      </c>
      <c r="T190" s="382">
        <v>433</v>
      </c>
      <c r="U190" s="382">
        <v>93.16</v>
      </c>
      <c r="V190" s="382">
        <v>348</v>
      </c>
      <c r="W190" s="382">
        <v>219.65</v>
      </c>
      <c r="X190" s="382">
        <v>30</v>
      </c>
      <c r="Y190" s="382">
        <v>0</v>
      </c>
      <c r="Z190" s="382">
        <v>33</v>
      </c>
      <c r="AA190" s="382">
        <v>4</v>
      </c>
      <c r="AB190" s="382">
        <v>5</v>
      </c>
      <c r="AC190" s="382">
        <v>0</v>
      </c>
      <c r="AD190" s="386">
        <v>10802</v>
      </c>
      <c r="AE190" s="386">
        <v>152</v>
      </c>
      <c r="AF190" s="386">
        <v>17</v>
      </c>
      <c r="AG190" s="386">
        <v>169</v>
      </c>
    </row>
    <row r="191" spans="1:33" x14ac:dyDescent="0.25">
      <c r="A191" s="381" t="s">
        <v>442</v>
      </c>
      <c r="B191" s="387" t="s">
        <v>443</v>
      </c>
      <c r="C191" s="383">
        <v>5947</v>
      </c>
      <c r="D191" s="383">
        <v>0</v>
      </c>
      <c r="E191" s="383">
        <v>161</v>
      </c>
      <c r="F191" s="383">
        <v>188</v>
      </c>
      <c r="G191" s="383">
        <v>140</v>
      </c>
      <c r="H191" s="383">
        <v>6436</v>
      </c>
      <c r="I191" s="382">
        <v>6296</v>
      </c>
      <c r="J191" s="382">
        <v>1</v>
      </c>
      <c r="K191" s="384">
        <v>87.41</v>
      </c>
      <c r="L191" s="384">
        <v>86.13</v>
      </c>
      <c r="M191" s="384">
        <v>2.99</v>
      </c>
      <c r="N191" s="384">
        <v>89.52</v>
      </c>
      <c r="O191" s="385">
        <v>5389</v>
      </c>
      <c r="P191" s="382">
        <v>96.55</v>
      </c>
      <c r="Q191" s="382">
        <v>82.99</v>
      </c>
      <c r="R191" s="382">
        <v>37.51</v>
      </c>
      <c r="S191" s="382">
        <v>127.18</v>
      </c>
      <c r="T191" s="382">
        <v>349</v>
      </c>
      <c r="U191" s="382">
        <v>103.65</v>
      </c>
      <c r="V191" s="382">
        <v>549</v>
      </c>
      <c r="W191" s="382">
        <v>0</v>
      </c>
      <c r="X191" s="382">
        <v>0</v>
      </c>
      <c r="Y191" s="382">
        <v>0</v>
      </c>
      <c r="Z191" s="382">
        <v>23</v>
      </c>
      <c r="AA191" s="382">
        <v>56</v>
      </c>
      <c r="AB191" s="382">
        <v>8</v>
      </c>
      <c r="AC191" s="382">
        <v>2</v>
      </c>
      <c r="AD191" s="386">
        <v>5934</v>
      </c>
      <c r="AE191" s="386">
        <v>16</v>
      </c>
      <c r="AF191" s="386">
        <v>51</v>
      </c>
      <c r="AG191" s="386">
        <v>67</v>
      </c>
    </row>
    <row r="192" spans="1:33" ht="14.5" x14ac:dyDescent="0.35">
      <c r="A192" s="388" t="s">
        <v>814</v>
      </c>
      <c r="B192" s="388" t="s">
        <v>812</v>
      </c>
      <c r="C192" s="382">
        <v>13500</v>
      </c>
      <c r="D192" s="382">
        <v>259</v>
      </c>
      <c r="E192" s="382">
        <v>663</v>
      </c>
      <c r="F192" s="382">
        <v>1006</v>
      </c>
      <c r="G192" s="382">
        <v>1269</v>
      </c>
      <c r="H192" s="382">
        <v>16697</v>
      </c>
      <c r="I192" s="382">
        <v>15428</v>
      </c>
      <c r="J192" s="382">
        <v>9</v>
      </c>
      <c r="K192" s="382">
        <v>90.1</v>
      </c>
      <c r="L192" s="382">
        <v>89.3</v>
      </c>
      <c r="M192" s="382">
        <v>5.38</v>
      </c>
      <c r="N192" s="382">
        <v>92.66</v>
      </c>
      <c r="O192" s="382">
        <v>11273</v>
      </c>
      <c r="P192" s="382">
        <v>88.22</v>
      </c>
      <c r="Q192" s="382">
        <v>81.59</v>
      </c>
      <c r="R192" s="382">
        <v>40.03</v>
      </c>
      <c r="S192" s="382">
        <v>126.77</v>
      </c>
      <c r="T192" s="382">
        <v>1560</v>
      </c>
      <c r="U192" s="382">
        <v>104.79</v>
      </c>
      <c r="V192" s="382">
        <v>1296</v>
      </c>
      <c r="W192" s="382">
        <v>163.59</v>
      </c>
      <c r="X192" s="382">
        <v>7</v>
      </c>
      <c r="Y192" s="382">
        <v>0</v>
      </c>
      <c r="Z192" s="382">
        <v>36</v>
      </c>
      <c r="AA192" s="382">
        <v>8</v>
      </c>
      <c r="AB192" s="382">
        <v>167</v>
      </c>
      <c r="AC192" s="382">
        <v>31</v>
      </c>
      <c r="AD192" s="382">
        <v>12775</v>
      </c>
      <c r="AE192" s="382">
        <v>46</v>
      </c>
      <c r="AF192" s="382">
        <v>64</v>
      </c>
      <c r="AG192" s="382">
        <v>110</v>
      </c>
    </row>
    <row r="193" spans="1:33" x14ac:dyDescent="0.25">
      <c r="A193" s="381" t="s">
        <v>444</v>
      </c>
      <c r="B193" s="387" t="s">
        <v>445</v>
      </c>
      <c r="C193" s="383">
        <v>8293</v>
      </c>
      <c r="D193" s="383">
        <v>74</v>
      </c>
      <c r="E193" s="383">
        <v>429</v>
      </c>
      <c r="F193" s="383">
        <v>634</v>
      </c>
      <c r="G193" s="383">
        <v>459</v>
      </c>
      <c r="H193" s="383">
        <v>9889</v>
      </c>
      <c r="I193" s="382">
        <v>9430</v>
      </c>
      <c r="J193" s="382">
        <v>88</v>
      </c>
      <c r="K193" s="384">
        <v>94.33</v>
      </c>
      <c r="L193" s="384">
        <v>90.7</v>
      </c>
      <c r="M193" s="384">
        <v>6.25</v>
      </c>
      <c r="N193" s="384">
        <v>98.09</v>
      </c>
      <c r="O193" s="385">
        <v>7332</v>
      </c>
      <c r="P193" s="382">
        <v>103.23</v>
      </c>
      <c r="Q193" s="382">
        <v>89.95</v>
      </c>
      <c r="R193" s="382">
        <v>50.99</v>
      </c>
      <c r="S193" s="382">
        <v>153.77000000000001</v>
      </c>
      <c r="T193" s="382">
        <v>906</v>
      </c>
      <c r="U193" s="382">
        <v>125.63</v>
      </c>
      <c r="V193" s="382">
        <v>836</v>
      </c>
      <c r="W193" s="382">
        <v>158.87</v>
      </c>
      <c r="X193" s="382">
        <v>76</v>
      </c>
      <c r="Y193" s="382">
        <v>0</v>
      </c>
      <c r="Z193" s="382">
        <v>18</v>
      </c>
      <c r="AA193" s="382">
        <v>6</v>
      </c>
      <c r="AB193" s="382">
        <v>28</v>
      </c>
      <c r="AC193" s="382">
        <v>7</v>
      </c>
      <c r="AD193" s="386">
        <v>8171</v>
      </c>
      <c r="AE193" s="386">
        <v>33</v>
      </c>
      <c r="AF193" s="386">
        <v>17</v>
      </c>
      <c r="AG193" s="386">
        <v>50</v>
      </c>
    </row>
    <row r="194" spans="1:33" x14ac:dyDescent="0.25">
      <c r="A194" s="381" t="s">
        <v>446</v>
      </c>
      <c r="B194" s="387" t="s">
        <v>447</v>
      </c>
      <c r="C194" s="383">
        <v>4129</v>
      </c>
      <c r="D194" s="383">
        <v>55</v>
      </c>
      <c r="E194" s="383">
        <v>483</v>
      </c>
      <c r="F194" s="383">
        <v>1271</v>
      </c>
      <c r="G194" s="383">
        <v>305</v>
      </c>
      <c r="H194" s="383">
        <v>6243</v>
      </c>
      <c r="I194" s="382">
        <v>5938</v>
      </c>
      <c r="J194" s="382">
        <v>0</v>
      </c>
      <c r="K194" s="384">
        <v>81.93</v>
      </c>
      <c r="L194" s="384">
        <v>78.47</v>
      </c>
      <c r="M194" s="384">
        <v>8.33</v>
      </c>
      <c r="N194" s="384">
        <v>88.61</v>
      </c>
      <c r="O194" s="385">
        <v>3267</v>
      </c>
      <c r="P194" s="382">
        <v>88.21</v>
      </c>
      <c r="Q194" s="382">
        <v>77.75</v>
      </c>
      <c r="R194" s="382">
        <v>44.38</v>
      </c>
      <c r="S194" s="382">
        <v>132.03</v>
      </c>
      <c r="T194" s="382">
        <v>1492</v>
      </c>
      <c r="U194" s="382">
        <v>97.81</v>
      </c>
      <c r="V194" s="382">
        <v>710</v>
      </c>
      <c r="W194" s="382">
        <v>158.76</v>
      </c>
      <c r="X194" s="382">
        <v>116</v>
      </c>
      <c r="Y194" s="382">
        <v>0</v>
      </c>
      <c r="Z194" s="382">
        <v>4</v>
      </c>
      <c r="AA194" s="382">
        <v>17</v>
      </c>
      <c r="AB194" s="382">
        <v>14</v>
      </c>
      <c r="AC194" s="382">
        <v>2</v>
      </c>
      <c r="AD194" s="386">
        <v>3944</v>
      </c>
      <c r="AE194" s="386">
        <v>45</v>
      </c>
      <c r="AF194" s="386">
        <v>6</v>
      </c>
      <c r="AG194" s="386">
        <v>51</v>
      </c>
    </row>
    <row r="195" spans="1:33" x14ac:dyDescent="0.25">
      <c r="A195" s="381" t="s">
        <v>448</v>
      </c>
      <c r="B195" s="387" t="s">
        <v>449</v>
      </c>
      <c r="C195" s="383">
        <v>1033</v>
      </c>
      <c r="D195" s="383">
        <v>0</v>
      </c>
      <c r="E195" s="383">
        <v>12</v>
      </c>
      <c r="F195" s="383">
        <v>149</v>
      </c>
      <c r="G195" s="383">
        <v>190</v>
      </c>
      <c r="H195" s="383">
        <v>1384</v>
      </c>
      <c r="I195" s="382">
        <v>1194</v>
      </c>
      <c r="J195" s="382">
        <v>0</v>
      </c>
      <c r="K195" s="384">
        <v>97.96</v>
      </c>
      <c r="L195" s="384">
        <v>97.37</v>
      </c>
      <c r="M195" s="384">
        <v>5.14</v>
      </c>
      <c r="N195" s="384">
        <v>100.88</v>
      </c>
      <c r="O195" s="385">
        <v>851</v>
      </c>
      <c r="P195" s="382">
        <v>92.14</v>
      </c>
      <c r="Q195" s="382">
        <v>85.59</v>
      </c>
      <c r="R195" s="382">
        <v>45.69</v>
      </c>
      <c r="S195" s="382">
        <v>133.26</v>
      </c>
      <c r="T195" s="382">
        <v>60</v>
      </c>
      <c r="U195" s="382">
        <v>110.47</v>
      </c>
      <c r="V195" s="382">
        <v>181</v>
      </c>
      <c r="W195" s="382">
        <v>0</v>
      </c>
      <c r="X195" s="382">
        <v>0</v>
      </c>
      <c r="Y195" s="382">
        <v>0</v>
      </c>
      <c r="Z195" s="382">
        <v>1</v>
      </c>
      <c r="AA195" s="382">
        <v>4</v>
      </c>
      <c r="AB195" s="382">
        <v>4</v>
      </c>
      <c r="AC195" s="382">
        <v>5</v>
      </c>
      <c r="AD195" s="386">
        <v>1033</v>
      </c>
      <c r="AE195" s="386">
        <v>6</v>
      </c>
      <c r="AF195" s="386">
        <v>1</v>
      </c>
      <c r="AG195" s="386">
        <v>7</v>
      </c>
    </row>
    <row r="196" spans="1:33" x14ac:dyDescent="0.25">
      <c r="A196" s="381" t="s">
        <v>450</v>
      </c>
      <c r="B196" s="387" t="s">
        <v>451</v>
      </c>
      <c r="C196" s="383">
        <v>1766</v>
      </c>
      <c r="D196" s="383">
        <v>0</v>
      </c>
      <c r="E196" s="383">
        <v>64</v>
      </c>
      <c r="F196" s="383">
        <v>203</v>
      </c>
      <c r="G196" s="383">
        <v>418</v>
      </c>
      <c r="H196" s="383">
        <v>2451</v>
      </c>
      <c r="I196" s="382">
        <v>2033</v>
      </c>
      <c r="J196" s="382">
        <v>0</v>
      </c>
      <c r="K196" s="384">
        <v>87.98</v>
      </c>
      <c r="L196" s="384">
        <v>87.53</v>
      </c>
      <c r="M196" s="384">
        <v>5.75</v>
      </c>
      <c r="N196" s="384">
        <v>92.48</v>
      </c>
      <c r="O196" s="385">
        <v>1340</v>
      </c>
      <c r="P196" s="382">
        <v>89.48</v>
      </c>
      <c r="Q196" s="382">
        <v>91.47</v>
      </c>
      <c r="R196" s="382">
        <v>39.69</v>
      </c>
      <c r="S196" s="382">
        <v>125.5</v>
      </c>
      <c r="T196" s="382">
        <v>260</v>
      </c>
      <c r="U196" s="382">
        <v>97.89</v>
      </c>
      <c r="V196" s="382">
        <v>407</v>
      </c>
      <c r="W196" s="382">
        <v>0</v>
      </c>
      <c r="X196" s="382">
        <v>0</v>
      </c>
      <c r="Y196" s="382">
        <v>0</v>
      </c>
      <c r="Z196" s="382">
        <v>2</v>
      </c>
      <c r="AA196" s="382">
        <v>3</v>
      </c>
      <c r="AB196" s="382">
        <v>34</v>
      </c>
      <c r="AC196" s="382">
        <v>10</v>
      </c>
      <c r="AD196" s="386">
        <v>1766</v>
      </c>
      <c r="AE196" s="386">
        <v>16</v>
      </c>
      <c r="AF196" s="386">
        <v>2</v>
      </c>
      <c r="AG196" s="386">
        <v>18</v>
      </c>
    </row>
    <row r="197" spans="1:33" x14ac:dyDescent="0.25">
      <c r="A197" s="381" t="s">
        <v>452</v>
      </c>
      <c r="B197" s="387" t="s">
        <v>453</v>
      </c>
      <c r="C197" s="383">
        <v>14739</v>
      </c>
      <c r="D197" s="383">
        <v>59</v>
      </c>
      <c r="E197" s="383">
        <v>328</v>
      </c>
      <c r="F197" s="383">
        <v>2538</v>
      </c>
      <c r="G197" s="383">
        <v>385</v>
      </c>
      <c r="H197" s="383">
        <v>18049</v>
      </c>
      <c r="I197" s="382">
        <v>17664</v>
      </c>
      <c r="J197" s="382">
        <v>18</v>
      </c>
      <c r="K197" s="384">
        <v>75.38</v>
      </c>
      <c r="L197" s="384">
        <v>72.930000000000007</v>
      </c>
      <c r="M197" s="384">
        <v>3.48</v>
      </c>
      <c r="N197" s="384">
        <v>77.09</v>
      </c>
      <c r="O197" s="385">
        <v>13495</v>
      </c>
      <c r="P197" s="382">
        <v>74.459999999999994</v>
      </c>
      <c r="Q197" s="382">
        <v>67.260000000000005</v>
      </c>
      <c r="R197" s="382">
        <v>25.4</v>
      </c>
      <c r="S197" s="382">
        <v>98.48</v>
      </c>
      <c r="T197" s="382">
        <v>2761</v>
      </c>
      <c r="U197" s="382">
        <v>97.02</v>
      </c>
      <c r="V197" s="382">
        <v>1066</v>
      </c>
      <c r="W197" s="382">
        <v>123.49</v>
      </c>
      <c r="X197" s="382">
        <v>52</v>
      </c>
      <c r="Y197" s="382">
        <v>0</v>
      </c>
      <c r="Z197" s="382">
        <v>14</v>
      </c>
      <c r="AA197" s="382">
        <v>18</v>
      </c>
      <c r="AB197" s="382">
        <v>50</v>
      </c>
      <c r="AC197" s="382">
        <v>10</v>
      </c>
      <c r="AD197" s="386">
        <v>14527</v>
      </c>
      <c r="AE197" s="386">
        <v>148</v>
      </c>
      <c r="AF197" s="386">
        <v>42</v>
      </c>
      <c r="AG197" s="386">
        <v>190</v>
      </c>
    </row>
    <row r="198" spans="1:33" x14ac:dyDescent="0.25">
      <c r="A198" s="381" t="s">
        <v>454</v>
      </c>
      <c r="B198" s="387" t="s">
        <v>455</v>
      </c>
      <c r="C198" s="383">
        <v>3837</v>
      </c>
      <c r="D198" s="383">
        <v>0</v>
      </c>
      <c r="E198" s="383">
        <v>506</v>
      </c>
      <c r="F198" s="383">
        <v>1137</v>
      </c>
      <c r="G198" s="383">
        <v>280</v>
      </c>
      <c r="H198" s="383">
        <v>5760</v>
      </c>
      <c r="I198" s="382">
        <v>5480</v>
      </c>
      <c r="J198" s="382">
        <v>1</v>
      </c>
      <c r="K198" s="384">
        <v>89.57</v>
      </c>
      <c r="L198" s="384">
        <v>88.04</v>
      </c>
      <c r="M198" s="384">
        <v>6.14</v>
      </c>
      <c r="N198" s="384">
        <v>94.17</v>
      </c>
      <c r="O198" s="385">
        <v>3489</v>
      </c>
      <c r="P198" s="382">
        <v>87.67</v>
      </c>
      <c r="Q198" s="382">
        <v>83.11</v>
      </c>
      <c r="R198" s="382">
        <v>42.67</v>
      </c>
      <c r="S198" s="382">
        <v>125.85</v>
      </c>
      <c r="T198" s="382">
        <v>989</v>
      </c>
      <c r="U198" s="382">
        <v>105.27</v>
      </c>
      <c r="V198" s="382">
        <v>276</v>
      </c>
      <c r="W198" s="382">
        <v>0</v>
      </c>
      <c r="X198" s="382">
        <v>0</v>
      </c>
      <c r="Y198" s="382">
        <v>0</v>
      </c>
      <c r="Z198" s="382">
        <v>1</v>
      </c>
      <c r="AA198" s="382">
        <v>2</v>
      </c>
      <c r="AB198" s="382">
        <v>6</v>
      </c>
      <c r="AC198" s="382">
        <v>12</v>
      </c>
      <c r="AD198" s="386">
        <v>3820</v>
      </c>
      <c r="AE198" s="386">
        <v>12</v>
      </c>
      <c r="AF198" s="386">
        <v>15</v>
      </c>
      <c r="AG198" s="386">
        <v>27</v>
      </c>
    </row>
    <row r="199" spans="1:33" x14ac:dyDescent="0.25">
      <c r="A199" s="381" t="s">
        <v>456</v>
      </c>
      <c r="B199" s="387" t="s">
        <v>457</v>
      </c>
      <c r="C199" s="383">
        <v>6616</v>
      </c>
      <c r="D199" s="383">
        <v>0</v>
      </c>
      <c r="E199" s="383">
        <v>1173</v>
      </c>
      <c r="F199" s="383">
        <v>2364</v>
      </c>
      <c r="G199" s="383">
        <v>313</v>
      </c>
      <c r="H199" s="383">
        <v>10466</v>
      </c>
      <c r="I199" s="382">
        <v>10153</v>
      </c>
      <c r="J199" s="382">
        <v>65</v>
      </c>
      <c r="K199" s="384">
        <v>85.23</v>
      </c>
      <c r="L199" s="384">
        <v>82.91</v>
      </c>
      <c r="M199" s="384">
        <v>6.05</v>
      </c>
      <c r="N199" s="384">
        <v>89.09</v>
      </c>
      <c r="O199" s="385">
        <v>5668</v>
      </c>
      <c r="P199" s="382">
        <v>82.29</v>
      </c>
      <c r="Q199" s="382">
        <v>77.489999999999995</v>
      </c>
      <c r="R199" s="382">
        <v>62.58</v>
      </c>
      <c r="S199" s="382">
        <v>140.82</v>
      </c>
      <c r="T199" s="382">
        <v>2968</v>
      </c>
      <c r="U199" s="382">
        <v>99.6</v>
      </c>
      <c r="V199" s="382">
        <v>442</v>
      </c>
      <c r="W199" s="382">
        <v>170.24</v>
      </c>
      <c r="X199" s="382">
        <v>177</v>
      </c>
      <c r="Y199" s="382">
        <v>1</v>
      </c>
      <c r="Z199" s="382">
        <v>2</v>
      </c>
      <c r="AA199" s="382">
        <v>58</v>
      </c>
      <c r="AB199" s="382">
        <v>15</v>
      </c>
      <c r="AC199" s="382">
        <v>27</v>
      </c>
      <c r="AD199" s="386">
        <v>6508</v>
      </c>
      <c r="AE199" s="386">
        <v>35</v>
      </c>
      <c r="AF199" s="386">
        <v>28</v>
      </c>
      <c r="AG199" s="386">
        <v>63</v>
      </c>
    </row>
    <row r="200" spans="1:33" x14ac:dyDescent="0.25">
      <c r="A200" s="381" t="s">
        <v>458</v>
      </c>
      <c r="B200" s="387" t="s">
        <v>459</v>
      </c>
      <c r="C200" s="383">
        <v>2035</v>
      </c>
      <c r="D200" s="383">
        <v>0</v>
      </c>
      <c r="E200" s="383">
        <v>255</v>
      </c>
      <c r="F200" s="383">
        <v>337</v>
      </c>
      <c r="G200" s="383">
        <v>295</v>
      </c>
      <c r="H200" s="383">
        <v>2922</v>
      </c>
      <c r="I200" s="382">
        <v>2627</v>
      </c>
      <c r="J200" s="382">
        <v>8</v>
      </c>
      <c r="K200" s="384">
        <v>96.21</v>
      </c>
      <c r="L200" s="384">
        <v>86.99</v>
      </c>
      <c r="M200" s="384">
        <v>6.64</v>
      </c>
      <c r="N200" s="384">
        <v>101.61</v>
      </c>
      <c r="O200" s="385">
        <v>1681</v>
      </c>
      <c r="P200" s="382">
        <v>107.65</v>
      </c>
      <c r="Q200" s="382">
        <v>80.95</v>
      </c>
      <c r="R200" s="382">
        <v>51.95</v>
      </c>
      <c r="S200" s="382">
        <v>157.72</v>
      </c>
      <c r="T200" s="382">
        <v>443</v>
      </c>
      <c r="U200" s="382">
        <v>112.89</v>
      </c>
      <c r="V200" s="382">
        <v>316</v>
      </c>
      <c r="W200" s="382">
        <v>180.46</v>
      </c>
      <c r="X200" s="382">
        <v>60</v>
      </c>
      <c r="Y200" s="382">
        <v>0</v>
      </c>
      <c r="Z200" s="382">
        <v>1</v>
      </c>
      <c r="AA200" s="382">
        <v>1</v>
      </c>
      <c r="AB200" s="382">
        <v>16</v>
      </c>
      <c r="AC200" s="382">
        <v>2</v>
      </c>
      <c r="AD200" s="386">
        <v>2028</v>
      </c>
      <c r="AE200" s="386">
        <v>14</v>
      </c>
      <c r="AF200" s="386">
        <v>9</v>
      </c>
      <c r="AG200" s="386">
        <v>23</v>
      </c>
    </row>
    <row r="201" spans="1:33" x14ac:dyDescent="0.25">
      <c r="A201" s="381" t="s">
        <v>460</v>
      </c>
      <c r="B201" s="387" t="s">
        <v>461</v>
      </c>
      <c r="C201" s="383">
        <v>480</v>
      </c>
      <c r="D201" s="383">
        <v>0</v>
      </c>
      <c r="E201" s="383">
        <v>59</v>
      </c>
      <c r="F201" s="383">
        <v>94</v>
      </c>
      <c r="G201" s="383">
        <v>115</v>
      </c>
      <c r="H201" s="383">
        <v>748</v>
      </c>
      <c r="I201" s="382">
        <v>633</v>
      </c>
      <c r="J201" s="382">
        <v>1</v>
      </c>
      <c r="K201" s="384">
        <v>91.79</v>
      </c>
      <c r="L201" s="384">
        <v>89.71</v>
      </c>
      <c r="M201" s="384">
        <v>4.75</v>
      </c>
      <c r="N201" s="384">
        <v>94.44</v>
      </c>
      <c r="O201" s="385">
        <v>280</v>
      </c>
      <c r="P201" s="382">
        <v>112.1</v>
      </c>
      <c r="Q201" s="382">
        <v>76.53</v>
      </c>
      <c r="R201" s="382">
        <v>29.13</v>
      </c>
      <c r="S201" s="382">
        <v>141.24</v>
      </c>
      <c r="T201" s="382">
        <v>137</v>
      </c>
      <c r="U201" s="382">
        <v>103.89</v>
      </c>
      <c r="V201" s="382">
        <v>107</v>
      </c>
      <c r="W201" s="382">
        <v>0</v>
      </c>
      <c r="X201" s="382">
        <v>0</v>
      </c>
      <c r="Y201" s="382">
        <v>0</v>
      </c>
      <c r="Z201" s="382">
        <v>0</v>
      </c>
      <c r="AA201" s="382">
        <v>0</v>
      </c>
      <c r="AB201" s="382">
        <v>10</v>
      </c>
      <c r="AC201" s="382">
        <v>5</v>
      </c>
      <c r="AD201" s="386">
        <v>445</v>
      </c>
      <c r="AE201" s="386">
        <v>2</v>
      </c>
      <c r="AF201" s="386">
        <v>0</v>
      </c>
      <c r="AG201" s="386">
        <v>2</v>
      </c>
    </row>
    <row r="202" spans="1:33" x14ac:dyDescent="0.25">
      <c r="A202" s="381" t="s">
        <v>462</v>
      </c>
      <c r="B202" s="387" t="s">
        <v>463</v>
      </c>
      <c r="C202" s="383">
        <v>17473</v>
      </c>
      <c r="D202" s="383">
        <v>1</v>
      </c>
      <c r="E202" s="383">
        <v>556</v>
      </c>
      <c r="F202" s="383">
        <v>679</v>
      </c>
      <c r="G202" s="383">
        <v>228</v>
      </c>
      <c r="H202" s="383">
        <v>18937</v>
      </c>
      <c r="I202" s="382">
        <v>18709</v>
      </c>
      <c r="J202" s="382">
        <v>31</v>
      </c>
      <c r="K202" s="384">
        <v>77.3</v>
      </c>
      <c r="L202" s="384">
        <v>76.97</v>
      </c>
      <c r="M202" s="384">
        <v>2.4700000000000002</v>
      </c>
      <c r="N202" s="384">
        <v>78.58</v>
      </c>
      <c r="O202" s="385">
        <v>15699</v>
      </c>
      <c r="P202" s="382">
        <v>80.13</v>
      </c>
      <c r="Q202" s="382">
        <v>76.39</v>
      </c>
      <c r="R202" s="382">
        <v>32.42</v>
      </c>
      <c r="S202" s="382">
        <v>108.94</v>
      </c>
      <c r="T202" s="382">
        <v>1204</v>
      </c>
      <c r="U202" s="382">
        <v>97.43</v>
      </c>
      <c r="V202" s="382">
        <v>1323</v>
      </c>
      <c r="W202" s="382">
        <v>0</v>
      </c>
      <c r="X202" s="382">
        <v>0</v>
      </c>
      <c r="Y202" s="382">
        <v>3</v>
      </c>
      <c r="Z202" s="382">
        <v>98</v>
      </c>
      <c r="AA202" s="382">
        <v>4</v>
      </c>
      <c r="AB202" s="382">
        <v>1</v>
      </c>
      <c r="AC202" s="382">
        <v>5</v>
      </c>
      <c r="AD202" s="386">
        <v>16878</v>
      </c>
      <c r="AE202" s="386">
        <v>59</v>
      </c>
      <c r="AF202" s="386">
        <v>107</v>
      </c>
      <c r="AG202" s="386">
        <v>166</v>
      </c>
    </row>
    <row r="203" spans="1:33" x14ac:dyDescent="0.25">
      <c r="A203" s="381" t="s">
        <v>464</v>
      </c>
      <c r="B203" s="387" t="s">
        <v>465</v>
      </c>
      <c r="C203" s="383">
        <v>2948</v>
      </c>
      <c r="D203" s="383">
        <v>99</v>
      </c>
      <c r="E203" s="383">
        <v>470</v>
      </c>
      <c r="F203" s="383">
        <v>853</v>
      </c>
      <c r="G203" s="383">
        <v>633</v>
      </c>
      <c r="H203" s="383">
        <v>5003</v>
      </c>
      <c r="I203" s="382">
        <v>4370</v>
      </c>
      <c r="J203" s="382">
        <v>0</v>
      </c>
      <c r="K203" s="384">
        <v>112.7</v>
      </c>
      <c r="L203" s="384">
        <v>107.21</v>
      </c>
      <c r="M203" s="384">
        <v>7.93</v>
      </c>
      <c r="N203" s="384">
        <v>118.92</v>
      </c>
      <c r="O203" s="385">
        <v>2965</v>
      </c>
      <c r="P203" s="382">
        <v>108.47</v>
      </c>
      <c r="Q203" s="382">
        <v>95.09</v>
      </c>
      <c r="R203" s="382">
        <v>45.4</v>
      </c>
      <c r="S203" s="382">
        <v>153.22</v>
      </c>
      <c r="T203" s="382">
        <v>1270</v>
      </c>
      <c r="U203" s="382">
        <v>163.32</v>
      </c>
      <c r="V203" s="382">
        <v>61</v>
      </c>
      <c r="W203" s="382">
        <v>0</v>
      </c>
      <c r="X203" s="382">
        <v>0</v>
      </c>
      <c r="Y203" s="382">
        <v>61</v>
      </c>
      <c r="Z203" s="382">
        <v>0</v>
      </c>
      <c r="AA203" s="382">
        <v>0</v>
      </c>
      <c r="AB203" s="382">
        <v>18</v>
      </c>
      <c r="AC203" s="382">
        <v>20</v>
      </c>
      <c r="AD203" s="386">
        <v>2948</v>
      </c>
      <c r="AE203" s="386">
        <v>18</v>
      </c>
      <c r="AF203" s="386">
        <v>4</v>
      </c>
      <c r="AG203" s="386">
        <v>22</v>
      </c>
    </row>
    <row r="204" spans="1:33" x14ac:dyDescent="0.25">
      <c r="A204" s="381" t="s">
        <v>466</v>
      </c>
      <c r="B204" s="387" t="s">
        <v>467</v>
      </c>
      <c r="C204" s="383">
        <v>4206</v>
      </c>
      <c r="D204" s="383">
        <v>0</v>
      </c>
      <c r="E204" s="383">
        <v>223</v>
      </c>
      <c r="F204" s="383">
        <v>245</v>
      </c>
      <c r="G204" s="383">
        <v>6</v>
      </c>
      <c r="H204" s="383">
        <v>4680</v>
      </c>
      <c r="I204" s="382">
        <v>4674</v>
      </c>
      <c r="J204" s="382">
        <v>18</v>
      </c>
      <c r="K204" s="384">
        <v>73.97</v>
      </c>
      <c r="L204" s="384">
        <v>70.739999999999995</v>
      </c>
      <c r="M204" s="384">
        <v>1.78</v>
      </c>
      <c r="N204" s="384">
        <v>75.55</v>
      </c>
      <c r="O204" s="385">
        <v>3820</v>
      </c>
      <c r="P204" s="382">
        <v>87.44</v>
      </c>
      <c r="Q204" s="382">
        <v>71.040000000000006</v>
      </c>
      <c r="R204" s="382">
        <v>37.22</v>
      </c>
      <c r="S204" s="382">
        <v>123.48</v>
      </c>
      <c r="T204" s="382">
        <v>347</v>
      </c>
      <c r="U204" s="382">
        <v>93.52</v>
      </c>
      <c r="V204" s="382">
        <v>373</v>
      </c>
      <c r="W204" s="382">
        <v>83</v>
      </c>
      <c r="X204" s="382">
        <v>12</v>
      </c>
      <c r="Y204" s="382">
        <v>0</v>
      </c>
      <c r="Z204" s="382">
        <v>28</v>
      </c>
      <c r="AA204" s="382">
        <v>18</v>
      </c>
      <c r="AB204" s="382">
        <v>0</v>
      </c>
      <c r="AC204" s="382">
        <v>0</v>
      </c>
      <c r="AD204" s="386">
        <v>4202</v>
      </c>
      <c r="AE204" s="386">
        <v>17</v>
      </c>
      <c r="AF204" s="386">
        <v>19</v>
      </c>
      <c r="AG204" s="386">
        <v>36</v>
      </c>
    </row>
    <row r="205" spans="1:33" x14ac:dyDescent="0.25">
      <c r="A205" s="381" t="s">
        <v>468</v>
      </c>
      <c r="B205" s="387" t="s">
        <v>469</v>
      </c>
      <c r="C205" s="383">
        <v>12923</v>
      </c>
      <c r="D205" s="383">
        <v>32</v>
      </c>
      <c r="E205" s="383">
        <v>774</v>
      </c>
      <c r="F205" s="383">
        <v>2144</v>
      </c>
      <c r="G205" s="383">
        <v>898</v>
      </c>
      <c r="H205" s="383">
        <v>16771</v>
      </c>
      <c r="I205" s="382">
        <v>15873</v>
      </c>
      <c r="J205" s="382">
        <v>23</v>
      </c>
      <c r="K205" s="384">
        <v>87.21</v>
      </c>
      <c r="L205" s="384">
        <v>86.61</v>
      </c>
      <c r="M205" s="384">
        <v>4.96</v>
      </c>
      <c r="N205" s="384">
        <v>89.52</v>
      </c>
      <c r="O205" s="385">
        <v>11291</v>
      </c>
      <c r="P205" s="382">
        <v>93.77</v>
      </c>
      <c r="Q205" s="382">
        <v>89.12</v>
      </c>
      <c r="R205" s="382">
        <v>35.72</v>
      </c>
      <c r="S205" s="382">
        <v>128.11000000000001</v>
      </c>
      <c r="T205" s="382">
        <v>2665</v>
      </c>
      <c r="U205" s="382">
        <v>104.72</v>
      </c>
      <c r="V205" s="382">
        <v>1411</v>
      </c>
      <c r="W205" s="382">
        <v>191.98</v>
      </c>
      <c r="X205" s="382">
        <v>100</v>
      </c>
      <c r="Y205" s="382">
        <v>1</v>
      </c>
      <c r="Z205" s="382">
        <v>57</v>
      </c>
      <c r="AA205" s="382">
        <v>6</v>
      </c>
      <c r="AB205" s="382">
        <v>37</v>
      </c>
      <c r="AC205" s="382">
        <v>24</v>
      </c>
      <c r="AD205" s="386">
        <v>12923</v>
      </c>
      <c r="AE205" s="386">
        <v>41</v>
      </c>
      <c r="AF205" s="386">
        <v>19</v>
      </c>
      <c r="AG205" s="386">
        <v>60</v>
      </c>
    </row>
    <row r="206" spans="1:33" x14ac:dyDescent="0.25">
      <c r="A206" s="381" t="s">
        <v>470</v>
      </c>
      <c r="B206" s="387" t="s">
        <v>471</v>
      </c>
      <c r="C206" s="383">
        <v>19041</v>
      </c>
      <c r="D206" s="383">
        <v>0</v>
      </c>
      <c r="E206" s="383">
        <v>2398</v>
      </c>
      <c r="F206" s="383">
        <v>1073</v>
      </c>
      <c r="G206" s="383">
        <v>1045</v>
      </c>
      <c r="H206" s="383">
        <v>23557</v>
      </c>
      <c r="I206" s="382">
        <v>22512</v>
      </c>
      <c r="J206" s="382">
        <v>17</v>
      </c>
      <c r="K206" s="384">
        <v>76.040000000000006</v>
      </c>
      <c r="L206" s="384">
        <v>74.790000000000006</v>
      </c>
      <c r="M206" s="384">
        <v>7.04</v>
      </c>
      <c r="N206" s="384">
        <v>80.37</v>
      </c>
      <c r="O206" s="385">
        <v>15529</v>
      </c>
      <c r="P206" s="382">
        <v>72</v>
      </c>
      <c r="Q206" s="382">
        <v>70.36</v>
      </c>
      <c r="R206" s="382">
        <v>27.02</v>
      </c>
      <c r="S206" s="382">
        <v>97.65</v>
      </c>
      <c r="T206" s="382">
        <v>3093</v>
      </c>
      <c r="U206" s="382">
        <v>106.19</v>
      </c>
      <c r="V206" s="382">
        <v>3055</v>
      </c>
      <c r="W206" s="382">
        <v>98.86</v>
      </c>
      <c r="X206" s="382">
        <v>290</v>
      </c>
      <c r="Y206" s="382">
        <v>0</v>
      </c>
      <c r="Z206" s="382">
        <v>93</v>
      </c>
      <c r="AA206" s="382">
        <v>25</v>
      </c>
      <c r="AB206" s="382">
        <v>41</v>
      </c>
      <c r="AC206" s="382">
        <v>23</v>
      </c>
      <c r="AD206" s="386">
        <v>18590</v>
      </c>
      <c r="AE206" s="386">
        <v>77</v>
      </c>
      <c r="AF206" s="386">
        <v>162</v>
      </c>
      <c r="AG206" s="386">
        <v>239</v>
      </c>
    </row>
    <row r="207" spans="1:33" x14ac:dyDescent="0.25">
      <c r="A207" s="381" t="s">
        <v>472</v>
      </c>
      <c r="B207" s="387" t="s">
        <v>473</v>
      </c>
      <c r="C207" s="383">
        <v>4948</v>
      </c>
      <c r="D207" s="383">
        <v>24</v>
      </c>
      <c r="E207" s="383">
        <v>470</v>
      </c>
      <c r="F207" s="383">
        <v>873</v>
      </c>
      <c r="G207" s="383">
        <v>680</v>
      </c>
      <c r="H207" s="383">
        <v>6995</v>
      </c>
      <c r="I207" s="382">
        <v>6315</v>
      </c>
      <c r="J207" s="382">
        <v>2</v>
      </c>
      <c r="K207" s="384">
        <v>98.27</v>
      </c>
      <c r="L207" s="384">
        <v>97.47</v>
      </c>
      <c r="M207" s="384">
        <v>9.32</v>
      </c>
      <c r="N207" s="384">
        <v>105.73</v>
      </c>
      <c r="O207" s="385">
        <v>3892</v>
      </c>
      <c r="P207" s="382">
        <v>108.29</v>
      </c>
      <c r="Q207" s="382">
        <v>90.59</v>
      </c>
      <c r="R207" s="382">
        <v>36.49</v>
      </c>
      <c r="S207" s="382">
        <v>136.68</v>
      </c>
      <c r="T207" s="382">
        <v>572</v>
      </c>
      <c r="U207" s="382">
        <v>128.5</v>
      </c>
      <c r="V207" s="382">
        <v>768</v>
      </c>
      <c r="W207" s="382">
        <v>171.72</v>
      </c>
      <c r="X207" s="382">
        <v>270</v>
      </c>
      <c r="Y207" s="382">
        <v>41</v>
      </c>
      <c r="Z207" s="382">
        <v>2</v>
      </c>
      <c r="AA207" s="382">
        <v>8</v>
      </c>
      <c r="AB207" s="382">
        <v>18</v>
      </c>
      <c r="AC207" s="382">
        <v>19</v>
      </c>
      <c r="AD207" s="386">
        <v>4863</v>
      </c>
      <c r="AE207" s="386">
        <v>19</v>
      </c>
      <c r="AF207" s="386">
        <v>7</v>
      </c>
      <c r="AG207" s="386">
        <v>26</v>
      </c>
    </row>
    <row r="208" spans="1:33" x14ac:dyDescent="0.25">
      <c r="A208" s="381" t="s">
        <v>474</v>
      </c>
      <c r="B208" s="387" t="s">
        <v>475</v>
      </c>
      <c r="C208" s="383">
        <v>10124</v>
      </c>
      <c r="D208" s="383">
        <v>0</v>
      </c>
      <c r="E208" s="383">
        <v>443</v>
      </c>
      <c r="F208" s="383">
        <v>968</v>
      </c>
      <c r="G208" s="383">
        <v>324</v>
      </c>
      <c r="H208" s="383">
        <v>11859</v>
      </c>
      <c r="I208" s="382">
        <v>11535</v>
      </c>
      <c r="J208" s="382">
        <v>10</v>
      </c>
      <c r="K208" s="384">
        <v>79.05</v>
      </c>
      <c r="L208" s="384">
        <v>78.180000000000007</v>
      </c>
      <c r="M208" s="384">
        <v>6.52</v>
      </c>
      <c r="N208" s="384">
        <v>82.25</v>
      </c>
      <c r="O208" s="385">
        <v>9263</v>
      </c>
      <c r="P208" s="382">
        <v>80.64</v>
      </c>
      <c r="Q208" s="382">
        <v>71.319999999999993</v>
      </c>
      <c r="R208" s="382">
        <v>44.02</v>
      </c>
      <c r="S208" s="382">
        <v>123.1</v>
      </c>
      <c r="T208" s="382">
        <v>1351</v>
      </c>
      <c r="U208" s="382">
        <v>100.31</v>
      </c>
      <c r="V208" s="382">
        <v>827</v>
      </c>
      <c r="W208" s="382">
        <v>0</v>
      </c>
      <c r="X208" s="382">
        <v>0</v>
      </c>
      <c r="Y208" s="382">
        <v>3</v>
      </c>
      <c r="Z208" s="382">
        <v>35</v>
      </c>
      <c r="AA208" s="382">
        <v>15</v>
      </c>
      <c r="AB208" s="382">
        <v>3</v>
      </c>
      <c r="AC208" s="382">
        <v>4</v>
      </c>
      <c r="AD208" s="386">
        <v>10101</v>
      </c>
      <c r="AE208" s="386">
        <v>52</v>
      </c>
      <c r="AF208" s="386">
        <v>51</v>
      </c>
      <c r="AG208" s="386">
        <v>103</v>
      </c>
    </row>
    <row r="209" spans="1:33" x14ac:dyDescent="0.25">
      <c r="A209" s="381" t="s">
        <v>476</v>
      </c>
      <c r="B209" s="387" t="s">
        <v>477</v>
      </c>
      <c r="C209" s="383">
        <v>3781</v>
      </c>
      <c r="D209" s="383">
        <v>0</v>
      </c>
      <c r="E209" s="383">
        <v>338</v>
      </c>
      <c r="F209" s="383">
        <v>362</v>
      </c>
      <c r="G209" s="383">
        <v>887</v>
      </c>
      <c r="H209" s="383">
        <v>5368</v>
      </c>
      <c r="I209" s="382">
        <v>4481</v>
      </c>
      <c r="J209" s="382">
        <v>11</v>
      </c>
      <c r="K209" s="384">
        <v>117.81</v>
      </c>
      <c r="L209" s="384">
        <v>115.16</v>
      </c>
      <c r="M209" s="384">
        <v>9.44</v>
      </c>
      <c r="N209" s="384">
        <v>126.69</v>
      </c>
      <c r="O209" s="385">
        <v>2968</v>
      </c>
      <c r="P209" s="382">
        <v>113.39</v>
      </c>
      <c r="Q209" s="382">
        <v>101.98</v>
      </c>
      <c r="R209" s="382">
        <v>74.72</v>
      </c>
      <c r="S209" s="382">
        <v>183.7</v>
      </c>
      <c r="T209" s="382">
        <v>560</v>
      </c>
      <c r="U209" s="382">
        <v>158.88999999999999</v>
      </c>
      <c r="V209" s="382">
        <v>391</v>
      </c>
      <c r="W209" s="382">
        <v>148.37</v>
      </c>
      <c r="X209" s="382">
        <v>33</v>
      </c>
      <c r="Y209" s="382">
        <v>0</v>
      </c>
      <c r="Z209" s="382">
        <v>7</v>
      </c>
      <c r="AA209" s="382">
        <v>7</v>
      </c>
      <c r="AB209" s="382">
        <v>20</v>
      </c>
      <c r="AC209" s="382">
        <v>35</v>
      </c>
      <c r="AD209" s="386">
        <v>3610</v>
      </c>
      <c r="AE209" s="386">
        <v>3</v>
      </c>
      <c r="AF209" s="386">
        <v>4</v>
      </c>
      <c r="AG209" s="386">
        <v>7</v>
      </c>
    </row>
    <row r="210" spans="1:33" x14ac:dyDescent="0.25">
      <c r="A210" s="381" t="s">
        <v>478</v>
      </c>
      <c r="B210" s="387" t="s">
        <v>479</v>
      </c>
      <c r="C210" s="383">
        <v>3459</v>
      </c>
      <c r="D210" s="383">
        <v>0</v>
      </c>
      <c r="E210" s="383">
        <v>353</v>
      </c>
      <c r="F210" s="383">
        <v>1095</v>
      </c>
      <c r="G210" s="383">
        <v>589</v>
      </c>
      <c r="H210" s="383">
        <v>5496</v>
      </c>
      <c r="I210" s="382">
        <v>4907</v>
      </c>
      <c r="J210" s="382">
        <v>22</v>
      </c>
      <c r="K210" s="384">
        <v>130.44</v>
      </c>
      <c r="L210" s="384">
        <v>124.22</v>
      </c>
      <c r="M210" s="384">
        <v>11.01</v>
      </c>
      <c r="N210" s="384">
        <v>135.91999999999999</v>
      </c>
      <c r="O210" s="385">
        <v>2942</v>
      </c>
      <c r="P210" s="382">
        <v>104.78</v>
      </c>
      <c r="Q210" s="382">
        <v>101.5</v>
      </c>
      <c r="R210" s="382">
        <v>48.4</v>
      </c>
      <c r="S210" s="382">
        <v>145.63999999999999</v>
      </c>
      <c r="T210" s="382">
        <v>1264</v>
      </c>
      <c r="U210" s="382">
        <v>168.92</v>
      </c>
      <c r="V210" s="382">
        <v>235</v>
      </c>
      <c r="W210" s="382">
        <v>135.16999999999999</v>
      </c>
      <c r="X210" s="382">
        <v>53</v>
      </c>
      <c r="Y210" s="382">
        <v>0</v>
      </c>
      <c r="Z210" s="382">
        <v>0</v>
      </c>
      <c r="AA210" s="382">
        <v>0</v>
      </c>
      <c r="AB210" s="382">
        <v>72</v>
      </c>
      <c r="AC210" s="382">
        <v>16</v>
      </c>
      <c r="AD210" s="386">
        <v>3337</v>
      </c>
      <c r="AE210" s="386">
        <v>5</v>
      </c>
      <c r="AF210" s="386">
        <v>1</v>
      </c>
      <c r="AG210" s="386">
        <v>6</v>
      </c>
    </row>
    <row r="211" spans="1:33" x14ac:dyDescent="0.25">
      <c r="A211" s="381" t="s">
        <v>480</v>
      </c>
      <c r="B211" s="387" t="s">
        <v>481</v>
      </c>
      <c r="C211" s="383">
        <v>11360</v>
      </c>
      <c r="D211" s="383">
        <v>0</v>
      </c>
      <c r="E211" s="383">
        <v>173</v>
      </c>
      <c r="F211" s="383">
        <v>630</v>
      </c>
      <c r="G211" s="383">
        <v>247</v>
      </c>
      <c r="H211" s="383">
        <v>12410</v>
      </c>
      <c r="I211" s="382">
        <v>12163</v>
      </c>
      <c r="J211" s="382">
        <v>11</v>
      </c>
      <c r="K211" s="384">
        <v>87.47</v>
      </c>
      <c r="L211" s="384">
        <v>87.82</v>
      </c>
      <c r="M211" s="384">
        <v>5.71</v>
      </c>
      <c r="N211" s="384">
        <v>90.37</v>
      </c>
      <c r="O211" s="385">
        <v>10937</v>
      </c>
      <c r="P211" s="382">
        <v>84.31</v>
      </c>
      <c r="Q211" s="382">
        <v>79.31</v>
      </c>
      <c r="R211" s="382">
        <v>47.51</v>
      </c>
      <c r="S211" s="382">
        <v>130.19999999999999</v>
      </c>
      <c r="T211" s="382">
        <v>645</v>
      </c>
      <c r="U211" s="382">
        <v>106.28</v>
      </c>
      <c r="V211" s="382">
        <v>237</v>
      </c>
      <c r="W211" s="382">
        <v>146.21</v>
      </c>
      <c r="X211" s="382">
        <v>127</v>
      </c>
      <c r="Y211" s="382">
        <v>0</v>
      </c>
      <c r="Z211" s="382">
        <v>34</v>
      </c>
      <c r="AA211" s="382">
        <v>7</v>
      </c>
      <c r="AB211" s="382">
        <v>14</v>
      </c>
      <c r="AC211" s="382">
        <v>4</v>
      </c>
      <c r="AD211" s="386">
        <v>11360</v>
      </c>
      <c r="AE211" s="386">
        <v>72</v>
      </c>
      <c r="AF211" s="386">
        <v>87</v>
      </c>
      <c r="AG211" s="386">
        <v>159</v>
      </c>
    </row>
    <row r="212" spans="1:33" x14ac:dyDescent="0.25">
      <c r="A212" s="381" t="s">
        <v>482</v>
      </c>
      <c r="B212" s="387" t="s">
        <v>483</v>
      </c>
      <c r="C212" s="383">
        <v>1752</v>
      </c>
      <c r="D212" s="383">
        <v>0</v>
      </c>
      <c r="E212" s="383">
        <v>162</v>
      </c>
      <c r="F212" s="383">
        <v>179</v>
      </c>
      <c r="G212" s="383">
        <v>139</v>
      </c>
      <c r="H212" s="383">
        <v>2232</v>
      </c>
      <c r="I212" s="382">
        <v>2093</v>
      </c>
      <c r="J212" s="382">
        <v>0</v>
      </c>
      <c r="K212" s="384">
        <v>88.06</v>
      </c>
      <c r="L212" s="384">
        <v>80.459999999999994</v>
      </c>
      <c r="M212" s="384">
        <v>4.7</v>
      </c>
      <c r="N212" s="384">
        <v>92.07</v>
      </c>
      <c r="O212" s="385">
        <v>1320</v>
      </c>
      <c r="P212" s="382">
        <v>100.6</v>
      </c>
      <c r="Q212" s="382">
        <v>68.459999999999994</v>
      </c>
      <c r="R212" s="382">
        <v>50.49</v>
      </c>
      <c r="S212" s="382">
        <v>147.11000000000001</v>
      </c>
      <c r="T212" s="382">
        <v>241</v>
      </c>
      <c r="U212" s="382">
        <v>111.3</v>
      </c>
      <c r="V212" s="382">
        <v>198</v>
      </c>
      <c r="W212" s="382">
        <v>186.05</v>
      </c>
      <c r="X212" s="382">
        <v>43</v>
      </c>
      <c r="Y212" s="382">
        <v>0</v>
      </c>
      <c r="Z212" s="382">
        <v>0</v>
      </c>
      <c r="AA212" s="382">
        <v>5</v>
      </c>
      <c r="AB212" s="382">
        <v>0</v>
      </c>
      <c r="AC212" s="382">
        <v>7</v>
      </c>
      <c r="AD212" s="386">
        <v>1587</v>
      </c>
      <c r="AE212" s="386">
        <v>11</v>
      </c>
      <c r="AF212" s="386">
        <v>2</v>
      </c>
      <c r="AG212" s="386">
        <v>13</v>
      </c>
    </row>
    <row r="213" spans="1:33" x14ac:dyDescent="0.25">
      <c r="A213" s="381" t="s">
        <v>484</v>
      </c>
      <c r="B213" s="387" t="s">
        <v>485</v>
      </c>
      <c r="C213" s="383">
        <v>6099</v>
      </c>
      <c r="D213" s="383">
        <v>0</v>
      </c>
      <c r="E213" s="383">
        <v>319</v>
      </c>
      <c r="F213" s="383">
        <v>625</v>
      </c>
      <c r="G213" s="383">
        <v>817</v>
      </c>
      <c r="H213" s="383">
        <v>7860</v>
      </c>
      <c r="I213" s="382">
        <v>7043</v>
      </c>
      <c r="J213" s="382">
        <v>2</v>
      </c>
      <c r="K213" s="384">
        <v>118.58</v>
      </c>
      <c r="L213" s="384">
        <v>118.9</v>
      </c>
      <c r="M213" s="384">
        <v>4.76</v>
      </c>
      <c r="N213" s="384">
        <v>123.12</v>
      </c>
      <c r="O213" s="385">
        <v>5129</v>
      </c>
      <c r="P213" s="382">
        <v>108.7</v>
      </c>
      <c r="Q213" s="382">
        <v>98.32</v>
      </c>
      <c r="R213" s="382">
        <v>26.94</v>
      </c>
      <c r="S213" s="382">
        <v>133.66999999999999</v>
      </c>
      <c r="T213" s="382">
        <v>670</v>
      </c>
      <c r="U213" s="382">
        <v>147.43</v>
      </c>
      <c r="V213" s="382">
        <v>884</v>
      </c>
      <c r="W213" s="382">
        <v>216.65</v>
      </c>
      <c r="X213" s="382">
        <v>63</v>
      </c>
      <c r="Y213" s="382">
        <v>0</v>
      </c>
      <c r="Z213" s="382">
        <v>15</v>
      </c>
      <c r="AA213" s="382">
        <v>7</v>
      </c>
      <c r="AB213" s="382">
        <v>57</v>
      </c>
      <c r="AC213" s="382">
        <v>27</v>
      </c>
      <c r="AD213" s="386">
        <v>6099</v>
      </c>
      <c r="AE213" s="386">
        <v>26</v>
      </c>
      <c r="AF213" s="386">
        <v>17</v>
      </c>
      <c r="AG213" s="386">
        <v>43</v>
      </c>
    </row>
    <row r="214" spans="1:33" x14ac:dyDescent="0.25">
      <c r="A214" s="381" t="s">
        <v>486</v>
      </c>
      <c r="B214" s="387" t="s">
        <v>487</v>
      </c>
      <c r="C214" s="383">
        <v>1253</v>
      </c>
      <c r="D214" s="383">
        <v>0</v>
      </c>
      <c r="E214" s="383">
        <v>94</v>
      </c>
      <c r="F214" s="383">
        <v>743</v>
      </c>
      <c r="G214" s="383">
        <v>253</v>
      </c>
      <c r="H214" s="383">
        <v>2343</v>
      </c>
      <c r="I214" s="382">
        <v>2090</v>
      </c>
      <c r="J214" s="382">
        <v>3</v>
      </c>
      <c r="K214" s="384">
        <v>85.43</v>
      </c>
      <c r="L214" s="384">
        <v>84.76</v>
      </c>
      <c r="M214" s="384">
        <v>2.98</v>
      </c>
      <c r="N214" s="384">
        <v>87.5</v>
      </c>
      <c r="O214" s="385">
        <v>946</v>
      </c>
      <c r="P214" s="382">
        <v>73.790000000000006</v>
      </c>
      <c r="Q214" s="382">
        <v>70.44</v>
      </c>
      <c r="R214" s="382">
        <v>16.96</v>
      </c>
      <c r="S214" s="382">
        <v>90.38</v>
      </c>
      <c r="T214" s="382">
        <v>782</v>
      </c>
      <c r="U214" s="382">
        <v>105.08</v>
      </c>
      <c r="V214" s="382">
        <v>289</v>
      </c>
      <c r="W214" s="382">
        <v>123.54</v>
      </c>
      <c r="X214" s="382">
        <v>18</v>
      </c>
      <c r="Y214" s="382">
        <v>0</v>
      </c>
      <c r="Z214" s="382">
        <v>3</v>
      </c>
      <c r="AA214" s="382">
        <v>0</v>
      </c>
      <c r="AB214" s="382">
        <v>24</v>
      </c>
      <c r="AC214" s="382">
        <v>8</v>
      </c>
      <c r="AD214" s="386">
        <v>1242</v>
      </c>
      <c r="AE214" s="386">
        <v>1</v>
      </c>
      <c r="AF214" s="386">
        <v>3</v>
      </c>
      <c r="AG214" s="386">
        <v>4</v>
      </c>
    </row>
    <row r="215" spans="1:33" x14ac:dyDescent="0.25">
      <c r="A215" s="381" t="s">
        <v>488</v>
      </c>
      <c r="B215" s="387" t="s">
        <v>489</v>
      </c>
      <c r="C215" s="383">
        <v>8794</v>
      </c>
      <c r="D215" s="383">
        <v>9</v>
      </c>
      <c r="E215" s="383">
        <v>309</v>
      </c>
      <c r="F215" s="383">
        <v>824</v>
      </c>
      <c r="G215" s="383">
        <v>476</v>
      </c>
      <c r="H215" s="383">
        <v>10412</v>
      </c>
      <c r="I215" s="382">
        <v>9936</v>
      </c>
      <c r="J215" s="382">
        <v>17</v>
      </c>
      <c r="K215" s="384">
        <v>122.77</v>
      </c>
      <c r="L215" s="384">
        <v>135.51</v>
      </c>
      <c r="M215" s="384">
        <v>9.67</v>
      </c>
      <c r="N215" s="384">
        <v>129.53</v>
      </c>
      <c r="O215" s="385">
        <v>7873</v>
      </c>
      <c r="P215" s="382">
        <v>118.32</v>
      </c>
      <c r="Q215" s="382">
        <v>116.56</v>
      </c>
      <c r="R215" s="382">
        <v>28.6</v>
      </c>
      <c r="S215" s="382">
        <v>145</v>
      </c>
      <c r="T215" s="382">
        <v>1073</v>
      </c>
      <c r="U215" s="382">
        <v>198.76</v>
      </c>
      <c r="V215" s="382">
        <v>758</v>
      </c>
      <c r="W215" s="382">
        <v>205.61</v>
      </c>
      <c r="X215" s="382">
        <v>11</v>
      </c>
      <c r="Y215" s="382">
        <v>1</v>
      </c>
      <c r="Z215" s="382">
        <v>5</v>
      </c>
      <c r="AA215" s="382">
        <v>12</v>
      </c>
      <c r="AB215" s="382">
        <v>1</v>
      </c>
      <c r="AC215" s="382">
        <v>12</v>
      </c>
      <c r="AD215" s="386">
        <v>8709</v>
      </c>
      <c r="AE215" s="386">
        <v>25</v>
      </c>
      <c r="AF215" s="386">
        <v>31</v>
      </c>
      <c r="AG215" s="386">
        <v>56</v>
      </c>
    </row>
    <row r="216" spans="1:33" x14ac:dyDescent="0.25">
      <c r="A216" s="381" t="s">
        <v>490</v>
      </c>
      <c r="B216" s="387" t="s">
        <v>491</v>
      </c>
      <c r="C216" s="383">
        <v>704</v>
      </c>
      <c r="D216" s="383">
        <v>0</v>
      </c>
      <c r="E216" s="383">
        <v>120</v>
      </c>
      <c r="F216" s="383">
        <v>96</v>
      </c>
      <c r="G216" s="383">
        <v>50</v>
      </c>
      <c r="H216" s="383">
        <v>970</v>
      </c>
      <c r="I216" s="382">
        <v>920</v>
      </c>
      <c r="J216" s="382">
        <v>1</v>
      </c>
      <c r="K216" s="384">
        <v>91.71</v>
      </c>
      <c r="L216" s="384">
        <v>90.42</v>
      </c>
      <c r="M216" s="384">
        <v>4.78</v>
      </c>
      <c r="N216" s="384">
        <v>95.34</v>
      </c>
      <c r="O216" s="385">
        <v>534</v>
      </c>
      <c r="P216" s="382">
        <v>110.96</v>
      </c>
      <c r="Q216" s="382">
        <v>109.96</v>
      </c>
      <c r="R216" s="382">
        <v>132.24</v>
      </c>
      <c r="S216" s="382">
        <v>243.2</v>
      </c>
      <c r="T216" s="382">
        <v>147</v>
      </c>
      <c r="U216" s="382">
        <v>107.34</v>
      </c>
      <c r="V216" s="382">
        <v>130</v>
      </c>
      <c r="W216" s="382">
        <v>174.19</v>
      </c>
      <c r="X216" s="382">
        <v>59</v>
      </c>
      <c r="Y216" s="382">
        <v>0</v>
      </c>
      <c r="Z216" s="382">
        <v>3</v>
      </c>
      <c r="AA216" s="382">
        <v>0</v>
      </c>
      <c r="AB216" s="382">
        <v>1</v>
      </c>
      <c r="AC216" s="382">
        <v>1</v>
      </c>
      <c r="AD216" s="386">
        <v>704</v>
      </c>
      <c r="AE216" s="386">
        <v>9</v>
      </c>
      <c r="AF216" s="386">
        <v>2</v>
      </c>
      <c r="AG216" s="386">
        <v>11</v>
      </c>
    </row>
    <row r="217" spans="1:33" x14ac:dyDescent="0.25">
      <c r="A217" s="381" t="s">
        <v>492</v>
      </c>
      <c r="B217" s="387" t="s">
        <v>493</v>
      </c>
      <c r="C217" s="383">
        <v>18283</v>
      </c>
      <c r="D217" s="383">
        <v>0</v>
      </c>
      <c r="E217" s="383">
        <v>548</v>
      </c>
      <c r="F217" s="383">
        <v>2046</v>
      </c>
      <c r="G217" s="383">
        <v>208</v>
      </c>
      <c r="H217" s="383">
        <v>21085</v>
      </c>
      <c r="I217" s="382">
        <v>20877</v>
      </c>
      <c r="J217" s="382">
        <v>19</v>
      </c>
      <c r="K217" s="384">
        <v>76.209999999999994</v>
      </c>
      <c r="L217" s="384">
        <v>76.19</v>
      </c>
      <c r="M217" s="384">
        <v>4.33</v>
      </c>
      <c r="N217" s="384">
        <v>80.05</v>
      </c>
      <c r="O217" s="385">
        <v>16440</v>
      </c>
      <c r="P217" s="382">
        <v>75.3</v>
      </c>
      <c r="Q217" s="382">
        <v>71.63</v>
      </c>
      <c r="R217" s="382">
        <v>36.909999999999997</v>
      </c>
      <c r="S217" s="382">
        <v>110.62</v>
      </c>
      <c r="T217" s="382">
        <v>2442</v>
      </c>
      <c r="U217" s="382">
        <v>91.68</v>
      </c>
      <c r="V217" s="382">
        <v>1666</v>
      </c>
      <c r="W217" s="382">
        <v>0</v>
      </c>
      <c r="X217" s="382">
        <v>0</v>
      </c>
      <c r="Y217" s="382">
        <v>10</v>
      </c>
      <c r="Z217" s="382">
        <v>147</v>
      </c>
      <c r="AA217" s="382">
        <v>15</v>
      </c>
      <c r="AB217" s="382">
        <v>0</v>
      </c>
      <c r="AC217" s="382">
        <v>3</v>
      </c>
      <c r="AD217" s="386">
        <v>18161</v>
      </c>
      <c r="AE217" s="386">
        <v>196</v>
      </c>
      <c r="AF217" s="386">
        <v>121</v>
      </c>
      <c r="AG217" s="386">
        <v>317</v>
      </c>
    </row>
    <row r="218" spans="1:33" x14ac:dyDescent="0.25">
      <c r="A218" s="381" t="s">
        <v>494</v>
      </c>
      <c r="B218" s="387" t="s">
        <v>495</v>
      </c>
      <c r="C218" s="383">
        <v>2133</v>
      </c>
      <c r="D218" s="383">
        <v>0</v>
      </c>
      <c r="E218" s="383">
        <v>52</v>
      </c>
      <c r="F218" s="383">
        <v>697</v>
      </c>
      <c r="G218" s="383">
        <v>102</v>
      </c>
      <c r="H218" s="383">
        <v>2984</v>
      </c>
      <c r="I218" s="382">
        <v>2882</v>
      </c>
      <c r="J218" s="382">
        <v>8</v>
      </c>
      <c r="K218" s="384">
        <v>100.12</v>
      </c>
      <c r="L218" s="384">
        <v>100.47</v>
      </c>
      <c r="M218" s="384">
        <v>7.68</v>
      </c>
      <c r="N218" s="384">
        <v>103.8</v>
      </c>
      <c r="O218" s="385">
        <v>1767</v>
      </c>
      <c r="P218" s="382">
        <v>87.38</v>
      </c>
      <c r="Q218" s="382">
        <v>87.68</v>
      </c>
      <c r="R218" s="382">
        <v>40.549999999999997</v>
      </c>
      <c r="S218" s="382">
        <v>127.61</v>
      </c>
      <c r="T218" s="382">
        <v>745</v>
      </c>
      <c r="U218" s="382">
        <v>139.41999999999999</v>
      </c>
      <c r="V218" s="382">
        <v>372</v>
      </c>
      <c r="W218" s="382">
        <v>0</v>
      </c>
      <c r="X218" s="382">
        <v>0</v>
      </c>
      <c r="Y218" s="382">
        <v>0</v>
      </c>
      <c r="Z218" s="382">
        <v>5</v>
      </c>
      <c r="AA218" s="382">
        <v>1</v>
      </c>
      <c r="AB218" s="382">
        <v>12</v>
      </c>
      <c r="AC218" s="382">
        <v>0</v>
      </c>
      <c r="AD218" s="386">
        <v>2133</v>
      </c>
      <c r="AE218" s="386">
        <v>3</v>
      </c>
      <c r="AF218" s="386">
        <v>7</v>
      </c>
      <c r="AG218" s="386">
        <v>10</v>
      </c>
    </row>
    <row r="219" spans="1:33" x14ac:dyDescent="0.25">
      <c r="A219" s="381" t="s">
        <v>496</v>
      </c>
      <c r="B219" s="387" t="s">
        <v>497</v>
      </c>
      <c r="C219" s="383">
        <v>4226</v>
      </c>
      <c r="D219" s="383">
        <v>0</v>
      </c>
      <c r="E219" s="383">
        <v>74</v>
      </c>
      <c r="F219" s="383">
        <v>358</v>
      </c>
      <c r="G219" s="383">
        <v>48</v>
      </c>
      <c r="H219" s="383">
        <v>4706</v>
      </c>
      <c r="I219" s="382">
        <v>4658</v>
      </c>
      <c r="J219" s="382">
        <v>0</v>
      </c>
      <c r="K219" s="384">
        <v>74.17</v>
      </c>
      <c r="L219" s="384">
        <v>71.84</v>
      </c>
      <c r="M219" s="384">
        <v>4.53</v>
      </c>
      <c r="N219" s="384">
        <v>74.67</v>
      </c>
      <c r="O219" s="385">
        <v>3768</v>
      </c>
      <c r="P219" s="382">
        <v>85.36</v>
      </c>
      <c r="Q219" s="382">
        <v>81.66</v>
      </c>
      <c r="R219" s="382">
        <v>36.03</v>
      </c>
      <c r="S219" s="382">
        <v>119.55</v>
      </c>
      <c r="T219" s="382">
        <v>392</v>
      </c>
      <c r="U219" s="382">
        <v>91.47</v>
      </c>
      <c r="V219" s="382">
        <v>452</v>
      </c>
      <c r="W219" s="382">
        <v>0</v>
      </c>
      <c r="X219" s="382">
        <v>0</v>
      </c>
      <c r="Y219" s="382">
        <v>1</v>
      </c>
      <c r="Z219" s="382">
        <v>25</v>
      </c>
      <c r="AA219" s="382">
        <v>2</v>
      </c>
      <c r="AB219" s="382">
        <v>8</v>
      </c>
      <c r="AC219" s="382">
        <v>0</v>
      </c>
      <c r="AD219" s="386">
        <v>4225</v>
      </c>
      <c r="AE219" s="386">
        <v>19</v>
      </c>
      <c r="AF219" s="386">
        <v>15</v>
      </c>
      <c r="AG219" s="386">
        <v>34</v>
      </c>
    </row>
    <row r="220" spans="1:33" x14ac:dyDescent="0.25">
      <c r="A220" s="381" t="s">
        <v>498</v>
      </c>
      <c r="B220" s="387" t="s">
        <v>499</v>
      </c>
      <c r="C220" s="383">
        <v>3665</v>
      </c>
      <c r="D220" s="383">
        <v>0</v>
      </c>
      <c r="E220" s="383">
        <v>64</v>
      </c>
      <c r="F220" s="383">
        <v>573</v>
      </c>
      <c r="G220" s="383">
        <v>205</v>
      </c>
      <c r="H220" s="383">
        <v>4507</v>
      </c>
      <c r="I220" s="382">
        <v>4302</v>
      </c>
      <c r="J220" s="382">
        <v>13</v>
      </c>
      <c r="K220" s="384">
        <v>96.41</v>
      </c>
      <c r="L220" s="384">
        <v>95.97</v>
      </c>
      <c r="M220" s="384">
        <v>3.37</v>
      </c>
      <c r="N220" s="384">
        <v>99.24</v>
      </c>
      <c r="O220" s="385">
        <v>3220</v>
      </c>
      <c r="P220" s="382">
        <v>91.09</v>
      </c>
      <c r="Q220" s="382">
        <v>89.37</v>
      </c>
      <c r="R220" s="382">
        <v>38.56</v>
      </c>
      <c r="S220" s="382">
        <v>129.66</v>
      </c>
      <c r="T220" s="382">
        <v>543</v>
      </c>
      <c r="U220" s="382">
        <v>118.27</v>
      </c>
      <c r="V220" s="382">
        <v>442</v>
      </c>
      <c r="W220" s="382">
        <v>79.349999999999994</v>
      </c>
      <c r="X220" s="382">
        <v>6</v>
      </c>
      <c r="Y220" s="382">
        <v>0</v>
      </c>
      <c r="Z220" s="382">
        <v>3</v>
      </c>
      <c r="AA220" s="382">
        <v>0</v>
      </c>
      <c r="AB220" s="382">
        <v>24</v>
      </c>
      <c r="AC220" s="382">
        <v>11</v>
      </c>
      <c r="AD220" s="386">
        <v>3638</v>
      </c>
      <c r="AE220" s="386">
        <v>11</v>
      </c>
      <c r="AF220" s="386">
        <v>18</v>
      </c>
      <c r="AG220" s="386">
        <v>29</v>
      </c>
    </row>
    <row r="221" spans="1:33" x14ac:dyDescent="0.25">
      <c r="A221" s="381" t="s">
        <v>500</v>
      </c>
      <c r="B221" s="387" t="s">
        <v>501</v>
      </c>
      <c r="C221" s="383">
        <v>3427</v>
      </c>
      <c r="D221" s="383">
        <v>0</v>
      </c>
      <c r="E221" s="383">
        <v>390</v>
      </c>
      <c r="F221" s="383">
        <v>859</v>
      </c>
      <c r="G221" s="383">
        <v>309</v>
      </c>
      <c r="H221" s="383">
        <v>4985</v>
      </c>
      <c r="I221" s="382">
        <v>4676</v>
      </c>
      <c r="J221" s="382">
        <v>1</v>
      </c>
      <c r="K221" s="384">
        <v>81.3</v>
      </c>
      <c r="L221" s="384">
        <v>79.87</v>
      </c>
      <c r="M221" s="384">
        <v>7.66</v>
      </c>
      <c r="N221" s="384">
        <v>85</v>
      </c>
      <c r="O221" s="385">
        <v>2920</v>
      </c>
      <c r="P221" s="382">
        <v>84.97</v>
      </c>
      <c r="Q221" s="382">
        <v>75.97</v>
      </c>
      <c r="R221" s="382">
        <v>37.03</v>
      </c>
      <c r="S221" s="382">
        <v>118.25</v>
      </c>
      <c r="T221" s="382">
        <v>1223</v>
      </c>
      <c r="U221" s="382">
        <v>96.92</v>
      </c>
      <c r="V221" s="382">
        <v>389</v>
      </c>
      <c r="W221" s="382">
        <v>91.54</v>
      </c>
      <c r="X221" s="382">
        <v>10</v>
      </c>
      <c r="Y221" s="382">
        <v>1</v>
      </c>
      <c r="Z221" s="382">
        <v>0</v>
      </c>
      <c r="AA221" s="382">
        <v>25</v>
      </c>
      <c r="AB221" s="382">
        <v>12</v>
      </c>
      <c r="AC221" s="382">
        <v>12</v>
      </c>
      <c r="AD221" s="386">
        <v>3391</v>
      </c>
      <c r="AE221" s="386">
        <v>42</v>
      </c>
      <c r="AF221" s="386">
        <v>90</v>
      </c>
      <c r="AG221" s="386">
        <v>132</v>
      </c>
    </row>
    <row r="222" spans="1:33" x14ac:dyDescent="0.25">
      <c r="A222" s="381" t="s">
        <v>502</v>
      </c>
      <c r="B222" s="387" t="s">
        <v>503</v>
      </c>
      <c r="C222" s="383">
        <v>2252</v>
      </c>
      <c r="D222" s="383">
        <v>0</v>
      </c>
      <c r="E222" s="383">
        <v>44</v>
      </c>
      <c r="F222" s="383">
        <v>227</v>
      </c>
      <c r="G222" s="383">
        <v>469</v>
      </c>
      <c r="H222" s="383">
        <v>2992</v>
      </c>
      <c r="I222" s="382">
        <v>2523</v>
      </c>
      <c r="J222" s="382">
        <v>16</v>
      </c>
      <c r="K222" s="384">
        <v>99.66</v>
      </c>
      <c r="L222" s="384">
        <v>97.64</v>
      </c>
      <c r="M222" s="384">
        <v>5.67</v>
      </c>
      <c r="N222" s="384">
        <v>103.72</v>
      </c>
      <c r="O222" s="385">
        <v>2045</v>
      </c>
      <c r="P222" s="382">
        <v>84.78</v>
      </c>
      <c r="Q222" s="382">
        <v>85.21</v>
      </c>
      <c r="R222" s="382">
        <v>27.75</v>
      </c>
      <c r="S222" s="382">
        <v>110.52</v>
      </c>
      <c r="T222" s="382">
        <v>166</v>
      </c>
      <c r="U222" s="382">
        <v>112.61</v>
      </c>
      <c r="V222" s="382">
        <v>168</v>
      </c>
      <c r="W222" s="382">
        <v>187.85</v>
      </c>
      <c r="X222" s="382">
        <v>72</v>
      </c>
      <c r="Y222" s="382">
        <v>0</v>
      </c>
      <c r="Z222" s="382">
        <v>3</v>
      </c>
      <c r="AA222" s="382">
        <v>10</v>
      </c>
      <c r="AB222" s="382">
        <v>4</v>
      </c>
      <c r="AC222" s="382">
        <v>13</v>
      </c>
      <c r="AD222" s="386">
        <v>2215</v>
      </c>
      <c r="AE222" s="386">
        <v>10</v>
      </c>
      <c r="AF222" s="386">
        <v>11</v>
      </c>
      <c r="AG222" s="386">
        <v>21</v>
      </c>
    </row>
    <row r="223" spans="1:33" x14ac:dyDescent="0.25">
      <c r="A223" s="381" t="s">
        <v>504</v>
      </c>
      <c r="B223" s="387" t="s">
        <v>505</v>
      </c>
      <c r="C223" s="383">
        <v>1396</v>
      </c>
      <c r="D223" s="383">
        <v>378</v>
      </c>
      <c r="E223" s="383">
        <v>77</v>
      </c>
      <c r="F223" s="383">
        <v>239</v>
      </c>
      <c r="G223" s="383">
        <v>362</v>
      </c>
      <c r="H223" s="383">
        <v>2452</v>
      </c>
      <c r="I223" s="382">
        <v>2090</v>
      </c>
      <c r="J223" s="382">
        <v>11</v>
      </c>
      <c r="K223" s="384">
        <v>120.41</v>
      </c>
      <c r="L223" s="384">
        <v>115.37</v>
      </c>
      <c r="M223" s="384">
        <v>9.5</v>
      </c>
      <c r="N223" s="384">
        <v>128.47</v>
      </c>
      <c r="O223" s="385">
        <v>928</v>
      </c>
      <c r="P223" s="382">
        <v>118.15</v>
      </c>
      <c r="Q223" s="382">
        <v>107.82</v>
      </c>
      <c r="R223" s="382">
        <v>22.6</v>
      </c>
      <c r="S223" s="382">
        <v>139.12</v>
      </c>
      <c r="T223" s="382">
        <v>276</v>
      </c>
      <c r="U223" s="382">
        <v>196.78</v>
      </c>
      <c r="V223" s="382">
        <v>202</v>
      </c>
      <c r="W223" s="382">
        <v>137.07</v>
      </c>
      <c r="X223" s="382">
        <v>33</v>
      </c>
      <c r="Y223" s="382">
        <v>0</v>
      </c>
      <c r="Z223" s="382">
        <v>0</v>
      </c>
      <c r="AA223" s="382">
        <v>33</v>
      </c>
      <c r="AB223" s="382">
        <v>35</v>
      </c>
      <c r="AC223" s="382">
        <v>3</v>
      </c>
      <c r="AD223" s="386">
        <v>1336</v>
      </c>
      <c r="AE223" s="386">
        <v>36</v>
      </c>
      <c r="AF223" s="386">
        <v>1</v>
      </c>
      <c r="AG223" s="386">
        <v>37</v>
      </c>
    </row>
    <row r="224" spans="1:33" x14ac:dyDescent="0.25">
      <c r="A224" s="381" t="s">
        <v>506</v>
      </c>
      <c r="B224" s="387" t="s">
        <v>507</v>
      </c>
      <c r="C224" s="383">
        <v>2731</v>
      </c>
      <c r="D224" s="383">
        <v>0</v>
      </c>
      <c r="E224" s="383">
        <v>93</v>
      </c>
      <c r="F224" s="383">
        <v>1394</v>
      </c>
      <c r="G224" s="383">
        <v>324</v>
      </c>
      <c r="H224" s="383">
        <v>4542</v>
      </c>
      <c r="I224" s="382">
        <v>4218</v>
      </c>
      <c r="J224" s="382">
        <v>44</v>
      </c>
      <c r="K224" s="384">
        <v>95.24</v>
      </c>
      <c r="L224" s="384">
        <v>98.81</v>
      </c>
      <c r="M224" s="384">
        <v>4</v>
      </c>
      <c r="N224" s="384">
        <v>96.78</v>
      </c>
      <c r="O224" s="385">
        <v>2576</v>
      </c>
      <c r="P224" s="382">
        <v>93.12</v>
      </c>
      <c r="Q224" s="382">
        <v>92.79</v>
      </c>
      <c r="R224" s="382">
        <v>15.24</v>
      </c>
      <c r="S224" s="382">
        <v>105.42</v>
      </c>
      <c r="T224" s="382">
        <v>1470</v>
      </c>
      <c r="U224" s="382">
        <v>106.89</v>
      </c>
      <c r="V224" s="382">
        <v>149</v>
      </c>
      <c r="W224" s="382">
        <v>154.51</v>
      </c>
      <c r="X224" s="382">
        <v>5</v>
      </c>
      <c r="Y224" s="382">
        <v>0</v>
      </c>
      <c r="Z224" s="382">
        <v>13</v>
      </c>
      <c r="AA224" s="382">
        <v>0</v>
      </c>
      <c r="AB224" s="382">
        <v>35</v>
      </c>
      <c r="AC224" s="382">
        <v>12</v>
      </c>
      <c r="AD224" s="386">
        <v>2721</v>
      </c>
      <c r="AE224" s="386">
        <v>5</v>
      </c>
      <c r="AF224" s="386">
        <v>10</v>
      </c>
      <c r="AG224" s="386">
        <v>15</v>
      </c>
    </row>
    <row r="225" spans="1:33" x14ac:dyDescent="0.25">
      <c r="A225" s="381" t="s">
        <v>508</v>
      </c>
      <c r="B225" s="387" t="s">
        <v>509</v>
      </c>
      <c r="C225" s="383">
        <v>5503</v>
      </c>
      <c r="D225" s="383">
        <v>6</v>
      </c>
      <c r="E225" s="383">
        <v>185</v>
      </c>
      <c r="F225" s="383">
        <v>722</v>
      </c>
      <c r="G225" s="383">
        <v>597</v>
      </c>
      <c r="H225" s="383">
        <v>7013</v>
      </c>
      <c r="I225" s="382">
        <v>6416</v>
      </c>
      <c r="J225" s="382">
        <v>61</v>
      </c>
      <c r="K225" s="384">
        <v>111.6</v>
      </c>
      <c r="L225" s="384">
        <v>111.08</v>
      </c>
      <c r="M225" s="384">
        <v>8.44</v>
      </c>
      <c r="N225" s="384">
        <v>116.46</v>
      </c>
      <c r="O225" s="385">
        <v>4474</v>
      </c>
      <c r="P225" s="382">
        <v>96.04</v>
      </c>
      <c r="Q225" s="382">
        <v>93.29</v>
      </c>
      <c r="R225" s="382">
        <v>42.92</v>
      </c>
      <c r="S225" s="382">
        <v>137.41</v>
      </c>
      <c r="T225" s="382">
        <v>884</v>
      </c>
      <c r="U225" s="382">
        <v>152.63999999999999</v>
      </c>
      <c r="V225" s="382">
        <v>881</v>
      </c>
      <c r="W225" s="382">
        <v>134.38999999999999</v>
      </c>
      <c r="X225" s="382">
        <v>14</v>
      </c>
      <c r="Y225" s="382">
        <v>0</v>
      </c>
      <c r="Z225" s="382">
        <v>4</v>
      </c>
      <c r="AA225" s="382">
        <v>0</v>
      </c>
      <c r="AB225" s="382">
        <v>47</v>
      </c>
      <c r="AC225" s="382">
        <v>19</v>
      </c>
      <c r="AD225" s="386">
        <v>5389</v>
      </c>
      <c r="AE225" s="386">
        <v>62</v>
      </c>
      <c r="AF225" s="386">
        <v>104</v>
      </c>
      <c r="AG225" s="386">
        <v>166</v>
      </c>
    </row>
    <row r="226" spans="1:33" x14ac:dyDescent="0.25">
      <c r="A226" s="381" t="s">
        <v>510</v>
      </c>
      <c r="B226" s="387" t="s">
        <v>511</v>
      </c>
      <c r="C226" s="383">
        <v>1482</v>
      </c>
      <c r="D226" s="383">
        <v>0</v>
      </c>
      <c r="E226" s="383">
        <v>32</v>
      </c>
      <c r="F226" s="383">
        <v>287</v>
      </c>
      <c r="G226" s="383">
        <v>159</v>
      </c>
      <c r="H226" s="383">
        <v>1960</v>
      </c>
      <c r="I226" s="382">
        <v>1801</v>
      </c>
      <c r="J226" s="382">
        <v>5</v>
      </c>
      <c r="K226" s="384">
        <v>89.74</v>
      </c>
      <c r="L226" s="384">
        <v>89.16</v>
      </c>
      <c r="M226" s="384">
        <v>5.3</v>
      </c>
      <c r="N226" s="384">
        <v>91.73</v>
      </c>
      <c r="O226" s="385">
        <v>1282</v>
      </c>
      <c r="P226" s="382">
        <v>85.7</v>
      </c>
      <c r="Q226" s="382">
        <v>81.39</v>
      </c>
      <c r="R226" s="382">
        <v>28.55</v>
      </c>
      <c r="S226" s="382">
        <v>106.49</v>
      </c>
      <c r="T226" s="382">
        <v>217</v>
      </c>
      <c r="U226" s="382">
        <v>110.53</v>
      </c>
      <c r="V226" s="382">
        <v>168</v>
      </c>
      <c r="W226" s="382">
        <v>0</v>
      </c>
      <c r="X226" s="382">
        <v>0</v>
      </c>
      <c r="Y226" s="382">
        <v>0</v>
      </c>
      <c r="Z226" s="382">
        <v>2</v>
      </c>
      <c r="AA226" s="382">
        <v>0</v>
      </c>
      <c r="AB226" s="382">
        <v>2</v>
      </c>
      <c r="AC226" s="382">
        <v>6</v>
      </c>
      <c r="AD226" s="386">
        <v>1468</v>
      </c>
      <c r="AE226" s="386">
        <v>8</v>
      </c>
      <c r="AF226" s="386">
        <v>1</v>
      </c>
      <c r="AG226" s="386">
        <v>9</v>
      </c>
    </row>
    <row r="227" spans="1:33" x14ac:dyDescent="0.25">
      <c r="A227" s="381" t="s">
        <v>512</v>
      </c>
      <c r="B227" s="387" t="s">
        <v>513</v>
      </c>
      <c r="C227" s="383">
        <v>3033</v>
      </c>
      <c r="D227" s="383">
        <v>3</v>
      </c>
      <c r="E227" s="383">
        <v>45</v>
      </c>
      <c r="F227" s="383">
        <v>125</v>
      </c>
      <c r="G227" s="383">
        <v>32</v>
      </c>
      <c r="H227" s="383">
        <v>3238</v>
      </c>
      <c r="I227" s="382">
        <v>3206</v>
      </c>
      <c r="J227" s="382">
        <v>5</v>
      </c>
      <c r="K227" s="384">
        <v>90.16</v>
      </c>
      <c r="L227" s="384">
        <v>86.32</v>
      </c>
      <c r="M227" s="384">
        <v>5.82</v>
      </c>
      <c r="N227" s="384">
        <v>92.66</v>
      </c>
      <c r="O227" s="385">
        <v>2012</v>
      </c>
      <c r="P227" s="382">
        <v>80.83</v>
      </c>
      <c r="Q227" s="382">
        <v>72.36</v>
      </c>
      <c r="R227" s="382">
        <v>55.49</v>
      </c>
      <c r="S227" s="382">
        <v>128.38999999999999</v>
      </c>
      <c r="T227" s="382">
        <v>154</v>
      </c>
      <c r="U227" s="382">
        <v>97.83</v>
      </c>
      <c r="V227" s="382">
        <v>916</v>
      </c>
      <c r="W227" s="382">
        <v>0</v>
      </c>
      <c r="X227" s="382">
        <v>0</v>
      </c>
      <c r="Y227" s="382">
        <v>0</v>
      </c>
      <c r="Z227" s="382">
        <v>5</v>
      </c>
      <c r="AA227" s="382">
        <v>1</v>
      </c>
      <c r="AB227" s="382">
        <v>0</v>
      </c>
      <c r="AC227" s="382">
        <v>1</v>
      </c>
      <c r="AD227" s="386">
        <v>3015</v>
      </c>
      <c r="AE227" s="386">
        <v>14</v>
      </c>
      <c r="AF227" s="386">
        <v>9</v>
      </c>
      <c r="AG227" s="386">
        <v>23</v>
      </c>
    </row>
    <row r="228" spans="1:33" x14ac:dyDescent="0.25">
      <c r="A228" s="381" t="s">
        <v>514</v>
      </c>
      <c r="B228" s="387" t="s">
        <v>515</v>
      </c>
      <c r="C228" s="383">
        <v>27125</v>
      </c>
      <c r="D228" s="383">
        <v>0</v>
      </c>
      <c r="E228" s="383">
        <v>1567</v>
      </c>
      <c r="F228" s="383">
        <v>1326</v>
      </c>
      <c r="G228" s="383">
        <v>327</v>
      </c>
      <c r="H228" s="383">
        <v>30345</v>
      </c>
      <c r="I228" s="382">
        <v>30018</v>
      </c>
      <c r="J228" s="382">
        <v>794</v>
      </c>
      <c r="K228" s="384">
        <v>78.510000000000005</v>
      </c>
      <c r="L228" s="384">
        <v>78.569999999999993</v>
      </c>
      <c r="M228" s="384">
        <v>7.67</v>
      </c>
      <c r="N228" s="384">
        <v>82.03</v>
      </c>
      <c r="O228" s="385">
        <v>25044</v>
      </c>
      <c r="P228" s="382">
        <v>80.849999999999994</v>
      </c>
      <c r="Q228" s="382">
        <v>73.13</v>
      </c>
      <c r="R228" s="382">
        <v>33.44</v>
      </c>
      <c r="S228" s="382">
        <v>111.73</v>
      </c>
      <c r="T228" s="382">
        <v>2632</v>
      </c>
      <c r="U228" s="382">
        <v>108.3</v>
      </c>
      <c r="V228" s="382">
        <v>1877</v>
      </c>
      <c r="W228" s="382">
        <v>154.1</v>
      </c>
      <c r="X228" s="382">
        <v>65</v>
      </c>
      <c r="Y228" s="382">
        <v>17</v>
      </c>
      <c r="Z228" s="382">
        <v>203</v>
      </c>
      <c r="AA228" s="382">
        <v>8</v>
      </c>
      <c r="AB228" s="382">
        <v>76</v>
      </c>
      <c r="AC228" s="382">
        <v>10</v>
      </c>
      <c r="AD228" s="386">
        <v>27017</v>
      </c>
      <c r="AE228" s="386">
        <v>92</v>
      </c>
      <c r="AF228" s="386">
        <v>303</v>
      </c>
      <c r="AG228" s="386">
        <v>395</v>
      </c>
    </row>
    <row r="229" spans="1:33" x14ac:dyDescent="0.25">
      <c r="A229" s="381" t="s">
        <v>516</v>
      </c>
      <c r="B229" s="387" t="s">
        <v>517</v>
      </c>
      <c r="C229" s="383">
        <v>5666</v>
      </c>
      <c r="D229" s="383">
        <v>68</v>
      </c>
      <c r="E229" s="383">
        <v>459</v>
      </c>
      <c r="F229" s="383">
        <v>1113</v>
      </c>
      <c r="G229" s="383">
        <v>561</v>
      </c>
      <c r="H229" s="383">
        <v>7867</v>
      </c>
      <c r="I229" s="382">
        <v>7306</v>
      </c>
      <c r="J229" s="382">
        <v>1</v>
      </c>
      <c r="K229" s="384">
        <v>89.96</v>
      </c>
      <c r="L229" s="384">
        <v>88.23</v>
      </c>
      <c r="M229" s="384">
        <v>6.7</v>
      </c>
      <c r="N229" s="384">
        <v>95.13</v>
      </c>
      <c r="O229" s="385">
        <v>4492</v>
      </c>
      <c r="P229" s="382">
        <v>88.33</v>
      </c>
      <c r="Q229" s="382">
        <v>82.92</v>
      </c>
      <c r="R229" s="382">
        <v>43.98</v>
      </c>
      <c r="S229" s="382">
        <v>130.09</v>
      </c>
      <c r="T229" s="382">
        <v>1190</v>
      </c>
      <c r="U229" s="382">
        <v>110.45</v>
      </c>
      <c r="V229" s="382">
        <v>669</v>
      </c>
      <c r="W229" s="382">
        <v>188.64</v>
      </c>
      <c r="X229" s="382">
        <v>287</v>
      </c>
      <c r="Y229" s="382">
        <v>0</v>
      </c>
      <c r="Z229" s="382">
        <v>1</v>
      </c>
      <c r="AA229" s="382">
        <v>5</v>
      </c>
      <c r="AB229" s="382">
        <v>0</v>
      </c>
      <c r="AC229" s="382">
        <v>19</v>
      </c>
      <c r="AD229" s="386">
        <v>5434</v>
      </c>
      <c r="AE229" s="386">
        <v>30</v>
      </c>
      <c r="AF229" s="386">
        <v>24</v>
      </c>
      <c r="AG229" s="386">
        <v>54</v>
      </c>
    </row>
    <row r="230" spans="1:33" x14ac:dyDescent="0.25">
      <c r="A230" s="381" t="s">
        <v>518</v>
      </c>
      <c r="B230" s="387" t="s">
        <v>519</v>
      </c>
      <c r="C230" s="383">
        <v>6049</v>
      </c>
      <c r="D230" s="383">
        <v>18</v>
      </c>
      <c r="E230" s="383">
        <v>118</v>
      </c>
      <c r="F230" s="383">
        <v>602</v>
      </c>
      <c r="G230" s="383">
        <v>268</v>
      </c>
      <c r="H230" s="383">
        <v>7055</v>
      </c>
      <c r="I230" s="382">
        <v>6787</v>
      </c>
      <c r="J230" s="382">
        <v>46</v>
      </c>
      <c r="K230" s="384">
        <v>84.36</v>
      </c>
      <c r="L230" s="384">
        <v>83.81</v>
      </c>
      <c r="M230" s="384">
        <v>3.42</v>
      </c>
      <c r="N230" s="384">
        <v>85.69</v>
      </c>
      <c r="O230" s="385">
        <v>5469</v>
      </c>
      <c r="P230" s="382">
        <v>86.4</v>
      </c>
      <c r="Q230" s="382">
        <v>83.37</v>
      </c>
      <c r="R230" s="382">
        <v>30.51</v>
      </c>
      <c r="S230" s="382">
        <v>115.81</v>
      </c>
      <c r="T230" s="382">
        <v>584</v>
      </c>
      <c r="U230" s="382">
        <v>103.03</v>
      </c>
      <c r="V230" s="382">
        <v>569</v>
      </c>
      <c r="W230" s="382">
        <v>158.32</v>
      </c>
      <c r="X230" s="382">
        <v>63</v>
      </c>
      <c r="Y230" s="382">
        <v>0</v>
      </c>
      <c r="Z230" s="382">
        <v>15</v>
      </c>
      <c r="AA230" s="382">
        <v>4</v>
      </c>
      <c r="AB230" s="382">
        <v>17</v>
      </c>
      <c r="AC230" s="382">
        <v>8</v>
      </c>
      <c r="AD230" s="386">
        <v>6006</v>
      </c>
      <c r="AE230" s="386">
        <v>46</v>
      </c>
      <c r="AF230" s="386">
        <v>9</v>
      </c>
      <c r="AG230" s="386">
        <v>55</v>
      </c>
    </row>
    <row r="231" spans="1:33" x14ac:dyDescent="0.25">
      <c r="A231" s="381" t="s">
        <v>520</v>
      </c>
      <c r="B231" s="387" t="s">
        <v>521</v>
      </c>
      <c r="C231" s="383">
        <v>2810</v>
      </c>
      <c r="D231" s="383">
        <v>4</v>
      </c>
      <c r="E231" s="383">
        <v>283</v>
      </c>
      <c r="F231" s="383">
        <v>102</v>
      </c>
      <c r="G231" s="383">
        <v>229</v>
      </c>
      <c r="H231" s="383">
        <v>3428</v>
      </c>
      <c r="I231" s="382">
        <v>3199</v>
      </c>
      <c r="J231" s="382">
        <v>0</v>
      </c>
      <c r="K231" s="384">
        <v>92.42</v>
      </c>
      <c r="L231" s="384">
        <v>89.59</v>
      </c>
      <c r="M231" s="384">
        <v>4.5999999999999996</v>
      </c>
      <c r="N231" s="384">
        <v>96.39</v>
      </c>
      <c r="O231" s="385">
        <v>1545</v>
      </c>
      <c r="P231" s="382">
        <v>75.13</v>
      </c>
      <c r="Q231" s="382">
        <v>72.98</v>
      </c>
      <c r="R231" s="382">
        <v>50.22</v>
      </c>
      <c r="S231" s="382">
        <v>122.87</v>
      </c>
      <c r="T231" s="382">
        <v>223</v>
      </c>
      <c r="U231" s="382">
        <v>113.24</v>
      </c>
      <c r="V231" s="382">
        <v>516</v>
      </c>
      <c r="W231" s="382">
        <v>0</v>
      </c>
      <c r="X231" s="382">
        <v>0</v>
      </c>
      <c r="Y231" s="382">
        <v>0</v>
      </c>
      <c r="Z231" s="382">
        <v>3</v>
      </c>
      <c r="AA231" s="382">
        <v>8</v>
      </c>
      <c r="AB231" s="382">
        <v>11</v>
      </c>
      <c r="AC231" s="382">
        <v>5</v>
      </c>
      <c r="AD231" s="386">
        <v>2004</v>
      </c>
      <c r="AE231" s="386">
        <v>9</v>
      </c>
      <c r="AF231" s="386">
        <v>5</v>
      </c>
      <c r="AG231" s="386">
        <v>14</v>
      </c>
    </row>
    <row r="232" spans="1:33" x14ac:dyDescent="0.25">
      <c r="A232" s="381" t="s">
        <v>522</v>
      </c>
      <c r="B232" s="387" t="s">
        <v>523</v>
      </c>
      <c r="C232" s="383">
        <v>15385</v>
      </c>
      <c r="D232" s="383">
        <v>8</v>
      </c>
      <c r="E232" s="383">
        <v>1610</v>
      </c>
      <c r="F232" s="383">
        <v>1648</v>
      </c>
      <c r="G232" s="383">
        <v>495</v>
      </c>
      <c r="H232" s="383">
        <v>19146</v>
      </c>
      <c r="I232" s="382">
        <v>18651</v>
      </c>
      <c r="J232" s="382">
        <v>8</v>
      </c>
      <c r="K232" s="384">
        <v>87.18</v>
      </c>
      <c r="L232" s="384">
        <v>84.2</v>
      </c>
      <c r="M232" s="384">
        <v>9.14</v>
      </c>
      <c r="N232" s="384">
        <v>90.6</v>
      </c>
      <c r="O232" s="385">
        <v>13834</v>
      </c>
      <c r="P232" s="382">
        <v>81.41</v>
      </c>
      <c r="Q232" s="382">
        <v>76.650000000000006</v>
      </c>
      <c r="R232" s="382">
        <v>32.82</v>
      </c>
      <c r="S232" s="382">
        <v>113.96</v>
      </c>
      <c r="T232" s="382">
        <v>2779</v>
      </c>
      <c r="U232" s="382">
        <v>98.76</v>
      </c>
      <c r="V232" s="382">
        <v>939</v>
      </c>
      <c r="W232" s="382">
        <v>123.2</v>
      </c>
      <c r="X232" s="382">
        <v>12</v>
      </c>
      <c r="Y232" s="382">
        <v>386</v>
      </c>
      <c r="Z232" s="382">
        <v>80</v>
      </c>
      <c r="AA232" s="382">
        <v>94</v>
      </c>
      <c r="AB232" s="382">
        <v>2</v>
      </c>
      <c r="AC232" s="382">
        <v>6</v>
      </c>
      <c r="AD232" s="386">
        <v>14837</v>
      </c>
      <c r="AE232" s="386">
        <v>118</v>
      </c>
      <c r="AF232" s="386">
        <v>54</v>
      </c>
      <c r="AG232" s="386">
        <v>172</v>
      </c>
    </row>
    <row r="233" spans="1:33" x14ac:dyDescent="0.25">
      <c r="A233" s="381" t="s">
        <v>524</v>
      </c>
      <c r="B233" s="387" t="s">
        <v>525</v>
      </c>
      <c r="C233" s="383">
        <v>1489</v>
      </c>
      <c r="D233" s="383">
        <v>0</v>
      </c>
      <c r="E233" s="383">
        <v>43</v>
      </c>
      <c r="F233" s="383">
        <v>194</v>
      </c>
      <c r="G233" s="383">
        <v>222</v>
      </c>
      <c r="H233" s="383">
        <v>1948</v>
      </c>
      <c r="I233" s="382">
        <v>1726</v>
      </c>
      <c r="J233" s="382">
        <v>2</v>
      </c>
      <c r="K233" s="384">
        <v>91.68</v>
      </c>
      <c r="L233" s="384">
        <v>87.97</v>
      </c>
      <c r="M233" s="384">
        <v>6.44</v>
      </c>
      <c r="N233" s="384">
        <v>96.09</v>
      </c>
      <c r="O233" s="385">
        <v>1152</v>
      </c>
      <c r="P233" s="382">
        <v>103.48</v>
      </c>
      <c r="Q233" s="382">
        <v>93.6</v>
      </c>
      <c r="R233" s="382">
        <v>54.15</v>
      </c>
      <c r="S233" s="382">
        <v>156.46</v>
      </c>
      <c r="T233" s="382">
        <v>232</v>
      </c>
      <c r="U233" s="382">
        <v>101.4</v>
      </c>
      <c r="V233" s="382">
        <v>181</v>
      </c>
      <c r="W233" s="382">
        <v>0</v>
      </c>
      <c r="X233" s="382">
        <v>0</v>
      </c>
      <c r="Y233" s="382">
        <v>0</v>
      </c>
      <c r="Z233" s="382">
        <v>4</v>
      </c>
      <c r="AA233" s="382">
        <v>2</v>
      </c>
      <c r="AB233" s="382">
        <v>23</v>
      </c>
      <c r="AC233" s="382">
        <v>1</v>
      </c>
      <c r="AD233" s="386">
        <v>1469</v>
      </c>
      <c r="AE233" s="386">
        <v>15</v>
      </c>
      <c r="AF233" s="386">
        <v>4</v>
      </c>
      <c r="AG233" s="386">
        <v>19</v>
      </c>
    </row>
    <row r="234" spans="1:33" x14ac:dyDescent="0.25">
      <c r="A234" s="381" t="s">
        <v>526</v>
      </c>
      <c r="B234" s="387" t="s">
        <v>527</v>
      </c>
      <c r="C234" s="383">
        <v>5338</v>
      </c>
      <c r="D234" s="383">
        <v>0</v>
      </c>
      <c r="E234" s="383">
        <v>96</v>
      </c>
      <c r="F234" s="383">
        <v>1131</v>
      </c>
      <c r="G234" s="383">
        <v>737</v>
      </c>
      <c r="H234" s="383">
        <v>7302</v>
      </c>
      <c r="I234" s="382">
        <v>6565</v>
      </c>
      <c r="J234" s="382">
        <v>98</v>
      </c>
      <c r="K234" s="384">
        <v>107.69</v>
      </c>
      <c r="L234" s="384">
        <v>104.28</v>
      </c>
      <c r="M234" s="384">
        <v>3.9</v>
      </c>
      <c r="N234" s="384">
        <v>110.16</v>
      </c>
      <c r="O234" s="385">
        <v>5096</v>
      </c>
      <c r="P234" s="382">
        <v>91.8</v>
      </c>
      <c r="Q234" s="382">
        <v>88.47</v>
      </c>
      <c r="R234" s="382">
        <v>21.75</v>
      </c>
      <c r="S234" s="382">
        <v>112.93</v>
      </c>
      <c r="T234" s="382">
        <v>991</v>
      </c>
      <c r="U234" s="382">
        <v>150.4</v>
      </c>
      <c r="V234" s="382">
        <v>184</v>
      </c>
      <c r="W234" s="382">
        <v>141.07</v>
      </c>
      <c r="X234" s="382">
        <v>76</v>
      </c>
      <c r="Y234" s="382">
        <v>0</v>
      </c>
      <c r="Z234" s="382">
        <v>3</v>
      </c>
      <c r="AA234" s="382">
        <v>0</v>
      </c>
      <c r="AB234" s="382">
        <v>7</v>
      </c>
      <c r="AC234" s="382">
        <v>10</v>
      </c>
      <c r="AD234" s="386">
        <v>5306</v>
      </c>
      <c r="AE234" s="386">
        <v>22</v>
      </c>
      <c r="AF234" s="386">
        <v>3</v>
      </c>
      <c r="AG234" s="386">
        <v>25</v>
      </c>
    </row>
    <row r="235" spans="1:33" x14ac:dyDescent="0.25">
      <c r="A235" s="381" t="s">
        <v>528</v>
      </c>
      <c r="B235" s="387" t="s">
        <v>529</v>
      </c>
      <c r="C235" s="383">
        <v>15407</v>
      </c>
      <c r="D235" s="383">
        <v>56</v>
      </c>
      <c r="E235" s="383">
        <v>1353</v>
      </c>
      <c r="F235" s="383">
        <v>1038</v>
      </c>
      <c r="G235" s="383">
        <v>477</v>
      </c>
      <c r="H235" s="383">
        <v>18331</v>
      </c>
      <c r="I235" s="382">
        <v>17854</v>
      </c>
      <c r="J235" s="382">
        <v>7</v>
      </c>
      <c r="K235" s="384">
        <v>80.150000000000006</v>
      </c>
      <c r="L235" s="384">
        <v>78.36</v>
      </c>
      <c r="M235" s="384">
        <v>7.7</v>
      </c>
      <c r="N235" s="384">
        <v>82.68</v>
      </c>
      <c r="O235" s="385">
        <v>13375</v>
      </c>
      <c r="P235" s="382">
        <v>88.06</v>
      </c>
      <c r="Q235" s="382">
        <v>80.7</v>
      </c>
      <c r="R235" s="382">
        <v>57.68</v>
      </c>
      <c r="S235" s="382">
        <v>137.38999999999999</v>
      </c>
      <c r="T235" s="382">
        <v>2156</v>
      </c>
      <c r="U235" s="382">
        <v>95.82</v>
      </c>
      <c r="V235" s="382">
        <v>1831</v>
      </c>
      <c r="W235" s="382">
        <v>100.61</v>
      </c>
      <c r="X235" s="382">
        <v>9</v>
      </c>
      <c r="Y235" s="382">
        <v>25</v>
      </c>
      <c r="Z235" s="382">
        <v>53</v>
      </c>
      <c r="AA235" s="382">
        <v>15</v>
      </c>
      <c r="AB235" s="382">
        <v>8</v>
      </c>
      <c r="AC235" s="382">
        <v>14</v>
      </c>
      <c r="AD235" s="386">
        <v>15325</v>
      </c>
      <c r="AE235" s="386">
        <v>88</v>
      </c>
      <c r="AF235" s="386">
        <v>40</v>
      </c>
      <c r="AG235" s="386">
        <v>128</v>
      </c>
    </row>
    <row r="236" spans="1:33" x14ac:dyDescent="0.25">
      <c r="A236" s="381" t="s">
        <v>530</v>
      </c>
      <c r="B236" s="387" t="s">
        <v>531</v>
      </c>
      <c r="C236" s="383">
        <v>12512</v>
      </c>
      <c r="D236" s="383">
        <v>25</v>
      </c>
      <c r="E236" s="383">
        <v>386</v>
      </c>
      <c r="F236" s="383">
        <v>1615</v>
      </c>
      <c r="G236" s="383">
        <v>762</v>
      </c>
      <c r="H236" s="383">
        <v>15300</v>
      </c>
      <c r="I236" s="382">
        <v>14538</v>
      </c>
      <c r="J236" s="382">
        <v>3</v>
      </c>
      <c r="K236" s="384">
        <v>88.4</v>
      </c>
      <c r="L236" s="384">
        <v>84.86</v>
      </c>
      <c r="M236" s="384">
        <v>3.53</v>
      </c>
      <c r="N236" s="384">
        <v>90.25</v>
      </c>
      <c r="O236" s="385">
        <v>10232</v>
      </c>
      <c r="P236" s="382">
        <v>82.74</v>
      </c>
      <c r="Q236" s="382">
        <v>80.33</v>
      </c>
      <c r="R236" s="382">
        <v>21.4</v>
      </c>
      <c r="S236" s="382">
        <v>103.17</v>
      </c>
      <c r="T236" s="382">
        <v>1646</v>
      </c>
      <c r="U236" s="382">
        <v>106.26</v>
      </c>
      <c r="V236" s="382">
        <v>1600</v>
      </c>
      <c r="W236" s="382">
        <v>172.74</v>
      </c>
      <c r="X236" s="382">
        <v>291</v>
      </c>
      <c r="Y236" s="382">
        <v>14</v>
      </c>
      <c r="Z236" s="382">
        <v>39</v>
      </c>
      <c r="AA236" s="382">
        <v>19</v>
      </c>
      <c r="AB236" s="382">
        <v>40</v>
      </c>
      <c r="AC236" s="382">
        <v>15</v>
      </c>
      <c r="AD236" s="386">
        <v>12058</v>
      </c>
      <c r="AE236" s="386">
        <v>85</v>
      </c>
      <c r="AF236" s="386">
        <v>95</v>
      </c>
      <c r="AG236" s="386">
        <v>180</v>
      </c>
    </row>
    <row r="237" spans="1:33" x14ac:dyDescent="0.25">
      <c r="A237" s="381" t="s">
        <v>532</v>
      </c>
      <c r="B237" s="387" t="s">
        <v>533</v>
      </c>
      <c r="C237" s="383">
        <v>3575</v>
      </c>
      <c r="D237" s="383">
        <v>29</v>
      </c>
      <c r="E237" s="383">
        <v>340</v>
      </c>
      <c r="F237" s="383">
        <v>229</v>
      </c>
      <c r="G237" s="383">
        <v>471</v>
      </c>
      <c r="H237" s="383">
        <v>4644</v>
      </c>
      <c r="I237" s="382">
        <v>4173</v>
      </c>
      <c r="J237" s="382">
        <v>0</v>
      </c>
      <c r="K237" s="384">
        <v>121.71</v>
      </c>
      <c r="L237" s="384">
        <v>119.2</v>
      </c>
      <c r="M237" s="384">
        <v>7.01</v>
      </c>
      <c r="N237" s="384">
        <v>127.9</v>
      </c>
      <c r="O237" s="385">
        <v>3156</v>
      </c>
      <c r="P237" s="382">
        <v>117.09</v>
      </c>
      <c r="Q237" s="382">
        <v>98.71</v>
      </c>
      <c r="R237" s="382">
        <v>57.74</v>
      </c>
      <c r="S237" s="382">
        <v>164.23</v>
      </c>
      <c r="T237" s="382">
        <v>490</v>
      </c>
      <c r="U237" s="382">
        <v>148.84</v>
      </c>
      <c r="V237" s="382">
        <v>178</v>
      </c>
      <c r="W237" s="382">
        <v>0</v>
      </c>
      <c r="X237" s="382">
        <v>0</v>
      </c>
      <c r="Y237" s="382">
        <v>169</v>
      </c>
      <c r="Z237" s="382">
        <v>1</v>
      </c>
      <c r="AA237" s="382">
        <v>23</v>
      </c>
      <c r="AB237" s="382">
        <v>10</v>
      </c>
      <c r="AC237" s="382">
        <v>17</v>
      </c>
      <c r="AD237" s="386">
        <v>3403</v>
      </c>
      <c r="AE237" s="386">
        <v>10</v>
      </c>
      <c r="AF237" s="386">
        <v>9</v>
      </c>
      <c r="AG237" s="386">
        <v>19</v>
      </c>
    </row>
    <row r="238" spans="1:33" x14ac:dyDescent="0.25">
      <c r="A238" s="381" t="s">
        <v>534</v>
      </c>
      <c r="B238" s="387" t="s">
        <v>535</v>
      </c>
      <c r="C238" s="383">
        <v>2351</v>
      </c>
      <c r="D238" s="383">
        <v>0</v>
      </c>
      <c r="E238" s="383">
        <v>238</v>
      </c>
      <c r="F238" s="383">
        <v>599</v>
      </c>
      <c r="G238" s="383">
        <v>495</v>
      </c>
      <c r="H238" s="383">
        <v>3683</v>
      </c>
      <c r="I238" s="382">
        <v>3188</v>
      </c>
      <c r="J238" s="382">
        <v>0</v>
      </c>
      <c r="K238" s="384">
        <v>102.26</v>
      </c>
      <c r="L238" s="384">
        <v>87.5</v>
      </c>
      <c r="M238" s="384">
        <v>5.05</v>
      </c>
      <c r="N238" s="384">
        <v>106.16</v>
      </c>
      <c r="O238" s="385">
        <v>1867</v>
      </c>
      <c r="P238" s="382">
        <v>91.9</v>
      </c>
      <c r="Q238" s="382">
        <v>80.75</v>
      </c>
      <c r="R238" s="382">
        <v>58.66</v>
      </c>
      <c r="S238" s="382">
        <v>149.29</v>
      </c>
      <c r="T238" s="382">
        <v>465</v>
      </c>
      <c r="U238" s="382">
        <v>110.13</v>
      </c>
      <c r="V238" s="382">
        <v>445</v>
      </c>
      <c r="W238" s="382">
        <v>141.35</v>
      </c>
      <c r="X238" s="382">
        <v>78</v>
      </c>
      <c r="Y238" s="382">
        <v>5</v>
      </c>
      <c r="Z238" s="382">
        <v>3</v>
      </c>
      <c r="AA238" s="382">
        <v>0</v>
      </c>
      <c r="AB238" s="382">
        <v>18</v>
      </c>
      <c r="AC238" s="382">
        <v>15</v>
      </c>
      <c r="AD238" s="386">
        <v>2343</v>
      </c>
      <c r="AE238" s="386">
        <v>3</v>
      </c>
      <c r="AF238" s="386">
        <v>4</v>
      </c>
      <c r="AG238" s="386">
        <v>7</v>
      </c>
    </row>
    <row r="239" spans="1:33" x14ac:dyDescent="0.25">
      <c r="A239" s="381" t="s">
        <v>536</v>
      </c>
      <c r="B239" s="387" t="s">
        <v>537</v>
      </c>
      <c r="C239" s="382">
        <v>4070</v>
      </c>
      <c r="D239" s="382">
        <v>0</v>
      </c>
      <c r="E239" s="382">
        <v>331</v>
      </c>
      <c r="F239" s="382">
        <v>797</v>
      </c>
      <c r="G239" s="382">
        <v>474</v>
      </c>
      <c r="H239" s="382">
        <v>5672</v>
      </c>
      <c r="I239" s="382">
        <v>5198</v>
      </c>
      <c r="J239" s="382">
        <v>7</v>
      </c>
      <c r="K239" s="382">
        <v>96.29</v>
      </c>
      <c r="L239" s="384">
        <v>94.86</v>
      </c>
      <c r="M239" s="384">
        <v>4.38</v>
      </c>
      <c r="N239" s="384">
        <v>99.87</v>
      </c>
      <c r="O239" s="385">
        <v>3284</v>
      </c>
      <c r="P239" s="382">
        <v>92.26</v>
      </c>
      <c r="Q239" s="382">
        <v>38.229999999999997</v>
      </c>
      <c r="R239" s="382">
        <v>35.64</v>
      </c>
      <c r="S239" s="382">
        <v>127.73</v>
      </c>
      <c r="T239" s="382">
        <v>1005</v>
      </c>
      <c r="U239" s="382">
        <v>113.2</v>
      </c>
      <c r="V239" s="382">
        <v>379</v>
      </c>
      <c r="W239" s="382">
        <v>0</v>
      </c>
      <c r="X239" s="382">
        <v>0</v>
      </c>
      <c r="Y239" s="382">
        <v>8</v>
      </c>
      <c r="Z239" s="382">
        <v>8</v>
      </c>
      <c r="AA239" s="382">
        <v>14</v>
      </c>
      <c r="AB239" s="382">
        <v>29</v>
      </c>
      <c r="AC239" s="382">
        <v>11</v>
      </c>
      <c r="AD239" s="382">
        <v>3672</v>
      </c>
      <c r="AE239" s="382">
        <v>7</v>
      </c>
      <c r="AF239" s="382">
        <v>9</v>
      </c>
      <c r="AG239" s="382">
        <v>16</v>
      </c>
    </row>
    <row r="240" spans="1:33" x14ac:dyDescent="0.25">
      <c r="A240" s="381" t="s">
        <v>538</v>
      </c>
      <c r="B240" s="387" t="s">
        <v>539</v>
      </c>
      <c r="C240" s="383">
        <v>3197</v>
      </c>
      <c r="D240" s="383">
        <v>0</v>
      </c>
      <c r="E240" s="383">
        <v>393</v>
      </c>
      <c r="F240" s="383">
        <v>181</v>
      </c>
      <c r="G240" s="383">
        <v>1130</v>
      </c>
      <c r="H240" s="383">
        <v>4901</v>
      </c>
      <c r="I240" s="382">
        <v>3771</v>
      </c>
      <c r="J240" s="382">
        <v>10</v>
      </c>
      <c r="K240" s="384">
        <v>111.82</v>
      </c>
      <c r="L240" s="384">
        <v>112.3</v>
      </c>
      <c r="M240" s="384">
        <v>3.25</v>
      </c>
      <c r="N240" s="384">
        <v>114</v>
      </c>
      <c r="O240" s="385">
        <v>2328</v>
      </c>
      <c r="P240" s="382">
        <v>96.52</v>
      </c>
      <c r="Q240" s="382">
        <v>97.27</v>
      </c>
      <c r="R240" s="382">
        <v>42.41</v>
      </c>
      <c r="S240" s="382">
        <v>131.06</v>
      </c>
      <c r="T240" s="382">
        <v>264</v>
      </c>
      <c r="U240" s="382">
        <v>144.4</v>
      </c>
      <c r="V240" s="382">
        <v>449</v>
      </c>
      <c r="W240" s="382">
        <v>162.72</v>
      </c>
      <c r="X240" s="382">
        <v>79</v>
      </c>
      <c r="Y240" s="382">
        <v>0</v>
      </c>
      <c r="Z240" s="382">
        <v>1</v>
      </c>
      <c r="AA240" s="382">
        <v>2</v>
      </c>
      <c r="AB240" s="382">
        <v>50</v>
      </c>
      <c r="AC240" s="382">
        <v>34</v>
      </c>
      <c r="AD240" s="386">
        <v>2921</v>
      </c>
      <c r="AE240" s="386">
        <v>29</v>
      </c>
      <c r="AF240" s="386">
        <v>5</v>
      </c>
      <c r="AG240" s="386">
        <v>34</v>
      </c>
    </row>
    <row r="241" spans="1:33" x14ac:dyDescent="0.25">
      <c r="A241" s="381" t="s">
        <v>540</v>
      </c>
      <c r="B241" s="387" t="s">
        <v>541</v>
      </c>
      <c r="C241" s="383">
        <v>1221</v>
      </c>
      <c r="D241" s="383">
        <v>0</v>
      </c>
      <c r="E241" s="383">
        <v>110</v>
      </c>
      <c r="F241" s="383">
        <v>21</v>
      </c>
      <c r="G241" s="383">
        <v>171</v>
      </c>
      <c r="H241" s="383">
        <v>1523</v>
      </c>
      <c r="I241" s="382">
        <v>1352</v>
      </c>
      <c r="J241" s="382">
        <v>0</v>
      </c>
      <c r="K241" s="384">
        <v>92.87</v>
      </c>
      <c r="L241" s="384">
        <v>92.23</v>
      </c>
      <c r="M241" s="384">
        <v>5.08</v>
      </c>
      <c r="N241" s="384">
        <v>96.39</v>
      </c>
      <c r="O241" s="385">
        <v>1033</v>
      </c>
      <c r="P241" s="382">
        <v>106.03</v>
      </c>
      <c r="Q241" s="382">
        <v>109.14</v>
      </c>
      <c r="R241" s="382">
        <v>73.27</v>
      </c>
      <c r="S241" s="382">
        <v>179.3</v>
      </c>
      <c r="T241" s="382">
        <v>105</v>
      </c>
      <c r="U241" s="382">
        <v>98.77</v>
      </c>
      <c r="V241" s="382">
        <v>177</v>
      </c>
      <c r="W241" s="382">
        <v>186.98</v>
      </c>
      <c r="X241" s="382">
        <v>20</v>
      </c>
      <c r="Y241" s="382">
        <v>0</v>
      </c>
      <c r="Z241" s="382">
        <v>0</v>
      </c>
      <c r="AA241" s="382">
        <v>0</v>
      </c>
      <c r="AB241" s="382">
        <v>25</v>
      </c>
      <c r="AC241" s="382">
        <v>7</v>
      </c>
      <c r="AD241" s="386">
        <v>1212</v>
      </c>
      <c r="AE241" s="386">
        <v>26</v>
      </c>
      <c r="AF241" s="386">
        <v>15</v>
      </c>
      <c r="AG241" s="386">
        <v>41</v>
      </c>
    </row>
    <row r="242" spans="1:33" x14ac:dyDescent="0.25">
      <c r="A242" s="381" t="s">
        <v>542</v>
      </c>
      <c r="B242" s="387" t="s">
        <v>543</v>
      </c>
      <c r="C242" s="383">
        <v>10402</v>
      </c>
      <c r="D242" s="383">
        <v>0</v>
      </c>
      <c r="E242" s="383">
        <v>292</v>
      </c>
      <c r="F242" s="383">
        <v>1757</v>
      </c>
      <c r="G242" s="383">
        <v>639</v>
      </c>
      <c r="H242" s="383">
        <v>13090</v>
      </c>
      <c r="I242" s="382">
        <v>12451</v>
      </c>
      <c r="J242" s="382">
        <v>1</v>
      </c>
      <c r="K242" s="384">
        <v>97.53</v>
      </c>
      <c r="L242" s="384">
        <v>97.98</v>
      </c>
      <c r="M242" s="384">
        <v>5.0199999999999996</v>
      </c>
      <c r="N242" s="384">
        <v>100.3</v>
      </c>
      <c r="O242" s="385">
        <v>9457</v>
      </c>
      <c r="P242" s="382">
        <v>88.46</v>
      </c>
      <c r="Q242" s="382">
        <v>85.09</v>
      </c>
      <c r="R242" s="382">
        <v>19.510000000000002</v>
      </c>
      <c r="S242" s="382">
        <v>107.51</v>
      </c>
      <c r="T242" s="382">
        <v>1876</v>
      </c>
      <c r="U242" s="382">
        <v>135.88</v>
      </c>
      <c r="V242" s="382">
        <v>560</v>
      </c>
      <c r="W242" s="382">
        <v>190.99</v>
      </c>
      <c r="X242" s="382">
        <v>89</v>
      </c>
      <c r="Y242" s="382">
        <v>0</v>
      </c>
      <c r="Z242" s="382">
        <v>27</v>
      </c>
      <c r="AA242" s="382">
        <v>17</v>
      </c>
      <c r="AB242" s="382">
        <v>86</v>
      </c>
      <c r="AC242" s="382">
        <v>13</v>
      </c>
      <c r="AD242" s="386">
        <v>10083</v>
      </c>
      <c r="AE242" s="386">
        <v>46</v>
      </c>
      <c r="AF242" s="386">
        <v>40</v>
      </c>
      <c r="AG242" s="386">
        <v>86</v>
      </c>
    </row>
    <row r="243" spans="1:33" x14ac:dyDescent="0.25">
      <c r="A243" s="381" t="s">
        <v>544</v>
      </c>
      <c r="B243" s="387" t="s">
        <v>545</v>
      </c>
      <c r="C243" s="383">
        <v>4216</v>
      </c>
      <c r="D243" s="383">
        <v>0</v>
      </c>
      <c r="E243" s="383">
        <v>68</v>
      </c>
      <c r="F243" s="383">
        <v>256</v>
      </c>
      <c r="G243" s="383">
        <v>501</v>
      </c>
      <c r="H243" s="383">
        <v>5041</v>
      </c>
      <c r="I243" s="382">
        <v>4540</v>
      </c>
      <c r="J243" s="382">
        <v>18</v>
      </c>
      <c r="K243" s="384">
        <v>92.79</v>
      </c>
      <c r="L243" s="384">
        <v>88.93</v>
      </c>
      <c r="M243" s="384">
        <v>4.18</v>
      </c>
      <c r="N243" s="384">
        <v>96.8</v>
      </c>
      <c r="O243" s="385">
        <v>3678</v>
      </c>
      <c r="P243" s="382">
        <v>83.75</v>
      </c>
      <c r="Q243" s="382">
        <v>73.13</v>
      </c>
      <c r="R243" s="382">
        <v>55.86</v>
      </c>
      <c r="S243" s="382">
        <v>131.94</v>
      </c>
      <c r="T243" s="382">
        <v>182</v>
      </c>
      <c r="U243" s="382">
        <v>123.2</v>
      </c>
      <c r="V243" s="382">
        <v>237</v>
      </c>
      <c r="W243" s="382">
        <v>218.2</v>
      </c>
      <c r="X243" s="382">
        <v>37</v>
      </c>
      <c r="Y243" s="382">
        <v>19</v>
      </c>
      <c r="Z243" s="382">
        <v>8</v>
      </c>
      <c r="AA243" s="382">
        <v>5</v>
      </c>
      <c r="AB243" s="382">
        <v>28</v>
      </c>
      <c r="AC243" s="382">
        <v>3</v>
      </c>
      <c r="AD243" s="386">
        <v>3971</v>
      </c>
      <c r="AE243" s="386">
        <v>5</v>
      </c>
      <c r="AF243" s="386">
        <v>14</v>
      </c>
      <c r="AG243" s="386">
        <v>19</v>
      </c>
    </row>
    <row r="244" spans="1:33" x14ac:dyDescent="0.25">
      <c r="A244" s="381" t="s">
        <v>546</v>
      </c>
      <c r="B244" s="387" t="s">
        <v>547</v>
      </c>
      <c r="C244" s="383">
        <v>970</v>
      </c>
      <c r="D244" s="383">
        <v>0</v>
      </c>
      <c r="E244" s="383">
        <v>104</v>
      </c>
      <c r="F244" s="383">
        <v>0</v>
      </c>
      <c r="G244" s="383">
        <v>225</v>
      </c>
      <c r="H244" s="383">
        <v>1299</v>
      </c>
      <c r="I244" s="382">
        <v>1074</v>
      </c>
      <c r="J244" s="382">
        <v>8</v>
      </c>
      <c r="K244" s="384">
        <v>85.66</v>
      </c>
      <c r="L244" s="384">
        <v>85.42</v>
      </c>
      <c r="M244" s="384">
        <v>4.3899999999999997</v>
      </c>
      <c r="N244" s="384">
        <v>89.17</v>
      </c>
      <c r="O244" s="385">
        <v>752</v>
      </c>
      <c r="P244" s="382">
        <v>108.1</v>
      </c>
      <c r="Q244" s="382">
        <v>72.099999999999994</v>
      </c>
      <c r="R244" s="382">
        <v>90.86</v>
      </c>
      <c r="S244" s="382">
        <v>198.95</v>
      </c>
      <c r="T244" s="382">
        <v>91</v>
      </c>
      <c r="U244" s="382">
        <v>105.64</v>
      </c>
      <c r="V244" s="382">
        <v>135</v>
      </c>
      <c r="W244" s="382">
        <v>0</v>
      </c>
      <c r="X244" s="382">
        <v>0</v>
      </c>
      <c r="Y244" s="382">
        <v>0</v>
      </c>
      <c r="Z244" s="382">
        <v>2</v>
      </c>
      <c r="AA244" s="382">
        <v>0</v>
      </c>
      <c r="AB244" s="382">
        <v>8</v>
      </c>
      <c r="AC244" s="382">
        <v>1</v>
      </c>
      <c r="AD244" s="386">
        <v>905</v>
      </c>
      <c r="AE244" s="386">
        <v>1</v>
      </c>
      <c r="AF244" s="386">
        <v>1</v>
      </c>
      <c r="AG244" s="386">
        <v>2</v>
      </c>
    </row>
    <row r="245" spans="1:33" x14ac:dyDescent="0.25">
      <c r="A245" s="381" t="s">
        <v>548</v>
      </c>
      <c r="B245" s="387" t="s">
        <v>549</v>
      </c>
      <c r="C245" s="383">
        <v>1617</v>
      </c>
      <c r="D245" s="383">
        <v>0</v>
      </c>
      <c r="E245" s="383">
        <v>161</v>
      </c>
      <c r="F245" s="383">
        <v>317</v>
      </c>
      <c r="G245" s="383">
        <v>471</v>
      </c>
      <c r="H245" s="383">
        <v>2566</v>
      </c>
      <c r="I245" s="382">
        <v>2095</v>
      </c>
      <c r="J245" s="382">
        <v>3</v>
      </c>
      <c r="K245" s="384">
        <v>88.32</v>
      </c>
      <c r="L245" s="384">
        <v>86.96</v>
      </c>
      <c r="M245" s="384">
        <v>5.21</v>
      </c>
      <c r="N245" s="384">
        <v>92.71</v>
      </c>
      <c r="O245" s="385">
        <v>1226</v>
      </c>
      <c r="P245" s="382">
        <v>91.9</v>
      </c>
      <c r="Q245" s="382">
        <v>73.03</v>
      </c>
      <c r="R245" s="382">
        <v>30.32</v>
      </c>
      <c r="S245" s="382">
        <v>122.13</v>
      </c>
      <c r="T245" s="382">
        <v>314</v>
      </c>
      <c r="U245" s="382">
        <v>101.91</v>
      </c>
      <c r="V245" s="382">
        <v>155</v>
      </c>
      <c r="W245" s="382">
        <v>115.85</v>
      </c>
      <c r="X245" s="382">
        <v>21</v>
      </c>
      <c r="Y245" s="382">
        <v>59</v>
      </c>
      <c r="Z245" s="382">
        <v>1</v>
      </c>
      <c r="AA245" s="382">
        <v>1</v>
      </c>
      <c r="AB245" s="382">
        <v>48</v>
      </c>
      <c r="AC245" s="382">
        <v>10</v>
      </c>
      <c r="AD245" s="386">
        <v>1562</v>
      </c>
      <c r="AE245" s="386">
        <v>13</v>
      </c>
      <c r="AF245" s="386">
        <v>0</v>
      </c>
      <c r="AG245" s="386">
        <v>13</v>
      </c>
    </row>
    <row r="246" spans="1:33" x14ac:dyDescent="0.25">
      <c r="A246" s="381" t="s">
        <v>550</v>
      </c>
      <c r="B246" s="387" t="s">
        <v>551</v>
      </c>
      <c r="C246" s="383">
        <v>3885</v>
      </c>
      <c r="D246" s="383">
        <v>60</v>
      </c>
      <c r="E246" s="383">
        <v>195</v>
      </c>
      <c r="F246" s="383">
        <v>605</v>
      </c>
      <c r="G246" s="383">
        <v>149</v>
      </c>
      <c r="H246" s="383">
        <v>4894</v>
      </c>
      <c r="I246" s="382">
        <v>4745</v>
      </c>
      <c r="J246" s="382">
        <v>17</v>
      </c>
      <c r="K246" s="384">
        <v>92.2</v>
      </c>
      <c r="L246" s="384">
        <v>90.83</v>
      </c>
      <c r="M246" s="384">
        <v>4.68</v>
      </c>
      <c r="N246" s="384">
        <v>93.36</v>
      </c>
      <c r="O246" s="385">
        <v>3542</v>
      </c>
      <c r="P246" s="382">
        <v>83.61</v>
      </c>
      <c r="Q246" s="382">
        <v>81.790000000000006</v>
      </c>
      <c r="R246" s="382">
        <v>37.770000000000003</v>
      </c>
      <c r="S246" s="382">
        <v>120.76</v>
      </c>
      <c r="T246" s="382">
        <v>674</v>
      </c>
      <c r="U246" s="382">
        <v>115.38</v>
      </c>
      <c r="V246" s="382">
        <v>361</v>
      </c>
      <c r="W246" s="382">
        <v>205.32</v>
      </c>
      <c r="X246" s="382">
        <v>8</v>
      </c>
      <c r="Y246" s="382">
        <v>0</v>
      </c>
      <c r="Z246" s="382">
        <v>20</v>
      </c>
      <c r="AA246" s="382">
        <v>0</v>
      </c>
      <c r="AB246" s="382">
        <v>3</v>
      </c>
      <c r="AC246" s="382">
        <v>11</v>
      </c>
      <c r="AD246" s="386">
        <v>3840</v>
      </c>
      <c r="AE246" s="386">
        <v>14</v>
      </c>
      <c r="AF246" s="386">
        <v>0</v>
      </c>
      <c r="AG246" s="386">
        <v>14</v>
      </c>
    </row>
    <row r="247" spans="1:33" x14ac:dyDescent="0.25">
      <c r="A247" s="381" t="s">
        <v>552</v>
      </c>
      <c r="B247" s="387" t="s">
        <v>553</v>
      </c>
      <c r="C247" s="383">
        <v>6025</v>
      </c>
      <c r="D247" s="383">
        <v>0</v>
      </c>
      <c r="E247" s="383">
        <v>219</v>
      </c>
      <c r="F247" s="383">
        <v>924</v>
      </c>
      <c r="G247" s="383">
        <v>547</v>
      </c>
      <c r="H247" s="383">
        <v>7715</v>
      </c>
      <c r="I247" s="382">
        <v>7168</v>
      </c>
      <c r="J247" s="382">
        <v>0</v>
      </c>
      <c r="K247" s="384">
        <v>89.02</v>
      </c>
      <c r="L247" s="384">
        <v>88.78</v>
      </c>
      <c r="M247" s="384">
        <v>4.58</v>
      </c>
      <c r="N247" s="384">
        <v>90.11</v>
      </c>
      <c r="O247" s="385">
        <v>4557</v>
      </c>
      <c r="P247" s="382">
        <v>86.9</v>
      </c>
      <c r="Q247" s="382">
        <v>81.63</v>
      </c>
      <c r="R247" s="382">
        <v>32.340000000000003</v>
      </c>
      <c r="S247" s="382">
        <v>116.81</v>
      </c>
      <c r="T247" s="382">
        <v>1102</v>
      </c>
      <c r="U247" s="382">
        <v>111.55</v>
      </c>
      <c r="V247" s="382">
        <v>1391</v>
      </c>
      <c r="W247" s="382">
        <v>0</v>
      </c>
      <c r="X247" s="382">
        <v>0</v>
      </c>
      <c r="Y247" s="382">
        <v>0</v>
      </c>
      <c r="Z247" s="382">
        <v>24</v>
      </c>
      <c r="AA247" s="382">
        <v>1</v>
      </c>
      <c r="AB247" s="382">
        <v>57</v>
      </c>
      <c r="AC247" s="382">
        <v>6</v>
      </c>
      <c r="AD247" s="386">
        <v>6020</v>
      </c>
      <c r="AE247" s="386">
        <v>66</v>
      </c>
      <c r="AF247" s="386">
        <v>54</v>
      </c>
      <c r="AG247" s="386">
        <v>120</v>
      </c>
    </row>
    <row r="248" spans="1:33" x14ac:dyDescent="0.25">
      <c r="A248" s="381" t="s">
        <v>554</v>
      </c>
      <c r="B248" s="387" t="s">
        <v>555</v>
      </c>
      <c r="C248" s="383">
        <v>5990</v>
      </c>
      <c r="D248" s="383">
        <v>0</v>
      </c>
      <c r="E248" s="383">
        <v>219</v>
      </c>
      <c r="F248" s="383">
        <v>812</v>
      </c>
      <c r="G248" s="383">
        <v>746</v>
      </c>
      <c r="H248" s="383">
        <v>7767</v>
      </c>
      <c r="I248" s="382">
        <v>7021</v>
      </c>
      <c r="J248" s="382">
        <v>0</v>
      </c>
      <c r="K248" s="384">
        <v>111.3</v>
      </c>
      <c r="L248" s="384">
        <v>110.12</v>
      </c>
      <c r="M248" s="384">
        <v>5.27</v>
      </c>
      <c r="N248" s="384">
        <v>113.23</v>
      </c>
      <c r="O248" s="385">
        <v>5242</v>
      </c>
      <c r="P248" s="382">
        <v>97.65</v>
      </c>
      <c r="Q248" s="382">
        <v>92.38</v>
      </c>
      <c r="R248" s="382">
        <v>26</v>
      </c>
      <c r="S248" s="382">
        <v>121.23</v>
      </c>
      <c r="T248" s="382">
        <v>866</v>
      </c>
      <c r="U248" s="382">
        <v>165.61</v>
      </c>
      <c r="V248" s="382">
        <v>536</v>
      </c>
      <c r="W248" s="382">
        <v>163.19</v>
      </c>
      <c r="X248" s="382">
        <v>40</v>
      </c>
      <c r="Y248" s="382">
        <v>0</v>
      </c>
      <c r="Z248" s="382">
        <v>10</v>
      </c>
      <c r="AA248" s="382">
        <v>18</v>
      </c>
      <c r="AB248" s="382">
        <v>34</v>
      </c>
      <c r="AC248" s="382">
        <v>13</v>
      </c>
      <c r="AD248" s="386">
        <v>5804</v>
      </c>
      <c r="AE248" s="386">
        <v>20</v>
      </c>
      <c r="AF248" s="386">
        <v>18</v>
      </c>
      <c r="AG248" s="386">
        <v>38</v>
      </c>
    </row>
    <row r="249" spans="1:33" x14ac:dyDescent="0.25">
      <c r="A249" s="381" t="s">
        <v>556</v>
      </c>
      <c r="B249" s="387" t="s">
        <v>557</v>
      </c>
      <c r="C249" s="383">
        <v>3848</v>
      </c>
      <c r="D249" s="383">
        <v>3</v>
      </c>
      <c r="E249" s="383">
        <v>260</v>
      </c>
      <c r="F249" s="383">
        <v>1123</v>
      </c>
      <c r="G249" s="383">
        <v>180</v>
      </c>
      <c r="H249" s="383">
        <v>5414</v>
      </c>
      <c r="I249" s="382">
        <v>5234</v>
      </c>
      <c r="J249" s="382">
        <v>28</v>
      </c>
      <c r="K249" s="384">
        <v>87.81</v>
      </c>
      <c r="L249" s="384">
        <v>87.11</v>
      </c>
      <c r="M249" s="384">
        <v>2.69</v>
      </c>
      <c r="N249" s="384">
        <v>90.4</v>
      </c>
      <c r="O249" s="385">
        <v>3528</v>
      </c>
      <c r="P249" s="382">
        <v>87.37</v>
      </c>
      <c r="Q249" s="382">
        <v>80.62</v>
      </c>
      <c r="R249" s="382">
        <v>24.38</v>
      </c>
      <c r="S249" s="382">
        <v>111.71</v>
      </c>
      <c r="T249" s="382">
        <v>1297</v>
      </c>
      <c r="U249" s="382">
        <v>99.66</v>
      </c>
      <c r="V249" s="382">
        <v>306</v>
      </c>
      <c r="W249" s="382">
        <v>0</v>
      </c>
      <c r="X249" s="382">
        <v>0</v>
      </c>
      <c r="Y249" s="382">
        <v>0</v>
      </c>
      <c r="Z249" s="382">
        <v>5</v>
      </c>
      <c r="AA249" s="382">
        <v>6</v>
      </c>
      <c r="AB249" s="382">
        <v>9</v>
      </c>
      <c r="AC249" s="382">
        <v>1</v>
      </c>
      <c r="AD249" s="386">
        <v>3848</v>
      </c>
      <c r="AE249" s="386">
        <v>31</v>
      </c>
      <c r="AF249" s="386">
        <v>2</v>
      </c>
      <c r="AG249" s="386">
        <v>33</v>
      </c>
    </row>
    <row r="250" spans="1:33" x14ac:dyDescent="0.25">
      <c r="A250" s="381" t="s">
        <v>558</v>
      </c>
      <c r="B250" s="387" t="s">
        <v>559</v>
      </c>
      <c r="C250" s="383">
        <v>9034</v>
      </c>
      <c r="D250" s="383">
        <v>0</v>
      </c>
      <c r="E250" s="383">
        <v>344</v>
      </c>
      <c r="F250" s="383">
        <v>1695</v>
      </c>
      <c r="G250" s="383">
        <v>595</v>
      </c>
      <c r="H250" s="383">
        <v>11668</v>
      </c>
      <c r="I250" s="382">
        <v>11073</v>
      </c>
      <c r="J250" s="382">
        <v>1</v>
      </c>
      <c r="K250" s="384">
        <v>92.59</v>
      </c>
      <c r="L250" s="384">
        <v>91.99</v>
      </c>
      <c r="M250" s="384">
        <v>4.16</v>
      </c>
      <c r="N250" s="384">
        <v>93.89</v>
      </c>
      <c r="O250" s="385">
        <v>8152</v>
      </c>
      <c r="P250" s="382">
        <v>88.88</v>
      </c>
      <c r="Q250" s="382">
        <v>83.85</v>
      </c>
      <c r="R250" s="382">
        <v>30.18</v>
      </c>
      <c r="S250" s="382">
        <v>118.97</v>
      </c>
      <c r="T250" s="382">
        <v>2010</v>
      </c>
      <c r="U250" s="382">
        <v>113.91</v>
      </c>
      <c r="V250" s="382">
        <v>562</v>
      </c>
      <c r="W250" s="382">
        <v>116.74</v>
      </c>
      <c r="X250" s="382">
        <v>21</v>
      </c>
      <c r="Y250" s="382">
        <v>0</v>
      </c>
      <c r="Z250" s="382">
        <v>30</v>
      </c>
      <c r="AA250" s="382">
        <v>31</v>
      </c>
      <c r="AB250" s="382">
        <v>27</v>
      </c>
      <c r="AC250" s="382">
        <v>16</v>
      </c>
      <c r="AD250" s="386">
        <v>8935</v>
      </c>
      <c r="AE250" s="386">
        <v>38</v>
      </c>
      <c r="AF250" s="386">
        <v>9</v>
      </c>
      <c r="AG250" s="386">
        <v>47</v>
      </c>
    </row>
    <row r="251" spans="1:33" x14ac:dyDescent="0.25">
      <c r="A251" s="381" t="s">
        <v>560</v>
      </c>
      <c r="B251" s="387" t="s">
        <v>561</v>
      </c>
      <c r="C251" s="383">
        <v>5680</v>
      </c>
      <c r="D251" s="383">
        <v>0</v>
      </c>
      <c r="E251" s="383">
        <v>258</v>
      </c>
      <c r="F251" s="383">
        <v>673</v>
      </c>
      <c r="G251" s="383">
        <v>282</v>
      </c>
      <c r="H251" s="383">
        <v>6893</v>
      </c>
      <c r="I251" s="382">
        <v>6611</v>
      </c>
      <c r="J251" s="382">
        <v>0</v>
      </c>
      <c r="K251" s="384">
        <v>88.68</v>
      </c>
      <c r="L251" s="384">
        <v>84.99</v>
      </c>
      <c r="M251" s="384">
        <v>4.5199999999999996</v>
      </c>
      <c r="N251" s="384">
        <v>89.92</v>
      </c>
      <c r="O251" s="385">
        <v>5536</v>
      </c>
      <c r="P251" s="382">
        <v>81.91</v>
      </c>
      <c r="Q251" s="382">
        <v>81.739999999999995</v>
      </c>
      <c r="R251" s="382">
        <v>37.630000000000003</v>
      </c>
      <c r="S251" s="382">
        <v>119.3</v>
      </c>
      <c r="T251" s="382">
        <v>801</v>
      </c>
      <c r="U251" s="382">
        <v>108.01</v>
      </c>
      <c r="V251" s="382">
        <v>106</v>
      </c>
      <c r="W251" s="382">
        <v>171.27</v>
      </c>
      <c r="X251" s="382">
        <v>130</v>
      </c>
      <c r="Y251" s="382">
        <v>0</v>
      </c>
      <c r="Z251" s="382">
        <v>6</v>
      </c>
      <c r="AA251" s="382">
        <v>1</v>
      </c>
      <c r="AB251" s="382">
        <v>23</v>
      </c>
      <c r="AC251" s="382">
        <v>3</v>
      </c>
      <c r="AD251" s="386">
        <v>5680</v>
      </c>
      <c r="AE251" s="386">
        <v>21</v>
      </c>
      <c r="AF251" s="386">
        <v>15</v>
      </c>
      <c r="AG251" s="386">
        <v>36</v>
      </c>
    </row>
    <row r="252" spans="1:33" x14ac:dyDescent="0.25">
      <c r="A252" s="381" t="s">
        <v>562</v>
      </c>
      <c r="B252" s="387" t="s">
        <v>563</v>
      </c>
      <c r="C252" s="383">
        <v>3791</v>
      </c>
      <c r="D252" s="383">
        <v>30</v>
      </c>
      <c r="E252" s="383">
        <v>426</v>
      </c>
      <c r="F252" s="383">
        <v>842</v>
      </c>
      <c r="G252" s="383">
        <v>181</v>
      </c>
      <c r="H252" s="383">
        <v>5270</v>
      </c>
      <c r="I252" s="382">
        <v>5089</v>
      </c>
      <c r="J252" s="382">
        <v>0</v>
      </c>
      <c r="K252" s="384">
        <v>81.27</v>
      </c>
      <c r="L252" s="384">
        <v>77.92</v>
      </c>
      <c r="M252" s="384">
        <v>3.17</v>
      </c>
      <c r="N252" s="384">
        <v>83.58</v>
      </c>
      <c r="O252" s="385">
        <v>3156</v>
      </c>
      <c r="P252" s="382">
        <v>84.39</v>
      </c>
      <c r="Q252" s="382">
        <v>77.66</v>
      </c>
      <c r="R252" s="382">
        <v>60.13</v>
      </c>
      <c r="S252" s="382">
        <v>142.58000000000001</v>
      </c>
      <c r="T252" s="382">
        <v>930</v>
      </c>
      <c r="U252" s="382">
        <v>95.98</v>
      </c>
      <c r="V252" s="382">
        <v>562</v>
      </c>
      <c r="W252" s="382">
        <v>109.28</v>
      </c>
      <c r="X252" s="382">
        <v>248</v>
      </c>
      <c r="Y252" s="382">
        <v>0</v>
      </c>
      <c r="Z252" s="382">
        <v>0</v>
      </c>
      <c r="AA252" s="382">
        <v>18</v>
      </c>
      <c r="AB252" s="382">
        <v>2</v>
      </c>
      <c r="AC252" s="382">
        <v>5</v>
      </c>
      <c r="AD252" s="386">
        <v>3638</v>
      </c>
      <c r="AE252" s="386">
        <v>52</v>
      </c>
      <c r="AF252" s="386">
        <v>6</v>
      </c>
      <c r="AG252" s="386">
        <v>58</v>
      </c>
    </row>
    <row r="253" spans="1:33" x14ac:dyDescent="0.25">
      <c r="A253" s="381" t="s">
        <v>564</v>
      </c>
      <c r="B253" s="387" t="s">
        <v>565</v>
      </c>
      <c r="C253" s="383">
        <v>5882</v>
      </c>
      <c r="D253" s="383">
        <v>64</v>
      </c>
      <c r="E253" s="383">
        <v>857</v>
      </c>
      <c r="F253" s="383">
        <v>1064</v>
      </c>
      <c r="G253" s="383">
        <v>971</v>
      </c>
      <c r="H253" s="383">
        <v>8838</v>
      </c>
      <c r="I253" s="382">
        <v>7867</v>
      </c>
      <c r="J253" s="382">
        <v>52</v>
      </c>
      <c r="K253" s="384">
        <v>105.97</v>
      </c>
      <c r="L253" s="384">
        <v>104.15</v>
      </c>
      <c r="M253" s="384">
        <v>7.08</v>
      </c>
      <c r="N253" s="384">
        <v>112.01</v>
      </c>
      <c r="O253" s="385">
        <v>4642</v>
      </c>
      <c r="P253" s="382">
        <v>92.13</v>
      </c>
      <c r="Q253" s="382">
        <v>89.69</v>
      </c>
      <c r="R253" s="382">
        <v>38.729999999999997</v>
      </c>
      <c r="S253" s="382">
        <v>129.59</v>
      </c>
      <c r="T253" s="382">
        <v>1639</v>
      </c>
      <c r="U253" s="382">
        <v>143.04</v>
      </c>
      <c r="V253" s="382">
        <v>771</v>
      </c>
      <c r="W253" s="382">
        <v>122.05</v>
      </c>
      <c r="X253" s="382">
        <v>2</v>
      </c>
      <c r="Y253" s="382">
        <v>82</v>
      </c>
      <c r="Z253" s="382">
        <v>3</v>
      </c>
      <c r="AA253" s="382">
        <v>13</v>
      </c>
      <c r="AB253" s="382">
        <v>10</v>
      </c>
      <c r="AC253" s="382">
        <v>43</v>
      </c>
      <c r="AD253" s="386">
        <v>5667</v>
      </c>
      <c r="AE253" s="386">
        <v>20</v>
      </c>
      <c r="AF253" s="386">
        <v>18</v>
      </c>
      <c r="AG253" s="386">
        <v>38</v>
      </c>
    </row>
    <row r="254" spans="1:33" x14ac:dyDescent="0.25">
      <c r="A254" s="381" t="s">
        <v>566</v>
      </c>
      <c r="B254" s="387" t="s">
        <v>567</v>
      </c>
      <c r="C254" s="383">
        <v>2796</v>
      </c>
      <c r="D254" s="383">
        <v>0</v>
      </c>
      <c r="E254" s="383">
        <v>461</v>
      </c>
      <c r="F254" s="383">
        <v>325</v>
      </c>
      <c r="G254" s="383">
        <v>331</v>
      </c>
      <c r="H254" s="383">
        <v>3913</v>
      </c>
      <c r="I254" s="382">
        <v>3582</v>
      </c>
      <c r="J254" s="382">
        <v>18</v>
      </c>
      <c r="K254" s="384">
        <v>98.57</v>
      </c>
      <c r="L254" s="384">
        <v>96.9</v>
      </c>
      <c r="M254" s="384">
        <v>10.99</v>
      </c>
      <c r="N254" s="384">
        <v>107.33</v>
      </c>
      <c r="O254" s="385">
        <v>2475</v>
      </c>
      <c r="P254" s="382">
        <v>90.46</v>
      </c>
      <c r="Q254" s="382">
        <v>86.67</v>
      </c>
      <c r="R254" s="382">
        <v>56.26</v>
      </c>
      <c r="S254" s="382">
        <v>144.37</v>
      </c>
      <c r="T254" s="382">
        <v>504</v>
      </c>
      <c r="U254" s="382">
        <v>149.05000000000001</v>
      </c>
      <c r="V254" s="382">
        <v>303</v>
      </c>
      <c r="W254" s="382">
        <v>0</v>
      </c>
      <c r="X254" s="382">
        <v>0</v>
      </c>
      <c r="Y254" s="382">
        <v>0</v>
      </c>
      <c r="Z254" s="382">
        <v>0</v>
      </c>
      <c r="AA254" s="382">
        <v>3</v>
      </c>
      <c r="AB254" s="382">
        <v>32</v>
      </c>
      <c r="AC254" s="382">
        <v>2</v>
      </c>
      <c r="AD254" s="386">
        <v>2796</v>
      </c>
      <c r="AE254" s="386">
        <v>11</v>
      </c>
      <c r="AF254" s="386">
        <v>23</v>
      </c>
      <c r="AG254" s="386">
        <v>34</v>
      </c>
    </row>
    <row r="255" spans="1:33" x14ac:dyDescent="0.25">
      <c r="A255" s="381" t="s">
        <v>568</v>
      </c>
      <c r="B255" s="387" t="s">
        <v>569</v>
      </c>
      <c r="C255" s="383">
        <v>14654</v>
      </c>
      <c r="D255" s="383">
        <v>261</v>
      </c>
      <c r="E255" s="383">
        <v>1551</v>
      </c>
      <c r="F255" s="383">
        <v>648</v>
      </c>
      <c r="G255" s="383">
        <v>2972</v>
      </c>
      <c r="H255" s="383">
        <v>20086</v>
      </c>
      <c r="I255" s="382">
        <v>17114</v>
      </c>
      <c r="J255" s="382">
        <v>253</v>
      </c>
      <c r="K255" s="384">
        <v>123.27</v>
      </c>
      <c r="L255" s="384">
        <v>124.19</v>
      </c>
      <c r="M255" s="384">
        <v>12.24</v>
      </c>
      <c r="N255" s="384">
        <v>132.51</v>
      </c>
      <c r="O255" s="385">
        <v>12197</v>
      </c>
      <c r="P255" s="382">
        <v>107.88</v>
      </c>
      <c r="Q255" s="382">
        <v>106.09</v>
      </c>
      <c r="R255" s="382">
        <v>66.03</v>
      </c>
      <c r="S255" s="382">
        <v>161.47</v>
      </c>
      <c r="T255" s="382">
        <v>2079</v>
      </c>
      <c r="U255" s="382">
        <v>198.36</v>
      </c>
      <c r="V255" s="382">
        <v>995</v>
      </c>
      <c r="W255" s="382">
        <v>187.65</v>
      </c>
      <c r="X255" s="382">
        <v>25</v>
      </c>
      <c r="Y255" s="382">
        <v>115</v>
      </c>
      <c r="Z255" s="382">
        <v>8</v>
      </c>
      <c r="AA255" s="382">
        <v>25</v>
      </c>
      <c r="AB255" s="382">
        <v>215</v>
      </c>
      <c r="AC255" s="382">
        <v>62</v>
      </c>
      <c r="AD255" s="386">
        <v>13864</v>
      </c>
      <c r="AE255" s="386">
        <v>19</v>
      </c>
      <c r="AF255" s="386">
        <v>75</v>
      </c>
      <c r="AG255" s="386">
        <v>94</v>
      </c>
    </row>
    <row r="256" spans="1:33" x14ac:dyDescent="0.25">
      <c r="A256" s="381" t="s">
        <v>570</v>
      </c>
      <c r="B256" s="387" t="s">
        <v>571</v>
      </c>
      <c r="C256" s="383">
        <v>4909</v>
      </c>
      <c r="D256" s="383">
        <v>0</v>
      </c>
      <c r="E256" s="383">
        <v>111</v>
      </c>
      <c r="F256" s="383">
        <v>338</v>
      </c>
      <c r="G256" s="383">
        <v>423</v>
      </c>
      <c r="H256" s="383">
        <v>5781</v>
      </c>
      <c r="I256" s="382">
        <v>5358</v>
      </c>
      <c r="J256" s="382">
        <v>1</v>
      </c>
      <c r="K256" s="384">
        <v>116.66</v>
      </c>
      <c r="L256" s="384">
        <v>111.61</v>
      </c>
      <c r="M256" s="384">
        <v>5.13</v>
      </c>
      <c r="N256" s="384">
        <v>121.24</v>
      </c>
      <c r="O256" s="385">
        <v>4777</v>
      </c>
      <c r="P256" s="382">
        <v>109.54</v>
      </c>
      <c r="Q256" s="382">
        <v>101.33</v>
      </c>
      <c r="R256" s="382">
        <v>67.599999999999994</v>
      </c>
      <c r="S256" s="382">
        <v>176.18</v>
      </c>
      <c r="T256" s="382">
        <v>353</v>
      </c>
      <c r="U256" s="382">
        <v>214.3</v>
      </c>
      <c r="V256" s="382">
        <v>156</v>
      </c>
      <c r="W256" s="382">
        <v>134.85</v>
      </c>
      <c r="X256" s="382">
        <v>4</v>
      </c>
      <c r="Y256" s="382">
        <v>0</v>
      </c>
      <c r="Z256" s="382">
        <v>2</v>
      </c>
      <c r="AA256" s="382">
        <v>2</v>
      </c>
      <c r="AB256" s="382">
        <v>8</v>
      </c>
      <c r="AC256" s="382">
        <v>16</v>
      </c>
      <c r="AD256" s="386">
        <v>4903</v>
      </c>
      <c r="AE256" s="386">
        <v>8</v>
      </c>
      <c r="AF256" s="386">
        <v>8</v>
      </c>
      <c r="AG256" s="386">
        <v>16</v>
      </c>
    </row>
    <row r="257" spans="1:33" x14ac:dyDescent="0.25">
      <c r="A257" s="381" t="s">
        <v>572</v>
      </c>
      <c r="B257" s="387" t="s">
        <v>573</v>
      </c>
      <c r="C257" s="383">
        <v>1957</v>
      </c>
      <c r="D257" s="383">
        <v>91</v>
      </c>
      <c r="E257" s="383">
        <v>249</v>
      </c>
      <c r="F257" s="383">
        <v>192</v>
      </c>
      <c r="G257" s="383">
        <v>217</v>
      </c>
      <c r="H257" s="383">
        <v>2706</v>
      </c>
      <c r="I257" s="382">
        <v>2489</v>
      </c>
      <c r="J257" s="382">
        <v>1</v>
      </c>
      <c r="K257" s="384">
        <v>122.44</v>
      </c>
      <c r="L257" s="384">
        <v>118.34</v>
      </c>
      <c r="M257" s="384">
        <v>6.33</v>
      </c>
      <c r="N257" s="384">
        <v>128.02000000000001</v>
      </c>
      <c r="O257" s="385">
        <v>1609</v>
      </c>
      <c r="P257" s="382">
        <v>113.61</v>
      </c>
      <c r="Q257" s="382">
        <v>103.57</v>
      </c>
      <c r="R257" s="382">
        <v>36.76</v>
      </c>
      <c r="S257" s="382">
        <v>148.94999999999999</v>
      </c>
      <c r="T257" s="382">
        <v>361</v>
      </c>
      <c r="U257" s="382">
        <v>184.93</v>
      </c>
      <c r="V257" s="382">
        <v>241</v>
      </c>
      <c r="W257" s="382">
        <v>187.72</v>
      </c>
      <c r="X257" s="382">
        <v>36</v>
      </c>
      <c r="Y257" s="382">
        <v>0</v>
      </c>
      <c r="Z257" s="382">
        <v>0</v>
      </c>
      <c r="AA257" s="382">
        <v>1</v>
      </c>
      <c r="AB257" s="382">
        <v>10</v>
      </c>
      <c r="AC257" s="382">
        <v>5</v>
      </c>
      <c r="AD257" s="386">
        <v>1952</v>
      </c>
      <c r="AE257" s="386">
        <v>28</v>
      </c>
      <c r="AF257" s="386">
        <v>6</v>
      </c>
      <c r="AG257" s="386">
        <v>34</v>
      </c>
    </row>
    <row r="258" spans="1:33" x14ac:dyDescent="0.25">
      <c r="A258" s="381" t="s">
        <v>574</v>
      </c>
      <c r="B258" s="387" t="s">
        <v>575</v>
      </c>
      <c r="C258" s="383">
        <v>14455</v>
      </c>
      <c r="D258" s="383">
        <v>0</v>
      </c>
      <c r="E258" s="383">
        <v>642</v>
      </c>
      <c r="F258" s="383">
        <v>2076</v>
      </c>
      <c r="G258" s="383">
        <v>463</v>
      </c>
      <c r="H258" s="383">
        <v>17636</v>
      </c>
      <c r="I258" s="382">
        <v>17173</v>
      </c>
      <c r="J258" s="382">
        <v>3</v>
      </c>
      <c r="K258" s="384">
        <v>89.02</v>
      </c>
      <c r="L258" s="384">
        <v>88.71</v>
      </c>
      <c r="M258" s="384">
        <v>1.83</v>
      </c>
      <c r="N258" s="384">
        <v>90.67</v>
      </c>
      <c r="O258" s="385">
        <v>13339</v>
      </c>
      <c r="P258" s="382">
        <v>91.84</v>
      </c>
      <c r="Q258" s="382">
        <v>84.67</v>
      </c>
      <c r="R258" s="382">
        <v>33.46</v>
      </c>
      <c r="S258" s="382">
        <v>124.88</v>
      </c>
      <c r="T258" s="382">
        <v>2521</v>
      </c>
      <c r="U258" s="382">
        <v>100.17</v>
      </c>
      <c r="V258" s="382">
        <v>1043</v>
      </c>
      <c r="W258" s="382">
        <v>107.42</v>
      </c>
      <c r="X258" s="382">
        <v>1</v>
      </c>
      <c r="Y258" s="382">
        <v>215</v>
      </c>
      <c r="Z258" s="382">
        <v>63</v>
      </c>
      <c r="AA258" s="382">
        <v>49</v>
      </c>
      <c r="AB258" s="382">
        <v>0</v>
      </c>
      <c r="AC258" s="382">
        <v>5</v>
      </c>
      <c r="AD258" s="386">
        <v>14409</v>
      </c>
      <c r="AE258" s="386">
        <v>138</v>
      </c>
      <c r="AF258" s="386">
        <v>107</v>
      </c>
      <c r="AG258" s="386">
        <v>245</v>
      </c>
    </row>
    <row r="259" spans="1:33" x14ac:dyDescent="0.25">
      <c r="A259" s="381" t="s">
        <v>576</v>
      </c>
      <c r="B259" s="387" t="s">
        <v>577</v>
      </c>
      <c r="C259" s="383">
        <v>6196</v>
      </c>
      <c r="D259" s="383">
        <v>1</v>
      </c>
      <c r="E259" s="383">
        <v>271</v>
      </c>
      <c r="F259" s="383">
        <v>1677</v>
      </c>
      <c r="G259" s="383">
        <v>359</v>
      </c>
      <c r="H259" s="383">
        <v>8504</v>
      </c>
      <c r="I259" s="382">
        <v>8145</v>
      </c>
      <c r="J259" s="382">
        <v>3</v>
      </c>
      <c r="K259" s="384">
        <v>83.73</v>
      </c>
      <c r="L259" s="384">
        <v>82.09</v>
      </c>
      <c r="M259" s="384">
        <v>4.37</v>
      </c>
      <c r="N259" s="384">
        <v>86.28</v>
      </c>
      <c r="O259" s="385">
        <v>5659</v>
      </c>
      <c r="P259" s="382">
        <v>79.459999999999994</v>
      </c>
      <c r="Q259" s="382">
        <v>78.38</v>
      </c>
      <c r="R259" s="382">
        <v>19.190000000000001</v>
      </c>
      <c r="S259" s="382">
        <v>98.07</v>
      </c>
      <c r="T259" s="382">
        <v>1780</v>
      </c>
      <c r="U259" s="382">
        <v>102.73</v>
      </c>
      <c r="V259" s="382">
        <v>533</v>
      </c>
      <c r="W259" s="382">
        <v>156.41</v>
      </c>
      <c r="X259" s="382">
        <v>132</v>
      </c>
      <c r="Y259" s="382">
        <v>0</v>
      </c>
      <c r="Z259" s="382">
        <v>23</v>
      </c>
      <c r="AA259" s="382">
        <v>0</v>
      </c>
      <c r="AB259" s="382">
        <v>41</v>
      </c>
      <c r="AC259" s="382">
        <v>16</v>
      </c>
      <c r="AD259" s="386">
        <v>6196</v>
      </c>
      <c r="AE259" s="386">
        <v>17</v>
      </c>
      <c r="AF259" s="386">
        <v>28</v>
      </c>
      <c r="AG259" s="386">
        <v>45</v>
      </c>
    </row>
    <row r="260" spans="1:33" x14ac:dyDescent="0.25">
      <c r="A260" s="381" t="s">
        <v>578</v>
      </c>
      <c r="B260" s="387" t="s">
        <v>579</v>
      </c>
      <c r="C260" s="383">
        <v>2700</v>
      </c>
      <c r="D260" s="383">
        <v>2</v>
      </c>
      <c r="E260" s="383">
        <v>134</v>
      </c>
      <c r="F260" s="383">
        <v>949</v>
      </c>
      <c r="G260" s="383">
        <v>69</v>
      </c>
      <c r="H260" s="383">
        <v>3854</v>
      </c>
      <c r="I260" s="382">
        <v>3785</v>
      </c>
      <c r="J260" s="382">
        <v>0</v>
      </c>
      <c r="K260" s="384">
        <v>86.19</v>
      </c>
      <c r="L260" s="384">
        <v>82.81</v>
      </c>
      <c r="M260" s="384">
        <v>5.86</v>
      </c>
      <c r="N260" s="384">
        <v>87.7</v>
      </c>
      <c r="O260" s="385">
        <v>2442</v>
      </c>
      <c r="P260" s="382">
        <v>83.19</v>
      </c>
      <c r="Q260" s="382">
        <v>76.930000000000007</v>
      </c>
      <c r="R260" s="382">
        <v>21.05</v>
      </c>
      <c r="S260" s="382">
        <v>103.64</v>
      </c>
      <c r="T260" s="382">
        <v>985</v>
      </c>
      <c r="U260" s="382">
        <v>97.97</v>
      </c>
      <c r="V260" s="382">
        <v>202</v>
      </c>
      <c r="W260" s="382">
        <v>194.47</v>
      </c>
      <c r="X260" s="382">
        <v>74</v>
      </c>
      <c r="Y260" s="382">
        <v>0</v>
      </c>
      <c r="Z260" s="382">
        <v>19</v>
      </c>
      <c r="AA260" s="382">
        <v>8</v>
      </c>
      <c r="AB260" s="382">
        <v>5</v>
      </c>
      <c r="AC260" s="382">
        <v>2</v>
      </c>
      <c r="AD260" s="386">
        <v>2539</v>
      </c>
      <c r="AE260" s="386">
        <v>12</v>
      </c>
      <c r="AF260" s="386">
        <v>3</v>
      </c>
      <c r="AG260" s="386">
        <v>15</v>
      </c>
    </row>
    <row r="261" spans="1:33" x14ac:dyDescent="0.25">
      <c r="A261" s="381" t="s">
        <v>580</v>
      </c>
      <c r="B261" s="387" t="s">
        <v>581</v>
      </c>
      <c r="C261" s="383">
        <v>1668</v>
      </c>
      <c r="D261" s="383">
        <v>3</v>
      </c>
      <c r="E261" s="383">
        <v>166</v>
      </c>
      <c r="F261" s="383">
        <v>313</v>
      </c>
      <c r="G261" s="383">
        <v>406</v>
      </c>
      <c r="H261" s="383">
        <v>2556</v>
      </c>
      <c r="I261" s="382">
        <v>2150</v>
      </c>
      <c r="J261" s="382">
        <v>0</v>
      </c>
      <c r="K261" s="384">
        <v>116</v>
      </c>
      <c r="L261" s="384">
        <v>112.52</v>
      </c>
      <c r="M261" s="384">
        <v>7.09</v>
      </c>
      <c r="N261" s="384">
        <v>122.36</v>
      </c>
      <c r="O261" s="385">
        <v>1382</v>
      </c>
      <c r="P261" s="382">
        <v>102.78</v>
      </c>
      <c r="Q261" s="382">
        <v>89.96</v>
      </c>
      <c r="R261" s="382">
        <v>35.79</v>
      </c>
      <c r="S261" s="382">
        <v>138.57</v>
      </c>
      <c r="T261" s="382">
        <v>402</v>
      </c>
      <c r="U261" s="382">
        <v>134.04</v>
      </c>
      <c r="V261" s="382">
        <v>137</v>
      </c>
      <c r="W261" s="382">
        <v>0</v>
      </c>
      <c r="X261" s="382">
        <v>0</v>
      </c>
      <c r="Y261" s="382">
        <v>0</v>
      </c>
      <c r="Z261" s="382">
        <v>0</v>
      </c>
      <c r="AA261" s="382">
        <v>0</v>
      </c>
      <c r="AB261" s="382">
        <v>8</v>
      </c>
      <c r="AC261" s="382">
        <v>6</v>
      </c>
      <c r="AD261" s="386">
        <v>1541</v>
      </c>
      <c r="AE261" s="386">
        <v>7</v>
      </c>
      <c r="AF261" s="386">
        <v>1</v>
      </c>
      <c r="AG261" s="386">
        <v>8</v>
      </c>
    </row>
    <row r="262" spans="1:33" x14ac:dyDescent="0.25">
      <c r="A262" s="381" t="s">
        <v>582</v>
      </c>
      <c r="B262" s="387" t="s">
        <v>583</v>
      </c>
      <c r="C262" s="383">
        <v>4436</v>
      </c>
      <c r="D262" s="383">
        <v>4</v>
      </c>
      <c r="E262" s="383">
        <v>410</v>
      </c>
      <c r="F262" s="383">
        <v>1377</v>
      </c>
      <c r="G262" s="383">
        <v>1123</v>
      </c>
      <c r="H262" s="383">
        <v>7350</v>
      </c>
      <c r="I262" s="382">
        <v>6227</v>
      </c>
      <c r="J262" s="382">
        <v>40</v>
      </c>
      <c r="K262" s="384">
        <v>83.63</v>
      </c>
      <c r="L262" s="384">
        <v>82.42</v>
      </c>
      <c r="M262" s="384">
        <v>7.75</v>
      </c>
      <c r="N262" s="384">
        <v>87.93</v>
      </c>
      <c r="O262" s="385">
        <v>3832</v>
      </c>
      <c r="P262" s="382">
        <v>83.12</v>
      </c>
      <c r="Q262" s="382">
        <v>77.400000000000006</v>
      </c>
      <c r="R262" s="382">
        <v>28.39</v>
      </c>
      <c r="S262" s="382">
        <v>110.78</v>
      </c>
      <c r="T262" s="382">
        <v>1675</v>
      </c>
      <c r="U262" s="382">
        <v>109.17</v>
      </c>
      <c r="V262" s="382">
        <v>436</v>
      </c>
      <c r="W262" s="382">
        <v>148.25</v>
      </c>
      <c r="X262" s="382">
        <v>64</v>
      </c>
      <c r="Y262" s="382">
        <v>29</v>
      </c>
      <c r="Z262" s="382">
        <v>13</v>
      </c>
      <c r="AA262" s="382">
        <v>0</v>
      </c>
      <c r="AB262" s="382">
        <v>45</v>
      </c>
      <c r="AC262" s="382">
        <v>13</v>
      </c>
      <c r="AD262" s="386">
        <v>4211</v>
      </c>
      <c r="AE262" s="386">
        <v>30</v>
      </c>
      <c r="AF262" s="386">
        <v>4</v>
      </c>
      <c r="AG262" s="386">
        <v>34</v>
      </c>
    </row>
    <row r="263" spans="1:33" x14ac:dyDescent="0.25">
      <c r="A263" s="381" t="s">
        <v>584</v>
      </c>
      <c r="B263" s="387" t="s">
        <v>585</v>
      </c>
      <c r="C263" s="383">
        <v>12799</v>
      </c>
      <c r="D263" s="383">
        <v>4</v>
      </c>
      <c r="E263" s="383">
        <v>330</v>
      </c>
      <c r="F263" s="383">
        <v>811</v>
      </c>
      <c r="G263" s="383">
        <v>200</v>
      </c>
      <c r="H263" s="383">
        <v>14144</v>
      </c>
      <c r="I263" s="382">
        <v>13944</v>
      </c>
      <c r="J263" s="382">
        <v>6</v>
      </c>
      <c r="K263" s="384">
        <v>81.260000000000005</v>
      </c>
      <c r="L263" s="384">
        <v>80.709999999999994</v>
      </c>
      <c r="M263" s="384">
        <v>10.73</v>
      </c>
      <c r="N263" s="384">
        <v>84.22</v>
      </c>
      <c r="O263" s="385">
        <v>11102</v>
      </c>
      <c r="P263" s="382">
        <v>84.8</v>
      </c>
      <c r="Q263" s="382">
        <v>77.19</v>
      </c>
      <c r="R263" s="382">
        <v>47.44</v>
      </c>
      <c r="S263" s="382">
        <v>130.54</v>
      </c>
      <c r="T263" s="382">
        <v>1060</v>
      </c>
      <c r="U263" s="382">
        <v>97.82</v>
      </c>
      <c r="V263" s="382">
        <v>1600</v>
      </c>
      <c r="W263" s="382">
        <v>167.71</v>
      </c>
      <c r="X263" s="382">
        <v>56</v>
      </c>
      <c r="Y263" s="382">
        <v>0</v>
      </c>
      <c r="Z263" s="382">
        <v>39</v>
      </c>
      <c r="AA263" s="382">
        <v>2</v>
      </c>
      <c r="AB263" s="382">
        <v>26</v>
      </c>
      <c r="AC263" s="382">
        <v>0</v>
      </c>
      <c r="AD263" s="386">
        <v>12769</v>
      </c>
      <c r="AE263" s="386">
        <v>133</v>
      </c>
      <c r="AF263" s="386">
        <v>144</v>
      </c>
      <c r="AG263" s="386">
        <v>277</v>
      </c>
    </row>
    <row r="264" spans="1:33" x14ac:dyDescent="0.25">
      <c r="A264" s="381" t="s">
        <v>586</v>
      </c>
      <c r="B264" s="387" t="s">
        <v>587</v>
      </c>
      <c r="C264" s="383">
        <v>5909</v>
      </c>
      <c r="D264" s="383">
        <v>14</v>
      </c>
      <c r="E264" s="383">
        <v>743</v>
      </c>
      <c r="F264" s="383">
        <v>1492</v>
      </c>
      <c r="G264" s="383">
        <v>260</v>
      </c>
      <c r="H264" s="383">
        <v>8418</v>
      </c>
      <c r="I264" s="382">
        <v>8158</v>
      </c>
      <c r="J264" s="382">
        <v>11</v>
      </c>
      <c r="K264" s="384">
        <v>77.61</v>
      </c>
      <c r="L264" s="384">
        <v>75.34</v>
      </c>
      <c r="M264" s="384">
        <v>4.6900000000000004</v>
      </c>
      <c r="N264" s="384">
        <v>80.849999999999994</v>
      </c>
      <c r="O264" s="385">
        <v>4878</v>
      </c>
      <c r="P264" s="382">
        <v>93.51</v>
      </c>
      <c r="Q264" s="382">
        <v>79.34</v>
      </c>
      <c r="R264" s="382">
        <v>55.84</v>
      </c>
      <c r="S264" s="382">
        <v>148.85</v>
      </c>
      <c r="T264" s="382">
        <v>1799</v>
      </c>
      <c r="U264" s="382">
        <v>92.2</v>
      </c>
      <c r="V264" s="382">
        <v>493</v>
      </c>
      <c r="W264" s="382">
        <v>184.33</v>
      </c>
      <c r="X264" s="382">
        <v>129</v>
      </c>
      <c r="Y264" s="382">
        <v>6</v>
      </c>
      <c r="Z264" s="382">
        <v>4</v>
      </c>
      <c r="AA264" s="382">
        <v>38</v>
      </c>
      <c r="AB264" s="382">
        <v>3</v>
      </c>
      <c r="AC264" s="382">
        <v>8</v>
      </c>
      <c r="AD264" s="386">
        <v>5346</v>
      </c>
      <c r="AE264" s="386">
        <v>36</v>
      </c>
      <c r="AF264" s="386">
        <v>41</v>
      </c>
      <c r="AG264" s="386">
        <v>77</v>
      </c>
    </row>
    <row r="265" spans="1:33" x14ac:dyDescent="0.25">
      <c r="A265" s="381" t="s">
        <v>588</v>
      </c>
      <c r="B265" s="387" t="s">
        <v>589</v>
      </c>
      <c r="C265" s="383">
        <v>6753</v>
      </c>
      <c r="D265" s="383">
        <v>2</v>
      </c>
      <c r="E265" s="383">
        <v>110</v>
      </c>
      <c r="F265" s="383">
        <v>661</v>
      </c>
      <c r="G265" s="383">
        <v>675</v>
      </c>
      <c r="H265" s="383">
        <v>8201</v>
      </c>
      <c r="I265" s="382">
        <v>7526</v>
      </c>
      <c r="J265" s="382">
        <v>36</v>
      </c>
      <c r="K265" s="384">
        <v>105.15</v>
      </c>
      <c r="L265" s="384">
        <v>99.37</v>
      </c>
      <c r="M265" s="384">
        <v>4.8</v>
      </c>
      <c r="N265" s="384">
        <v>106.92</v>
      </c>
      <c r="O265" s="385">
        <v>6206</v>
      </c>
      <c r="P265" s="382">
        <v>89</v>
      </c>
      <c r="Q265" s="382">
        <v>88.67</v>
      </c>
      <c r="R265" s="382">
        <v>29.61</v>
      </c>
      <c r="S265" s="382">
        <v>118.18</v>
      </c>
      <c r="T265" s="382">
        <v>677</v>
      </c>
      <c r="U265" s="382">
        <v>132.82</v>
      </c>
      <c r="V265" s="382">
        <v>200</v>
      </c>
      <c r="W265" s="382">
        <v>162.57</v>
      </c>
      <c r="X265" s="382">
        <v>11</v>
      </c>
      <c r="Y265" s="382">
        <v>0</v>
      </c>
      <c r="Z265" s="382">
        <v>9</v>
      </c>
      <c r="AA265" s="382">
        <v>37</v>
      </c>
      <c r="AB265" s="382">
        <v>106</v>
      </c>
      <c r="AC265" s="382">
        <v>23</v>
      </c>
      <c r="AD265" s="386">
        <v>6383</v>
      </c>
      <c r="AE265" s="386">
        <v>26</v>
      </c>
      <c r="AF265" s="386">
        <v>46</v>
      </c>
      <c r="AG265" s="386">
        <v>72</v>
      </c>
    </row>
    <row r="266" spans="1:33" x14ac:dyDescent="0.25">
      <c r="A266" s="381" t="s">
        <v>590</v>
      </c>
      <c r="B266" s="387" t="s">
        <v>591</v>
      </c>
      <c r="C266" s="383">
        <v>1444</v>
      </c>
      <c r="D266" s="383">
        <v>0</v>
      </c>
      <c r="E266" s="383">
        <v>150</v>
      </c>
      <c r="F266" s="383">
        <v>146</v>
      </c>
      <c r="G266" s="383">
        <v>315</v>
      </c>
      <c r="H266" s="383">
        <v>2055</v>
      </c>
      <c r="I266" s="382">
        <v>1740</v>
      </c>
      <c r="J266" s="382">
        <v>0</v>
      </c>
      <c r="K266" s="384">
        <v>98.95</v>
      </c>
      <c r="L266" s="384">
        <v>90.03</v>
      </c>
      <c r="M266" s="384">
        <v>4.7699999999999996</v>
      </c>
      <c r="N266" s="384">
        <v>102.78</v>
      </c>
      <c r="O266" s="385">
        <v>1026</v>
      </c>
      <c r="P266" s="382">
        <v>104.37</v>
      </c>
      <c r="Q266" s="382">
        <v>77.45</v>
      </c>
      <c r="R266" s="382">
        <v>44.01</v>
      </c>
      <c r="S266" s="382">
        <v>143.93</v>
      </c>
      <c r="T266" s="382">
        <v>267</v>
      </c>
      <c r="U266" s="382">
        <v>118.91</v>
      </c>
      <c r="V266" s="382">
        <v>333</v>
      </c>
      <c r="W266" s="382">
        <v>0</v>
      </c>
      <c r="X266" s="382">
        <v>0</v>
      </c>
      <c r="Y266" s="382">
        <v>2</v>
      </c>
      <c r="Z266" s="382">
        <v>0</v>
      </c>
      <c r="AA266" s="382">
        <v>12</v>
      </c>
      <c r="AB266" s="382">
        <v>21</v>
      </c>
      <c r="AC266" s="382">
        <v>9</v>
      </c>
      <c r="AD266" s="386">
        <v>1372</v>
      </c>
      <c r="AE266" s="386">
        <v>13</v>
      </c>
      <c r="AF266" s="386">
        <v>1</v>
      </c>
      <c r="AG266" s="386">
        <v>14</v>
      </c>
    </row>
    <row r="267" spans="1:33" x14ac:dyDescent="0.25">
      <c r="A267" s="381" t="s">
        <v>592</v>
      </c>
      <c r="B267" s="387" t="s">
        <v>593</v>
      </c>
      <c r="C267" s="383">
        <v>31717</v>
      </c>
      <c r="D267" s="383">
        <v>38</v>
      </c>
      <c r="E267" s="383">
        <v>509</v>
      </c>
      <c r="F267" s="383">
        <v>2000</v>
      </c>
      <c r="G267" s="383">
        <v>275</v>
      </c>
      <c r="H267" s="383">
        <v>34539</v>
      </c>
      <c r="I267" s="382">
        <v>34264</v>
      </c>
      <c r="J267" s="382">
        <v>773</v>
      </c>
      <c r="K267" s="384">
        <v>79.61</v>
      </c>
      <c r="L267" s="384">
        <v>79.7</v>
      </c>
      <c r="M267" s="384">
        <v>6.95</v>
      </c>
      <c r="N267" s="384">
        <v>80.94</v>
      </c>
      <c r="O267" s="385">
        <v>29599</v>
      </c>
      <c r="P267" s="382">
        <v>84.08</v>
      </c>
      <c r="Q267" s="382">
        <v>77.77</v>
      </c>
      <c r="R267" s="382">
        <v>37.96</v>
      </c>
      <c r="S267" s="382">
        <v>120.42</v>
      </c>
      <c r="T267" s="382">
        <v>2024</v>
      </c>
      <c r="U267" s="382">
        <v>97.56</v>
      </c>
      <c r="V267" s="382">
        <v>1788</v>
      </c>
      <c r="W267" s="382">
        <v>167.7</v>
      </c>
      <c r="X267" s="382">
        <v>434</v>
      </c>
      <c r="Y267" s="382">
        <v>0</v>
      </c>
      <c r="Z267" s="382">
        <v>162</v>
      </c>
      <c r="AA267" s="382">
        <v>32</v>
      </c>
      <c r="AB267" s="382">
        <v>5</v>
      </c>
      <c r="AC267" s="382">
        <v>11</v>
      </c>
      <c r="AD267" s="386">
        <v>31415</v>
      </c>
      <c r="AE267" s="386">
        <v>362</v>
      </c>
      <c r="AF267" s="386">
        <v>66</v>
      </c>
      <c r="AG267" s="386">
        <v>428</v>
      </c>
    </row>
    <row r="268" spans="1:33" x14ac:dyDescent="0.25">
      <c r="A268" s="381" t="s">
        <v>594</v>
      </c>
      <c r="B268" s="387" t="s">
        <v>595</v>
      </c>
      <c r="C268" s="383">
        <v>3018</v>
      </c>
      <c r="D268" s="383">
        <v>1</v>
      </c>
      <c r="E268" s="383">
        <v>152</v>
      </c>
      <c r="F268" s="383">
        <v>307</v>
      </c>
      <c r="G268" s="383">
        <v>258</v>
      </c>
      <c r="H268" s="383">
        <v>3736</v>
      </c>
      <c r="I268" s="382">
        <v>3478</v>
      </c>
      <c r="J268" s="382">
        <v>176</v>
      </c>
      <c r="K268" s="384">
        <v>112.37</v>
      </c>
      <c r="L268" s="384">
        <v>109.21</v>
      </c>
      <c r="M268" s="384">
        <v>6.39</v>
      </c>
      <c r="N268" s="384">
        <v>115.74</v>
      </c>
      <c r="O268" s="385">
        <v>2981</v>
      </c>
      <c r="P268" s="382">
        <v>113.98</v>
      </c>
      <c r="Q268" s="382">
        <v>88.71</v>
      </c>
      <c r="R268" s="382">
        <v>34.07</v>
      </c>
      <c r="S268" s="382">
        <v>147.72999999999999</v>
      </c>
      <c r="T268" s="382">
        <v>429</v>
      </c>
      <c r="U268" s="382">
        <v>229.31</v>
      </c>
      <c r="V268" s="382">
        <v>35</v>
      </c>
      <c r="W268" s="382">
        <v>0</v>
      </c>
      <c r="X268" s="382">
        <v>0</v>
      </c>
      <c r="Y268" s="382">
        <v>0</v>
      </c>
      <c r="Z268" s="382">
        <v>0</v>
      </c>
      <c r="AA268" s="382">
        <v>0</v>
      </c>
      <c r="AB268" s="382">
        <v>12</v>
      </c>
      <c r="AC268" s="382">
        <v>14</v>
      </c>
      <c r="AD268" s="386">
        <v>3018</v>
      </c>
      <c r="AE268" s="386">
        <v>18</v>
      </c>
      <c r="AF268" s="386">
        <v>2</v>
      </c>
      <c r="AG268" s="386">
        <v>20</v>
      </c>
    </row>
    <row r="269" spans="1:33" x14ac:dyDescent="0.25">
      <c r="A269" s="381" t="s">
        <v>596</v>
      </c>
      <c r="B269" s="387" t="s">
        <v>597</v>
      </c>
      <c r="C269" s="383">
        <v>4614</v>
      </c>
      <c r="D269" s="383">
        <v>0</v>
      </c>
      <c r="E269" s="383">
        <v>396</v>
      </c>
      <c r="F269" s="383">
        <v>901</v>
      </c>
      <c r="G269" s="383">
        <v>671</v>
      </c>
      <c r="H269" s="383">
        <v>6582</v>
      </c>
      <c r="I269" s="382">
        <v>5911</v>
      </c>
      <c r="J269" s="382">
        <v>58</v>
      </c>
      <c r="K269" s="384">
        <v>117.93</v>
      </c>
      <c r="L269" s="384">
        <v>117.45</v>
      </c>
      <c r="M269" s="384">
        <v>7.71</v>
      </c>
      <c r="N269" s="384">
        <v>124.94</v>
      </c>
      <c r="O269" s="385">
        <v>4102</v>
      </c>
      <c r="P269" s="382">
        <v>112.65</v>
      </c>
      <c r="Q269" s="382">
        <v>104.43</v>
      </c>
      <c r="R269" s="382">
        <v>43.82</v>
      </c>
      <c r="S269" s="382">
        <v>151.97999999999999</v>
      </c>
      <c r="T269" s="382">
        <v>761</v>
      </c>
      <c r="U269" s="382">
        <v>178.84</v>
      </c>
      <c r="V269" s="382">
        <v>330</v>
      </c>
      <c r="W269" s="382">
        <v>216.98</v>
      </c>
      <c r="X269" s="382">
        <v>90</v>
      </c>
      <c r="Y269" s="382">
        <v>0</v>
      </c>
      <c r="Z269" s="382">
        <v>6</v>
      </c>
      <c r="AA269" s="382">
        <v>1</v>
      </c>
      <c r="AB269" s="382">
        <v>102</v>
      </c>
      <c r="AC269" s="382">
        <v>18</v>
      </c>
      <c r="AD269" s="386">
        <v>4452</v>
      </c>
      <c r="AE269" s="386">
        <v>13</v>
      </c>
      <c r="AF269" s="386">
        <v>14</v>
      </c>
      <c r="AG269" s="386">
        <v>27</v>
      </c>
    </row>
    <row r="270" spans="1:33" x14ac:dyDescent="0.25">
      <c r="A270" s="381" t="s">
        <v>598</v>
      </c>
      <c r="B270" s="387" t="s">
        <v>599</v>
      </c>
      <c r="C270" s="383">
        <v>7648</v>
      </c>
      <c r="D270" s="383">
        <v>0</v>
      </c>
      <c r="E270" s="383">
        <v>287</v>
      </c>
      <c r="F270" s="383">
        <v>438</v>
      </c>
      <c r="G270" s="383">
        <v>617</v>
      </c>
      <c r="H270" s="383">
        <v>8990</v>
      </c>
      <c r="I270" s="382">
        <v>8373</v>
      </c>
      <c r="J270" s="382">
        <v>4</v>
      </c>
      <c r="K270" s="384">
        <v>98.39</v>
      </c>
      <c r="L270" s="384">
        <v>97.7</v>
      </c>
      <c r="M270" s="384">
        <v>5.52</v>
      </c>
      <c r="N270" s="384">
        <v>100.92</v>
      </c>
      <c r="O270" s="385">
        <v>6523</v>
      </c>
      <c r="P270" s="382">
        <v>88.2</v>
      </c>
      <c r="Q270" s="382">
        <v>82.82</v>
      </c>
      <c r="R270" s="382">
        <v>47.49</v>
      </c>
      <c r="S270" s="382">
        <v>135.55000000000001</v>
      </c>
      <c r="T270" s="382">
        <v>655</v>
      </c>
      <c r="U270" s="382">
        <v>127.23</v>
      </c>
      <c r="V270" s="382">
        <v>1014</v>
      </c>
      <c r="W270" s="382">
        <v>0</v>
      </c>
      <c r="X270" s="382">
        <v>0</v>
      </c>
      <c r="Y270" s="382">
        <v>0</v>
      </c>
      <c r="Z270" s="382">
        <v>6</v>
      </c>
      <c r="AA270" s="382">
        <v>9</v>
      </c>
      <c r="AB270" s="382">
        <v>61</v>
      </c>
      <c r="AC270" s="382">
        <v>14</v>
      </c>
      <c r="AD270" s="386">
        <v>7559</v>
      </c>
      <c r="AE270" s="386">
        <v>20</v>
      </c>
      <c r="AF270" s="386">
        <v>19</v>
      </c>
      <c r="AG270" s="386">
        <v>39</v>
      </c>
    </row>
    <row r="271" spans="1:33" x14ac:dyDescent="0.25">
      <c r="A271" s="381" t="s">
        <v>600</v>
      </c>
      <c r="B271" s="387" t="s">
        <v>601</v>
      </c>
      <c r="C271" s="383">
        <v>3912</v>
      </c>
      <c r="D271" s="383">
        <v>12</v>
      </c>
      <c r="E271" s="383">
        <v>509</v>
      </c>
      <c r="F271" s="383">
        <v>804</v>
      </c>
      <c r="G271" s="383">
        <v>991</v>
      </c>
      <c r="H271" s="383">
        <v>6228</v>
      </c>
      <c r="I271" s="382">
        <v>5237</v>
      </c>
      <c r="J271" s="382">
        <v>0</v>
      </c>
      <c r="K271" s="384">
        <v>96.92</v>
      </c>
      <c r="L271" s="384">
        <v>93.41</v>
      </c>
      <c r="M271" s="384">
        <v>7.84</v>
      </c>
      <c r="N271" s="384">
        <v>103.07</v>
      </c>
      <c r="O271" s="385">
        <v>3151</v>
      </c>
      <c r="P271" s="382">
        <v>83.83</v>
      </c>
      <c r="Q271" s="382">
        <v>80.5</v>
      </c>
      <c r="R271" s="382">
        <v>45.98</v>
      </c>
      <c r="S271" s="382">
        <v>128.06</v>
      </c>
      <c r="T271" s="382">
        <v>1185</v>
      </c>
      <c r="U271" s="382">
        <v>127.3</v>
      </c>
      <c r="V271" s="382">
        <v>516</v>
      </c>
      <c r="W271" s="382">
        <v>169.77</v>
      </c>
      <c r="X271" s="382">
        <v>79</v>
      </c>
      <c r="Y271" s="382">
        <v>25</v>
      </c>
      <c r="Z271" s="382">
        <v>2</v>
      </c>
      <c r="AA271" s="382">
        <v>2</v>
      </c>
      <c r="AB271" s="382">
        <v>57</v>
      </c>
      <c r="AC271" s="382">
        <v>32</v>
      </c>
      <c r="AD271" s="386">
        <v>3795</v>
      </c>
      <c r="AE271" s="386">
        <v>22</v>
      </c>
      <c r="AF271" s="386">
        <v>8</v>
      </c>
      <c r="AG271" s="386">
        <v>30</v>
      </c>
    </row>
    <row r="272" spans="1:33" x14ac:dyDescent="0.25">
      <c r="A272" s="381" t="s">
        <v>602</v>
      </c>
      <c r="B272" s="387" t="s">
        <v>603</v>
      </c>
      <c r="C272" s="383">
        <v>20123</v>
      </c>
      <c r="D272" s="383">
        <v>0</v>
      </c>
      <c r="E272" s="383">
        <v>551</v>
      </c>
      <c r="F272" s="383">
        <v>1576</v>
      </c>
      <c r="G272" s="383">
        <v>174</v>
      </c>
      <c r="H272" s="383">
        <v>22424</v>
      </c>
      <c r="I272" s="382">
        <v>22250</v>
      </c>
      <c r="J272" s="382">
        <v>24</v>
      </c>
      <c r="K272" s="384">
        <v>82.34</v>
      </c>
      <c r="L272" s="384">
        <v>79.47</v>
      </c>
      <c r="M272" s="384">
        <v>3.49</v>
      </c>
      <c r="N272" s="384">
        <v>85.51</v>
      </c>
      <c r="O272" s="385">
        <v>16968</v>
      </c>
      <c r="P272" s="382">
        <v>81.680000000000007</v>
      </c>
      <c r="Q272" s="382">
        <v>72.58</v>
      </c>
      <c r="R272" s="382">
        <v>33.76</v>
      </c>
      <c r="S272" s="382">
        <v>112.7</v>
      </c>
      <c r="T272" s="382">
        <v>1970</v>
      </c>
      <c r="U272" s="382">
        <v>104.02</v>
      </c>
      <c r="V272" s="382">
        <v>2088</v>
      </c>
      <c r="W272" s="382">
        <v>107.7</v>
      </c>
      <c r="X272" s="382">
        <v>22</v>
      </c>
      <c r="Y272" s="382">
        <v>76</v>
      </c>
      <c r="Z272" s="382">
        <v>49</v>
      </c>
      <c r="AA272" s="382">
        <v>11</v>
      </c>
      <c r="AB272" s="382">
        <v>0</v>
      </c>
      <c r="AC272" s="382">
        <v>6</v>
      </c>
      <c r="AD272" s="386">
        <v>19084</v>
      </c>
      <c r="AE272" s="386">
        <v>60</v>
      </c>
      <c r="AF272" s="386">
        <v>67</v>
      </c>
      <c r="AG272" s="386">
        <v>127</v>
      </c>
    </row>
    <row r="273" spans="1:33" x14ac:dyDescent="0.25">
      <c r="A273" s="381" t="s">
        <v>604</v>
      </c>
      <c r="B273" s="387" t="s">
        <v>605</v>
      </c>
      <c r="C273" s="383">
        <v>1470</v>
      </c>
      <c r="D273" s="383">
        <v>0</v>
      </c>
      <c r="E273" s="383">
        <v>126</v>
      </c>
      <c r="F273" s="383">
        <v>109</v>
      </c>
      <c r="G273" s="383">
        <v>142</v>
      </c>
      <c r="H273" s="383">
        <v>1847</v>
      </c>
      <c r="I273" s="382">
        <v>1705</v>
      </c>
      <c r="J273" s="382">
        <v>0</v>
      </c>
      <c r="K273" s="384">
        <v>89.83</v>
      </c>
      <c r="L273" s="384">
        <v>81.81</v>
      </c>
      <c r="M273" s="384">
        <v>5.45</v>
      </c>
      <c r="N273" s="384">
        <v>94.23</v>
      </c>
      <c r="O273" s="385">
        <v>1232</v>
      </c>
      <c r="P273" s="382">
        <v>83.21</v>
      </c>
      <c r="Q273" s="382">
        <v>78.099999999999994</v>
      </c>
      <c r="R273" s="382">
        <v>30.04</v>
      </c>
      <c r="S273" s="382">
        <v>112.65</v>
      </c>
      <c r="T273" s="382">
        <v>201</v>
      </c>
      <c r="U273" s="382">
        <v>107.8</v>
      </c>
      <c r="V273" s="382">
        <v>222</v>
      </c>
      <c r="W273" s="382">
        <v>0</v>
      </c>
      <c r="X273" s="382">
        <v>0</v>
      </c>
      <c r="Y273" s="382">
        <v>0</v>
      </c>
      <c r="Z273" s="382">
        <v>0</v>
      </c>
      <c r="AA273" s="382">
        <v>0</v>
      </c>
      <c r="AB273" s="382">
        <v>29</v>
      </c>
      <c r="AC273" s="382">
        <v>8</v>
      </c>
      <c r="AD273" s="386">
        <v>1470</v>
      </c>
      <c r="AE273" s="386">
        <v>18</v>
      </c>
      <c r="AF273" s="386">
        <v>2</v>
      </c>
      <c r="AG273" s="386">
        <v>20</v>
      </c>
    </row>
    <row r="274" spans="1:33" x14ac:dyDescent="0.25">
      <c r="A274" s="381" t="s">
        <v>606</v>
      </c>
      <c r="B274" s="387" t="s">
        <v>607</v>
      </c>
      <c r="C274" s="383">
        <v>1063</v>
      </c>
      <c r="D274" s="383">
        <v>0</v>
      </c>
      <c r="E274" s="383">
        <v>116</v>
      </c>
      <c r="F274" s="383">
        <v>103</v>
      </c>
      <c r="G274" s="383">
        <v>234</v>
      </c>
      <c r="H274" s="383">
        <v>1516</v>
      </c>
      <c r="I274" s="382">
        <v>1282</v>
      </c>
      <c r="J274" s="382">
        <v>0</v>
      </c>
      <c r="K274" s="384">
        <v>124.49</v>
      </c>
      <c r="L274" s="384">
        <v>122.71</v>
      </c>
      <c r="M274" s="384">
        <v>7.48</v>
      </c>
      <c r="N274" s="384">
        <v>131.59</v>
      </c>
      <c r="O274" s="385">
        <v>685</v>
      </c>
      <c r="P274" s="382">
        <v>132.94999999999999</v>
      </c>
      <c r="Q274" s="382">
        <v>111.06</v>
      </c>
      <c r="R274" s="382">
        <v>54.55</v>
      </c>
      <c r="S274" s="382">
        <v>187.5</v>
      </c>
      <c r="T274" s="382">
        <v>87</v>
      </c>
      <c r="U274" s="382">
        <v>176.86</v>
      </c>
      <c r="V274" s="382">
        <v>299</v>
      </c>
      <c r="W274" s="382">
        <v>132.13</v>
      </c>
      <c r="X274" s="382">
        <v>7</v>
      </c>
      <c r="Y274" s="382">
        <v>0</v>
      </c>
      <c r="Z274" s="382">
        <v>0</v>
      </c>
      <c r="AA274" s="382">
        <v>0</v>
      </c>
      <c r="AB274" s="382">
        <v>23</v>
      </c>
      <c r="AC274" s="382">
        <v>1</v>
      </c>
      <c r="AD274" s="386">
        <v>1040</v>
      </c>
      <c r="AE274" s="386">
        <v>2</v>
      </c>
      <c r="AF274" s="386">
        <v>0</v>
      </c>
      <c r="AG274" s="386">
        <v>2</v>
      </c>
    </row>
    <row r="275" spans="1:33" x14ac:dyDescent="0.25">
      <c r="A275" s="381" t="s">
        <v>608</v>
      </c>
      <c r="B275" s="387" t="s">
        <v>609</v>
      </c>
      <c r="C275" s="383">
        <v>4116</v>
      </c>
      <c r="D275" s="383">
        <v>0</v>
      </c>
      <c r="E275" s="383">
        <v>184</v>
      </c>
      <c r="F275" s="383">
        <v>1400</v>
      </c>
      <c r="G275" s="383">
        <v>627</v>
      </c>
      <c r="H275" s="383">
        <v>6327</v>
      </c>
      <c r="I275" s="382">
        <v>5700</v>
      </c>
      <c r="J275" s="382">
        <v>1</v>
      </c>
      <c r="K275" s="384">
        <v>86.78</v>
      </c>
      <c r="L275" s="384">
        <v>86.01</v>
      </c>
      <c r="M275" s="384">
        <v>3.89</v>
      </c>
      <c r="N275" s="384">
        <v>90.5</v>
      </c>
      <c r="O275" s="385">
        <v>3403</v>
      </c>
      <c r="P275" s="382">
        <v>83.81</v>
      </c>
      <c r="Q275" s="382">
        <v>79.92</v>
      </c>
      <c r="R275" s="382">
        <v>18.5</v>
      </c>
      <c r="S275" s="382">
        <v>101.79</v>
      </c>
      <c r="T275" s="382">
        <v>1283</v>
      </c>
      <c r="U275" s="382">
        <v>126.8</v>
      </c>
      <c r="V275" s="382">
        <v>632</v>
      </c>
      <c r="W275" s="382">
        <v>96.97</v>
      </c>
      <c r="X275" s="382">
        <v>11</v>
      </c>
      <c r="Y275" s="382">
        <v>0</v>
      </c>
      <c r="Z275" s="382">
        <v>12</v>
      </c>
      <c r="AA275" s="382">
        <v>22</v>
      </c>
      <c r="AB275" s="382">
        <v>14</v>
      </c>
      <c r="AC275" s="382">
        <v>12</v>
      </c>
      <c r="AD275" s="386">
        <v>4089</v>
      </c>
      <c r="AE275" s="386">
        <v>6</v>
      </c>
      <c r="AF275" s="386">
        <v>22</v>
      </c>
      <c r="AG275" s="386">
        <v>28</v>
      </c>
    </row>
    <row r="276" spans="1:33" x14ac:dyDescent="0.25">
      <c r="A276" s="381" t="s">
        <v>610</v>
      </c>
      <c r="B276" s="387" t="s">
        <v>611</v>
      </c>
      <c r="C276" s="383">
        <v>11251</v>
      </c>
      <c r="D276" s="383">
        <v>0</v>
      </c>
      <c r="E276" s="383">
        <v>340</v>
      </c>
      <c r="F276" s="383">
        <v>1853</v>
      </c>
      <c r="G276" s="383">
        <v>432</v>
      </c>
      <c r="H276" s="383">
        <v>13876</v>
      </c>
      <c r="I276" s="382">
        <v>13444</v>
      </c>
      <c r="J276" s="382">
        <v>19</v>
      </c>
      <c r="K276" s="384">
        <v>89.67</v>
      </c>
      <c r="L276" s="384">
        <v>86.78</v>
      </c>
      <c r="M276" s="384">
        <v>6.01</v>
      </c>
      <c r="N276" s="384">
        <v>91.99</v>
      </c>
      <c r="O276" s="385">
        <v>10070</v>
      </c>
      <c r="P276" s="382">
        <v>88.54</v>
      </c>
      <c r="Q276" s="382">
        <v>85.46</v>
      </c>
      <c r="R276" s="382">
        <v>37.26</v>
      </c>
      <c r="S276" s="382">
        <v>125.44</v>
      </c>
      <c r="T276" s="382">
        <v>1897</v>
      </c>
      <c r="U276" s="382">
        <v>111.5</v>
      </c>
      <c r="V276" s="382">
        <v>904</v>
      </c>
      <c r="W276" s="382">
        <v>179.38</v>
      </c>
      <c r="X276" s="382">
        <v>210</v>
      </c>
      <c r="Y276" s="382">
        <v>14</v>
      </c>
      <c r="Z276" s="382">
        <v>49</v>
      </c>
      <c r="AA276" s="382">
        <v>210</v>
      </c>
      <c r="AB276" s="382">
        <v>20</v>
      </c>
      <c r="AC276" s="382">
        <v>3</v>
      </c>
      <c r="AD276" s="386">
        <v>11211</v>
      </c>
      <c r="AE276" s="386">
        <v>43</v>
      </c>
      <c r="AF276" s="386">
        <v>165</v>
      </c>
      <c r="AG276" s="386">
        <v>208</v>
      </c>
    </row>
    <row r="277" spans="1:33" x14ac:dyDescent="0.25">
      <c r="A277" s="381" t="s">
        <v>612</v>
      </c>
      <c r="B277" s="387" t="s">
        <v>613</v>
      </c>
      <c r="C277" s="383">
        <v>1935</v>
      </c>
      <c r="D277" s="383">
        <v>0</v>
      </c>
      <c r="E277" s="383">
        <v>242</v>
      </c>
      <c r="F277" s="383">
        <v>681</v>
      </c>
      <c r="G277" s="383">
        <v>82</v>
      </c>
      <c r="H277" s="383">
        <v>2940</v>
      </c>
      <c r="I277" s="382">
        <v>2858</v>
      </c>
      <c r="J277" s="382">
        <v>0</v>
      </c>
      <c r="K277" s="384">
        <v>99.76</v>
      </c>
      <c r="L277" s="384">
        <v>98.11</v>
      </c>
      <c r="M277" s="384">
        <v>4.6900000000000004</v>
      </c>
      <c r="N277" s="384">
        <v>103.55</v>
      </c>
      <c r="O277" s="385">
        <v>1688</v>
      </c>
      <c r="P277" s="382">
        <v>89.58</v>
      </c>
      <c r="Q277" s="382">
        <v>82.47</v>
      </c>
      <c r="R277" s="382">
        <v>35.14</v>
      </c>
      <c r="S277" s="382">
        <v>124.12</v>
      </c>
      <c r="T277" s="382">
        <v>761</v>
      </c>
      <c r="U277" s="382">
        <v>123.38</v>
      </c>
      <c r="V277" s="382">
        <v>186</v>
      </c>
      <c r="W277" s="382">
        <v>247.49</v>
      </c>
      <c r="X277" s="382">
        <v>130</v>
      </c>
      <c r="Y277" s="382">
        <v>0</v>
      </c>
      <c r="Z277" s="382">
        <v>0</v>
      </c>
      <c r="AA277" s="382">
        <v>1</v>
      </c>
      <c r="AB277" s="382">
        <v>4</v>
      </c>
      <c r="AC277" s="382">
        <v>2</v>
      </c>
      <c r="AD277" s="386">
        <v>1923</v>
      </c>
      <c r="AE277" s="386">
        <v>11</v>
      </c>
      <c r="AF277" s="386">
        <v>7</v>
      </c>
      <c r="AG277" s="386">
        <v>18</v>
      </c>
    </row>
    <row r="278" spans="1:33" x14ac:dyDescent="0.25">
      <c r="A278" s="381" t="s">
        <v>614</v>
      </c>
      <c r="B278" s="387" t="s">
        <v>615</v>
      </c>
      <c r="C278" s="383">
        <v>7142</v>
      </c>
      <c r="D278" s="383">
        <v>0</v>
      </c>
      <c r="E278" s="383">
        <v>336</v>
      </c>
      <c r="F278" s="383">
        <v>364</v>
      </c>
      <c r="G278" s="383">
        <v>727</v>
      </c>
      <c r="H278" s="383">
        <v>8569</v>
      </c>
      <c r="I278" s="382">
        <v>7842</v>
      </c>
      <c r="J278" s="382">
        <v>0</v>
      </c>
      <c r="K278" s="384">
        <v>107.5</v>
      </c>
      <c r="L278" s="384">
        <v>106.74</v>
      </c>
      <c r="M278" s="384">
        <v>2.98</v>
      </c>
      <c r="N278" s="384">
        <v>110.1</v>
      </c>
      <c r="O278" s="385">
        <v>6233</v>
      </c>
      <c r="P278" s="382">
        <v>94.66</v>
      </c>
      <c r="Q278" s="382">
        <v>99.48</v>
      </c>
      <c r="R278" s="382">
        <v>34.96</v>
      </c>
      <c r="S278" s="382">
        <v>128.13999999999999</v>
      </c>
      <c r="T278" s="382">
        <v>568</v>
      </c>
      <c r="U278" s="382">
        <v>141.35</v>
      </c>
      <c r="V278" s="382">
        <v>652</v>
      </c>
      <c r="W278" s="382">
        <v>137.44</v>
      </c>
      <c r="X278" s="382">
        <v>1</v>
      </c>
      <c r="Y278" s="382">
        <v>49</v>
      </c>
      <c r="Z278" s="382">
        <v>12</v>
      </c>
      <c r="AA278" s="382">
        <v>12</v>
      </c>
      <c r="AB278" s="382">
        <v>63</v>
      </c>
      <c r="AC278" s="382">
        <v>19</v>
      </c>
      <c r="AD278" s="386">
        <v>6970</v>
      </c>
      <c r="AE278" s="386">
        <v>30</v>
      </c>
      <c r="AF278" s="386">
        <v>19</v>
      </c>
      <c r="AG278" s="386">
        <v>49</v>
      </c>
    </row>
    <row r="279" spans="1:33" x14ac:dyDescent="0.25">
      <c r="A279" s="381" t="s">
        <v>616</v>
      </c>
      <c r="B279" s="387" t="s">
        <v>617</v>
      </c>
      <c r="C279" s="383">
        <v>4354</v>
      </c>
      <c r="D279" s="383">
        <v>0</v>
      </c>
      <c r="E279" s="383">
        <v>81</v>
      </c>
      <c r="F279" s="383">
        <v>559</v>
      </c>
      <c r="G279" s="383">
        <v>618</v>
      </c>
      <c r="H279" s="383">
        <v>5612</v>
      </c>
      <c r="I279" s="382">
        <v>4994</v>
      </c>
      <c r="J279" s="382">
        <v>0</v>
      </c>
      <c r="K279" s="384">
        <v>95.74</v>
      </c>
      <c r="L279" s="384">
        <v>92.06</v>
      </c>
      <c r="M279" s="384">
        <v>4.26</v>
      </c>
      <c r="N279" s="384">
        <v>98.07</v>
      </c>
      <c r="O279" s="385">
        <v>3837</v>
      </c>
      <c r="P279" s="382">
        <v>88.41</v>
      </c>
      <c r="Q279" s="382">
        <v>83.72</v>
      </c>
      <c r="R279" s="382">
        <v>36.89</v>
      </c>
      <c r="S279" s="382">
        <v>125.3</v>
      </c>
      <c r="T279" s="382">
        <v>631</v>
      </c>
      <c r="U279" s="382">
        <v>132.19</v>
      </c>
      <c r="V279" s="382">
        <v>508</v>
      </c>
      <c r="W279" s="382">
        <v>151.97999999999999</v>
      </c>
      <c r="X279" s="382">
        <v>4</v>
      </c>
      <c r="Y279" s="382">
        <v>0</v>
      </c>
      <c r="Z279" s="382">
        <v>10</v>
      </c>
      <c r="AA279" s="382">
        <v>6</v>
      </c>
      <c r="AB279" s="382">
        <v>53</v>
      </c>
      <c r="AC279" s="382">
        <v>15</v>
      </c>
      <c r="AD279" s="386">
        <v>4348</v>
      </c>
      <c r="AE279" s="386">
        <v>37</v>
      </c>
      <c r="AF279" s="386">
        <v>1</v>
      </c>
      <c r="AG279" s="386">
        <v>38</v>
      </c>
    </row>
    <row r="280" spans="1:33" x14ac:dyDescent="0.25">
      <c r="A280" s="381" t="s">
        <v>618</v>
      </c>
      <c r="B280" s="387" t="s">
        <v>619</v>
      </c>
      <c r="C280" s="383">
        <v>3968</v>
      </c>
      <c r="D280" s="383">
        <v>0</v>
      </c>
      <c r="E280" s="383">
        <v>157</v>
      </c>
      <c r="F280" s="383">
        <v>656</v>
      </c>
      <c r="G280" s="383">
        <v>125</v>
      </c>
      <c r="H280" s="383">
        <v>4906</v>
      </c>
      <c r="I280" s="382">
        <v>4781</v>
      </c>
      <c r="J280" s="382">
        <v>22</v>
      </c>
      <c r="K280" s="384">
        <v>92.22</v>
      </c>
      <c r="L280" s="384">
        <v>88.71</v>
      </c>
      <c r="M280" s="384">
        <v>7.41</v>
      </c>
      <c r="N280" s="384">
        <v>97.64</v>
      </c>
      <c r="O280" s="385">
        <v>3656</v>
      </c>
      <c r="P280" s="382">
        <v>94.17</v>
      </c>
      <c r="Q280" s="382">
        <v>79.930000000000007</v>
      </c>
      <c r="R280" s="382">
        <v>32.56</v>
      </c>
      <c r="S280" s="382">
        <v>126.48</v>
      </c>
      <c r="T280" s="382">
        <v>783</v>
      </c>
      <c r="U280" s="382">
        <v>116.81</v>
      </c>
      <c r="V280" s="382">
        <v>282</v>
      </c>
      <c r="W280" s="382">
        <v>0</v>
      </c>
      <c r="X280" s="382">
        <v>0</v>
      </c>
      <c r="Y280" s="382">
        <v>386</v>
      </c>
      <c r="Z280" s="382">
        <v>2</v>
      </c>
      <c r="AA280" s="382">
        <v>40</v>
      </c>
      <c r="AB280" s="382">
        <v>15</v>
      </c>
      <c r="AC280" s="382">
        <v>3</v>
      </c>
      <c r="AD280" s="386">
        <v>3968</v>
      </c>
      <c r="AE280" s="386">
        <v>20</v>
      </c>
      <c r="AF280" s="386">
        <v>27</v>
      </c>
      <c r="AG280" s="386">
        <v>47</v>
      </c>
    </row>
    <row r="281" spans="1:33" x14ac:dyDescent="0.25">
      <c r="A281" s="381" t="s">
        <v>620</v>
      </c>
      <c r="B281" s="387" t="s">
        <v>621</v>
      </c>
      <c r="C281" s="383">
        <v>4681</v>
      </c>
      <c r="D281" s="383">
        <v>46</v>
      </c>
      <c r="E281" s="383">
        <v>74</v>
      </c>
      <c r="F281" s="383">
        <v>871</v>
      </c>
      <c r="G281" s="383">
        <v>200</v>
      </c>
      <c r="H281" s="383">
        <v>5872</v>
      </c>
      <c r="I281" s="382">
        <v>5672</v>
      </c>
      <c r="J281" s="382">
        <v>45</v>
      </c>
      <c r="K281" s="384">
        <v>113.38</v>
      </c>
      <c r="L281" s="384">
        <v>112.5</v>
      </c>
      <c r="M281" s="384">
        <v>6.59</v>
      </c>
      <c r="N281" s="384">
        <v>116.32</v>
      </c>
      <c r="O281" s="385">
        <v>4419</v>
      </c>
      <c r="P281" s="382">
        <v>102.67</v>
      </c>
      <c r="Q281" s="382">
        <v>99.05</v>
      </c>
      <c r="R281" s="382">
        <v>31.39</v>
      </c>
      <c r="S281" s="382">
        <v>113.67</v>
      </c>
      <c r="T281" s="382">
        <v>919</v>
      </c>
      <c r="U281" s="382">
        <v>163.57</v>
      </c>
      <c r="V281" s="382">
        <v>178</v>
      </c>
      <c r="W281" s="382">
        <v>0</v>
      </c>
      <c r="X281" s="382">
        <v>0</v>
      </c>
      <c r="Y281" s="382">
        <v>96</v>
      </c>
      <c r="Z281" s="382">
        <v>12</v>
      </c>
      <c r="AA281" s="382">
        <v>0</v>
      </c>
      <c r="AB281" s="382">
        <v>6</v>
      </c>
      <c r="AC281" s="382">
        <v>7</v>
      </c>
      <c r="AD281" s="386">
        <v>4659</v>
      </c>
      <c r="AE281" s="386">
        <v>63</v>
      </c>
      <c r="AF281" s="386">
        <v>48</v>
      </c>
      <c r="AG281" s="386">
        <v>111</v>
      </c>
    </row>
    <row r="282" spans="1:33" x14ac:dyDescent="0.25">
      <c r="A282" s="381" t="s">
        <v>622</v>
      </c>
      <c r="B282" s="387" t="s">
        <v>623</v>
      </c>
      <c r="C282" s="383">
        <v>1828</v>
      </c>
      <c r="D282" s="383">
        <v>0</v>
      </c>
      <c r="E282" s="383">
        <v>82</v>
      </c>
      <c r="F282" s="383">
        <v>91</v>
      </c>
      <c r="G282" s="383">
        <v>343</v>
      </c>
      <c r="H282" s="383">
        <v>2344</v>
      </c>
      <c r="I282" s="382">
        <v>2001</v>
      </c>
      <c r="J282" s="382">
        <v>3</v>
      </c>
      <c r="K282" s="384">
        <v>107.2</v>
      </c>
      <c r="L282" s="384">
        <v>104.9</v>
      </c>
      <c r="M282" s="384">
        <v>7.76</v>
      </c>
      <c r="N282" s="384">
        <v>112.26</v>
      </c>
      <c r="O282" s="385">
        <v>1279</v>
      </c>
      <c r="P282" s="382">
        <v>108.39</v>
      </c>
      <c r="Q282" s="382">
        <v>104.7</v>
      </c>
      <c r="R282" s="382">
        <v>61.72</v>
      </c>
      <c r="S282" s="382">
        <v>162.44</v>
      </c>
      <c r="T282" s="382">
        <v>137</v>
      </c>
      <c r="U282" s="382">
        <v>156.51</v>
      </c>
      <c r="V282" s="382">
        <v>480</v>
      </c>
      <c r="W282" s="382">
        <v>0</v>
      </c>
      <c r="X282" s="382">
        <v>0</v>
      </c>
      <c r="Y282" s="382">
        <v>0</v>
      </c>
      <c r="Z282" s="382">
        <v>0</v>
      </c>
      <c r="AA282" s="382">
        <v>1</v>
      </c>
      <c r="AB282" s="382">
        <v>33</v>
      </c>
      <c r="AC282" s="382">
        <v>4</v>
      </c>
      <c r="AD282" s="386">
        <v>1811</v>
      </c>
      <c r="AE282" s="386">
        <v>13</v>
      </c>
      <c r="AF282" s="386">
        <v>13</v>
      </c>
      <c r="AG282" s="386">
        <v>26</v>
      </c>
    </row>
    <row r="283" spans="1:33" x14ac:dyDescent="0.25">
      <c r="A283" s="381" t="s">
        <v>624</v>
      </c>
      <c r="B283" s="387" t="s">
        <v>625</v>
      </c>
      <c r="C283" s="383">
        <v>7568</v>
      </c>
      <c r="D283" s="383">
        <v>50</v>
      </c>
      <c r="E283" s="383">
        <v>55</v>
      </c>
      <c r="F283" s="383">
        <v>522</v>
      </c>
      <c r="G283" s="383">
        <v>1033</v>
      </c>
      <c r="H283" s="383">
        <v>9228</v>
      </c>
      <c r="I283" s="382">
        <v>8195</v>
      </c>
      <c r="J283" s="382">
        <v>0</v>
      </c>
      <c r="K283" s="384">
        <v>114.81</v>
      </c>
      <c r="L283" s="384">
        <v>117.72</v>
      </c>
      <c r="M283" s="384">
        <v>7.16</v>
      </c>
      <c r="N283" s="384">
        <v>115.87</v>
      </c>
      <c r="O283" s="385">
        <v>6467</v>
      </c>
      <c r="P283" s="382">
        <v>97.46</v>
      </c>
      <c r="Q283" s="382">
        <v>97.74</v>
      </c>
      <c r="R283" s="382">
        <v>25</v>
      </c>
      <c r="S283" s="382">
        <v>118.62</v>
      </c>
      <c r="T283" s="382">
        <v>567</v>
      </c>
      <c r="U283" s="382">
        <v>142.05000000000001</v>
      </c>
      <c r="V283" s="382">
        <v>1062</v>
      </c>
      <c r="W283" s="382">
        <v>0</v>
      </c>
      <c r="X283" s="382">
        <v>0</v>
      </c>
      <c r="Y283" s="382">
        <v>0</v>
      </c>
      <c r="Z283" s="382">
        <v>7</v>
      </c>
      <c r="AA283" s="382">
        <v>1</v>
      </c>
      <c r="AB283" s="382">
        <v>65</v>
      </c>
      <c r="AC283" s="382">
        <v>17</v>
      </c>
      <c r="AD283" s="386">
        <v>7546</v>
      </c>
      <c r="AE283" s="386">
        <v>1</v>
      </c>
      <c r="AF283" s="386">
        <v>1</v>
      </c>
      <c r="AG283" s="386">
        <v>2</v>
      </c>
    </row>
    <row r="284" spans="1:33" x14ac:dyDescent="0.25">
      <c r="A284" s="381" t="s">
        <v>626</v>
      </c>
      <c r="B284" s="387" t="s">
        <v>627</v>
      </c>
      <c r="C284" s="383">
        <v>4179</v>
      </c>
      <c r="D284" s="383">
        <v>26</v>
      </c>
      <c r="E284" s="383">
        <v>297</v>
      </c>
      <c r="F284" s="383">
        <v>938</v>
      </c>
      <c r="G284" s="383">
        <v>522</v>
      </c>
      <c r="H284" s="383">
        <v>5962</v>
      </c>
      <c r="I284" s="382">
        <v>5440</v>
      </c>
      <c r="J284" s="382">
        <v>10</v>
      </c>
      <c r="K284" s="384">
        <v>89.55</v>
      </c>
      <c r="L284" s="384">
        <v>86.64</v>
      </c>
      <c r="M284" s="384">
        <v>8.6199999999999992</v>
      </c>
      <c r="N284" s="384">
        <v>96.84</v>
      </c>
      <c r="O284" s="385">
        <v>3760</v>
      </c>
      <c r="P284" s="382">
        <v>85.99</v>
      </c>
      <c r="Q284" s="382">
        <v>79.959999999999994</v>
      </c>
      <c r="R284" s="382">
        <v>45.14</v>
      </c>
      <c r="S284" s="382">
        <v>128.43</v>
      </c>
      <c r="T284" s="382">
        <v>953</v>
      </c>
      <c r="U284" s="382">
        <v>115.44</v>
      </c>
      <c r="V284" s="382">
        <v>419</v>
      </c>
      <c r="W284" s="382">
        <v>152.33000000000001</v>
      </c>
      <c r="X284" s="382">
        <v>4</v>
      </c>
      <c r="Y284" s="382">
        <v>0</v>
      </c>
      <c r="Z284" s="382">
        <v>10</v>
      </c>
      <c r="AA284" s="382">
        <v>0</v>
      </c>
      <c r="AB284" s="382">
        <v>16</v>
      </c>
      <c r="AC284" s="382">
        <v>12</v>
      </c>
      <c r="AD284" s="386">
        <v>4179</v>
      </c>
      <c r="AE284" s="386">
        <v>24</v>
      </c>
      <c r="AF284" s="386">
        <v>21</v>
      </c>
      <c r="AG284" s="386">
        <v>45</v>
      </c>
    </row>
    <row r="285" spans="1:33" x14ac:dyDescent="0.25">
      <c r="A285" s="381" t="s">
        <v>628</v>
      </c>
      <c r="B285" s="387" t="s">
        <v>629</v>
      </c>
      <c r="C285" s="383">
        <v>2342</v>
      </c>
      <c r="D285" s="383">
        <v>0</v>
      </c>
      <c r="E285" s="383">
        <v>45</v>
      </c>
      <c r="F285" s="383">
        <v>353</v>
      </c>
      <c r="G285" s="383">
        <v>188</v>
      </c>
      <c r="H285" s="383">
        <v>2928</v>
      </c>
      <c r="I285" s="382">
        <v>2740</v>
      </c>
      <c r="J285" s="382">
        <v>2</v>
      </c>
      <c r="K285" s="384">
        <v>83.85</v>
      </c>
      <c r="L285" s="384">
        <v>80.45</v>
      </c>
      <c r="M285" s="384">
        <v>4.62</v>
      </c>
      <c r="N285" s="384">
        <v>86.34</v>
      </c>
      <c r="O285" s="385">
        <v>2230</v>
      </c>
      <c r="P285" s="382">
        <v>81.09</v>
      </c>
      <c r="Q285" s="382">
        <v>65.760000000000005</v>
      </c>
      <c r="R285" s="382">
        <v>38.479999999999997</v>
      </c>
      <c r="S285" s="382">
        <v>109.15</v>
      </c>
      <c r="T285" s="382">
        <v>325</v>
      </c>
      <c r="U285" s="382">
        <v>107.57</v>
      </c>
      <c r="V285" s="382">
        <v>112</v>
      </c>
      <c r="W285" s="382">
        <v>146.43</v>
      </c>
      <c r="X285" s="382">
        <v>41</v>
      </c>
      <c r="Y285" s="382">
        <v>1</v>
      </c>
      <c r="Z285" s="382">
        <v>3</v>
      </c>
      <c r="AA285" s="382">
        <v>3</v>
      </c>
      <c r="AB285" s="382">
        <v>1</v>
      </c>
      <c r="AC285" s="382">
        <v>6</v>
      </c>
      <c r="AD285" s="386">
        <v>2330</v>
      </c>
      <c r="AE285" s="386">
        <v>2</v>
      </c>
      <c r="AF285" s="386">
        <v>8</v>
      </c>
      <c r="AG285" s="386">
        <v>10</v>
      </c>
    </row>
    <row r="286" spans="1:33" x14ac:dyDescent="0.25">
      <c r="A286" s="381" t="s">
        <v>630</v>
      </c>
      <c r="B286" s="387" t="s">
        <v>631</v>
      </c>
      <c r="C286" s="383">
        <v>29234</v>
      </c>
      <c r="D286" s="383">
        <v>103</v>
      </c>
      <c r="E286" s="383">
        <v>1516</v>
      </c>
      <c r="F286" s="383">
        <v>859</v>
      </c>
      <c r="G286" s="383">
        <v>2950</v>
      </c>
      <c r="H286" s="383">
        <v>34662</v>
      </c>
      <c r="I286" s="382">
        <v>31712</v>
      </c>
      <c r="J286" s="382">
        <v>43</v>
      </c>
      <c r="K286" s="384">
        <v>125.17</v>
      </c>
      <c r="L286" s="384">
        <v>130.97</v>
      </c>
      <c r="M286" s="384">
        <v>15.66</v>
      </c>
      <c r="N286" s="384">
        <v>137.88</v>
      </c>
      <c r="O286" s="385">
        <v>25516</v>
      </c>
      <c r="P286" s="382">
        <v>109.64</v>
      </c>
      <c r="Q286" s="382">
        <v>111.52</v>
      </c>
      <c r="R286" s="382">
        <v>72.14</v>
      </c>
      <c r="S286" s="382">
        <v>168.75</v>
      </c>
      <c r="T286" s="382">
        <v>1938</v>
      </c>
      <c r="U286" s="382">
        <v>204.97</v>
      </c>
      <c r="V286" s="382">
        <v>2051</v>
      </c>
      <c r="W286" s="382">
        <v>190.84</v>
      </c>
      <c r="X286" s="382">
        <v>119</v>
      </c>
      <c r="Y286" s="382">
        <v>89</v>
      </c>
      <c r="Z286" s="382">
        <v>52</v>
      </c>
      <c r="AA286" s="382">
        <v>50</v>
      </c>
      <c r="AB286" s="382">
        <v>114</v>
      </c>
      <c r="AC286" s="382">
        <v>82</v>
      </c>
      <c r="AD286" s="386">
        <v>27977</v>
      </c>
      <c r="AE286" s="386">
        <v>181</v>
      </c>
      <c r="AF286" s="386">
        <v>149</v>
      </c>
      <c r="AG286" s="386">
        <v>330</v>
      </c>
    </row>
    <row r="287" spans="1:33" x14ac:dyDescent="0.25">
      <c r="A287" s="381" t="s">
        <v>632</v>
      </c>
      <c r="B287" s="387" t="s">
        <v>633</v>
      </c>
      <c r="C287" s="383">
        <v>11758</v>
      </c>
      <c r="D287" s="383">
        <v>4</v>
      </c>
      <c r="E287" s="383">
        <v>481</v>
      </c>
      <c r="F287" s="383">
        <v>3340</v>
      </c>
      <c r="G287" s="383">
        <v>492</v>
      </c>
      <c r="H287" s="383">
        <v>16075</v>
      </c>
      <c r="I287" s="382">
        <v>15583</v>
      </c>
      <c r="J287" s="382">
        <v>11</v>
      </c>
      <c r="K287" s="384">
        <v>88</v>
      </c>
      <c r="L287" s="384">
        <v>88.84</v>
      </c>
      <c r="M287" s="384">
        <v>4.8499999999999996</v>
      </c>
      <c r="N287" s="384">
        <v>91.71</v>
      </c>
      <c r="O287" s="385">
        <v>9869</v>
      </c>
      <c r="P287" s="382">
        <v>89.02</v>
      </c>
      <c r="Q287" s="382">
        <v>86.47</v>
      </c>
      <c r="R287" s="382">
        <v>19.489999999999998</v>
      </c>
      <c r="S287" s="382">
        <v>108.49</v>
      </c>
      <c r="T287" s="382">
        <v>3621</v>
      </c>
      <c r="U287" s="382">
        <v>138.61000000000001</v>
      </c>
      <c r="V287" s="382">
        <v>1842</v>
      </c>
      <c r="W287" s="382">
        <v>137.47999999999999</v>
      </c>
      <c r="X287" s="382">
        <v>136</v>
      </c>
      <c r="Y287" s="382">
        <v>0</v>
      </c>
      <c r="Z287" s="382">
        <v>61</v>
      </c>
      <c r="AA287" s="382">
        <v>2</v>
      </c>
      <c r="AB287" s="382">
        <v>30</v>
      </c>
      <c r="AC287" s="382">
        <v>19</v>
      </c>
      <c r="AD287" s="386">
        <v>11757</v>
      </c>
      <c r="AE287" s="386">
        <v>47</v>
      </c>
      <c r="AF287" s="386">
        <v>56</v>
      </c>
      <c r="AG287" s="386">
        <v>103</v>
      </c>
    </row>
    <row r="288" spans="1:33" x14ac:dyDescent="0.25">
      <c r="A288" s="381" t="s">
        <v>634</v>
      </c>
      <c r="B288" s="387" t="s">
        <v>635</v>
      </c>
      <c r="C288" s="383">
        <v>6224</v>
      </c>
      <c r="D288" s="383">
        <v>0</v>
      </c>
      <c r="E288" s="383">
        <v>186</v>
      </c>
      <c r="F288" s="383">
        <v>827</v>
      </c>
      <c r="G288" s="383">
        <v>434</v>
      </c>
      <c r="H288" s="383">
        <v>7671</v>
      </c>
      <c r="I288" s="382">
        <v>7237</v>
      </c>
      <c r="J288" s="382">
        <v>6</v>
      </c>
      <c r="K288" s="384">
        <v>110.85</v>
      </c>
      <c r="L288" s="384">
        <v>106.05</v>
      </c>
      <c r="M288" s="384">
        <v>4.58</v>
      </c>
      <c r="N288" s="384">
        <v>114.57</v>
      </c>
      <c r="O288" s="385">
        <v>5525</v>
      </c>
      <c r="P288" s="382">
        <v>101.52</v>
      </c>
      <c r="Q288" s="382">
        <v>92.17</v>
      </c>
      <c r="R288" s="382">
        <v>28.16</v>
      </c>
      <c r="S288" s="382">
        <v>128.52000000000001</v>
      </c>
      <c r="T288" s="382">
        <v>703</v>
      </c>
      <c r="U288" s="382">
        <v>153.9</v>
      </c>
      <c r="V288" s="382">
        <v>541</v>
      </c>
      <c r="W288" s="382">
        <v>132.46</v>
      </c>
      <c r="X288" s="382">
        <v>114</v>
      </c>
      <c r="Y288" s="382">
        <v>0</v>
      </c>
      <c r="Z288" s="382">
        <v>1</v>
      </c>
      <c r="AA288" s="382">
        <v>10</v>
      </c>
      <c r="AB288" s="382">
        <v>43</v>
      </c>
      <c r="AC288" s="382">
        <v>10</v>
      </c>
      <c r="AD288" s="386">
        <v>6069</v>
      </c>
      <c r="AE288" s="386">
        <v>17</v>
      </c>
      <c r="AF288" s="386">
        <v>17</v>
      </c>
      <c r="AG288" s="386">
        <v>34</v>
      </c>
    </row>
    <row r="289" spans="1:33" x14ac:dyDescent="0.25">
      <c r="A289" s="381" t="s">
        <v>636</v>
      </c>
      <c r="B289" s="387" t="s">
        <v>637</v>
      </c>
      <c r="C289" s="383">
        <v>1528</v>
      </c>
      <c r="D289" s="383">
        <v>12</v>
      </c>
      <c r="E289" s="383">
        <v>69</v>
      </c>
      <c r="F289" s="383">
        <v>187</v>
      </c>
      <c r="G289" s="383">
        <v>436</v>
      </c>
      <c r="H289" s="383">
        <v>2232</v>
      </c>
      <c r="I289" s="382">
        <v>1796</v>
      </c>
      <c r="J289" s="382">
        <v>4</v>
      </c>
      <c r="K289" s="384">
        <v>108.69</v>
      </c>
      <c r="L289" s="384">
        <v>109.25</v>
      </c>
      <c r="M289" s="384">
        <v>6.12</v>
      </c>
      <c r="N289" s="384">
        <v>112.53</v>
      </c>
      <c r="O289" s="385">
        <v>998</v>
      </c>
      <c r="P289" s="382">
        <v>101.64</v>
      </c>
      <c r="Q289" s="382">
        <v>89.16</v>
      </c>
      <c r="R289" s="382">
        <v>57.41</v>
      </c>
      <c r="S289" s="382">
        <v>158.83000000000001</v>
      </c>
      <c r="T289" s="382">
        <v>254</v>
      </c>
      <c r="U289" s="382">
        <v>152.84</v>
      </c>
      <c r="V289" s="382">
        <v>514</v>
      </c>
      <c r="W289" s="382">
        <v>0</v>
      </c>
      <c r="X289" s="382">
        <v>0</v>
      </c>
      <c r="Y289" s="382">
        <v>6</v>
      </c>
      <c r="Z289" s="382">
        <v>0</v>
      </c>
      <c r="AA289" s="382">
        <v>18</v>
      </c>
      <c r="AB289" s="382">
        <v>61</v>
      </c>
      <c r="AC289" s="382">
        <v>5</v>
      </c>
      <c r="AD289" s="386">
        <v>1477</v>
      </c>
      <c r="AE289" s="386">
        <v>12</v>
      </c>
      <c r="AF289" s="386">
        <v>2</v>
      </c>
      <c r="AG289" s="386">
        <v>14</v>
      </c>
    </row>
    <row r="290" spans="1:33" x14ac:dyDescent="0.25">
      <c r="A290" s="381" t="s">
        <v>638</v>
      </c>
      <c r="B290" s="387" t="s">
        <v>639</v>
      </c>
      <c r="C290" s="383">
        <v>6717</v>
      </c>
      <c r="D290" s="383">
        <v>17</v>
      </c>
      <c r="E290" s="383">
        <v>206</v>
      </c>
      <c r="F290" s="383">
        <v>459</v>
      </c>
      <c r="G290" s="383">
        <v>654</v>
      </c>
      <c r="H290" s="383">
        <v>8053</v>
      </c>
      <c r="I290" s="382">
        <v>7399</v>
      </c>
      <c r="J290" s="382">
        <v>22</v>
      </c>
      <c r="K290" s="384">
        <v>107.72</v>
      </c>
      <c r="L290" s="384">
        <v>108.51</v>
      </c>
      <c r="M290" s="384">
        <v>6.15</v>
      </c>
      <c r="N290" s="384">
        <v>108.83</v>
      </c>
      <c r="O290" s="385">
        <v>5503</v>
      </c>
      <c r="P290" s="382">
        <v>102.21</v>
      </c>
      <c r="Q290" s="382">
        <v>98.52</v>
      </c>
      <c r="R290" s="382">
        <v>28.47</v>
      </c>
      <c r="S290" s="382">
        <v>126.88</v>
      </c>
      <c r="T290" s="382">
        <v>614</v>
      </c>
      <c r="U290" s="382">
        <v>163.62</v>
      </c>
      <c r="V290" s="382">
        <v>1171</v>
      </c>
      <c r="W290" s="382">
        <v>185.41</v>
      </c>
      <c r="X290" s="382">
        <v>26</v>
      </c>
      <c r="Y290" s="382">
        <v>0</v>
      </c>
      <c r="Z290" s="382">
        <v>20</v>
      </c>
      <c r="AA290" s="382">
        <v>3</v>
      </c>
      <c r="AB290" s="382">
        <v>77</v>
      </c>
      <c r="AC290" s="382">
        <v>21</v>
      </c>
      <c r="AD290" s="386">
        <v>6659</v>
      </c>
      <c r="AE290" s="386">
        <v>34</v>
      </c>
      <c r="AF290" s="386">
        <v>19</v>
      </c>
      <c r="AG290" s="386">
        <v>53</v>
      </c>
    </row>
    <row r="291" spans="1:33" x14ac:dyDescent="0.25">
      <c r="A291" s="381" t="s">
        <v>640</v>
      </c>
      <c r="B291" s="387" t="s">
        <v>641</v>
      </c>
      <c r="C291" s="383">
        <v>32461</v>
      </c>
      <c r="D291" s="383">
        <v>2</v>
      </c>
      <c r="E291" s="383">
        <v>2160</v>
      </c>
      <c r="F291" s="383">
        <v>630</v>
      </c>
      <c r="G291" s="383">
        <v>609</v>
      </c>
      <c r="H291" s="383">
        <v>35862</v>
      </c>
      <c r="I291" s="382">
        <v>35253</v>
      </c>
      <c r="J291" s="382">
        <v>1</v>
      </c>
      <c r="K291" s="384">
        <v>82.87</v>
      </c>
      <c r="L291" s="384">
        <v>83.27</v>
      </c>
      <c r="M291" s="384">
        <v>5.69</v>
      </c>
      <c r="N291" s="384">
        <v>83.6</v>
      </c>
      <c r="O291" s="385">
        <v>30026</v>
      </c>
      <c r="P291" s="382">
        <v>79.569999999999993</v>
      </c>
      <c r="Q291" s="382">
        <v>77.56</v>
      </c>
      <c r="R291" s="382">
        <v>36.409999999999997</v>
      </c>
      <c r="S291" s="382">
        <v>113.66</v>
      </c>
      <c r="T291" s="382">
        <v>2648</v>
      </c>
      <c r="U291" s="382">
        <v>97.45</v>
      </c>
      <c r="V291" s="382">
        <v>2050</v>
      </c>
      <c r="W291" s="382">
        <v>0</v>
      </c>
      <c r="X291" s="382">
        <v>0</v>
      </c>
      <c r="Y291" s="382">
        <v>0</v>
      </c>
      <c r="Z291" s="382">
        <v>168</v>
      </c>
      <c r="AA291" s="382">
        <v>9</v>
      </c>
      <c r="AB291" s="382">
        <v>95</v>
      </c>
      <c r="AC291" s="382">
        <v>19</v>
      </c>
      <c r="AD291" s="386">
        <v>32422</v>
      </c>
      <c r="AE291" s="386">
        <v>107</v>
      </c>
      <c r="AF291" s="386">
        <v>76</v>
      </c>
      <c r="AG291" s="386">
        <v>183</v>
      </c>
    </row>
    <row r="292" spans="1:33" x14ac:dyDescent="0.25">
      <c r="A292" s="381" t="s">
        <v>642</v>
      </c>
      <c r="B292" s="387" t="s">
        <v>643</v>
      </c>
      <c r="C292" s="383">
        <v>26814</v>
      </c>
      <c r="D292" s="383">
        <v>11</v>
      </c>
      <c r="E292" s="383">
        <v>398</v>
      </c>
      <c r="F292" s="383">
        <v>786</v>
      </c>
      <c r="G292" s="383">
        <v>490</v>
      </c>
      <c r="H292" s="383">
        <v>28499</v>
      </c>
      <c r="I292" s="382">
        <v>28009</v>
      </c>
      <c r="J292" s="382">
        <v>7</v>
      </c>
      <c r="K292" s="384">
        <v>85.65</v>
      </c>
      <c r="L292" s="384">
        <v>86.17</v>
      </c>
      <c r="M292" s="384">
        <v>8.81</v>
      </c>
      <c r="N292" s="384">
        <v>89.98</v>
      </c>
      <c r="O292" s="385">
        <v>24629</v>
      </c>
      <c r="P292" s="382">
        <v>108.59</v>
      </c>
      <c r="Q292" s="382">
        <v>101.58</v>
      </c>
      <c r="R292" s="382">
        <v>47.66</v>
      </c>
      <c r="S292" s="382">
        <v>152.22</v>
      </c>
      <c r="T292" s="382">
        <v>1039</v>
      </c>
      <c r="U292" s="382">
        <v>105.85</v>
      </c>
      <c r="V292" s="382">
        <v>1941</v>
      </c>
      <c r="W292" s="382">
        <v>137.57</v>
      </c>
      <c r="X292" s="382">
        <v>129</v>
      </c>
      <c r="Y292" s="382">
        <v>0</v>
      </c>
      <c r="Z292" s="382">
        <v>160</v>
      </c>
      <c r="AA292" s="382">
        <v>33</v>
      </c>
      <c r="AB292" s="382">
        <v>0</v>
      </c>
      <c r="AC292" s="382">
        <v>21</v>
      </c>
      <c r="AD292" s="386">
        <v>26757</v>
      </c>
      <c r="AE292" s="386">
        <v>140</v>
      </c>
      <c r="AF292" s="386">
        <v>11</v>
      </c>
      <c r="AG292" s="386">
        <v>151</v>
      </c>
    </row>
    <row r="293" spans="1:33" x14ac:dyDescent="0.25">
      <c r="A293" s="381" t="s">
        <v>644</v>
      </c>
      <c r="B293" s="387" t="s">
        <v>645</v>
      </c>
      <c r="C293" s="383">
        <v>10715</v>
      </c>
      <c r="D293" s="383">
        <v>9</v>
      </c>
      <c r="E293" s="383">
        <v>1005</v>
      </c>
      <c r="F293" s="383">
        <v>790</v>
      </c>
      <c r="G293" s="383">
        <v>1393</v>
      </c>
      <c r="H293" s="383">
        <v>13912</v>
      </c>
      <c r="I293" s="382">
        <v>12519</v>
      </c>
      <c r="J293" s="382">
        <v>19</v>
      </c>
      <c r="K293" s="384">
        <v>121.72</v>
      </c>
      <c r="L293" s="384">
        <v>115.82</v>
      </c>
      <c r="M293" s="384">
        <v>10.67</v>
      </c>
      <c r="N293" s="384">
        <v>126.66</v>
      </c>
      <c r="O293" s="385">
        <v>8881</v>
      </c>
      <c r="P293" s="382">
        <v>101.36</v>
      </c>
      <c r="Q293" s="382">
        <v>96.56</v>
      </c>
      <c r="R293" s="382">
        <v>38.78</v>
      </c>
      <c r="S293" s="382">
        <v>127.45</v>
      </c>
      <c r="T293" s="382">
        <v>1241</v>
      </c>
      <c r="U293" s="382">
        <v>176.52</v>
      </c>
      <c r="V293" s="382">
        <v>1403</v>
      </c>
      <c r="W293" s="382">
        <v>222.2</v>
      </c>
      <c r="X293" s="382">
        <v>10</v>
      </c>
      <c r="Y293" s="382">
        <v>0</v>
      </c>
      <c r="Z293" s="382">
        <v>13</v>
      </c>
      <c r="AA293" s="382">
        <v>16</v>
      </c>
      <c r="AB293" s="382">
        <v>77</v>
      </c>
      <c r="AC293" s="382">
        <v>22</v>
      </c>
      <c r="AD293" s="386">
        <v>10338</v>
      </c>
      <c r="AE293" s="386">
        <v>11</v>
      </c>
      <c r="AF293" s="386">
        <v>41</v>
      </c>
      <c r="AG293" s="386">
        <v>52</v>
      </c>
    </row>
    <row r="294" spans="1:33" x14ac:dyDescent="0.25">
      <c r="A294" s="381" t="s">
        <v>646</v>
      </c>
      <c r="B294" s="387" t="s">
        <v>647</v>
      </c>
      <c r="C294" s="383">
        <v>8591</v>
      </c>
      <c r="D294" s="383">
        <v>60</v>
      </c>
      <c r="E294" s="383">
        <v>1147</v>
      </c>
      <c r="F294" s="383">
        <v>1001</v>
      </c>
      <c r="G294" s="383">
        <v>2212</v>
      </c>
      <c r="H294" s="383">
        <v>13011</v>
      </c>
      <c r="I294" s="382">
        <v>10799</v>
      </c>
      <c r="J294" s="382">
        <v>404</v>
      </c>
      <c r="K294" s="384">
        <v>129.53</v>
      </c>
      <c r="L294" s="384">
        <v>125.98</v>
      </c>
      <c r="M294" s="384">
        <v>8.11</v>
      </c>
      <c r="N294" s="384">
        <v>133.91999999999999</v>
      </c>
      <c r="O294" s="385">
        <v>7573</v>
      </c>
      <c r="P294" s="382">
        <v>123.78</v>
      </c>
      <c r="Q294" s="382">
        <v>115.97</v>
      </c>
      <c r="R294" s="382">
        <v>48.82</v>
      </c>
      <c r="S294" s="382">
        <v>165.58</v>
      </c>
      <c r="T294" s="382">
        <v>2018</v>
      </c>
      <c r="U294" s="382">
        <v>202.98</v>
      </c>
      <c r="V294" s="382">
        <v>659</v>
      </c>
      <c r="W294" s="382">
        <v>178.12</v>
      </c>
      <c r="X294" s="382">
        <v>18</v>
      </c>
      <c r="Y294" s="382">
        <v>1</v>
      </c>
      <c r="Z294" s="382">
        <v>0</v>
      </c>
      <c r="AA294" s="382">
        <v>13</v>
      </c>
      <c r="AB294" s="382">
        <v>135</v>
      </c>
      <c r="AC294" s="382">
        <v>53</v>
      </c>
      <c r="AD294" s="386">
        <v>8302</v>
      </c>
      <c r="AE294" s="386">
        <v>16</v>
      </c>
      <c r="AF294" s="386">
        <v>37</v>
      </c>
      <c r="AG294" s="386">
        <v>53</v>
      </c>
    </row>
    <row r="295" spans="1:33" x14ac:dyDescent="0.25">
      <c r="A295" s="381" t="s">
        <v>648</v>
      </c>
      <c r="B295" s="387" t="s">
        <v>649</v>
      </c>
      <c r="C295" s="383">
        <v>11651</v>
      </c>
      <c r="D295" s="383">
        <v>0</v>
      </c>
      <c r="E295" s="383">
        <v>405</v>
      </c>
      <c r="F295" s="383">
        <v>2361</v>
      </c>
      <c r="G295" s="383">
        <v>642</v>
      </c>
      <c r="H295" s="383">
        <v>15059</v>
      </c>
      <c r="I295" s="382">
        <v>14417</v>
      </c>
      <c r="J295" s="382">
        <v>0</v>
      </c>
      <c r="K295" s="384">
        <v>84.35</v>
      </c>
      <c r="L295" s="384">
        <v>85.69</v>
      </c>
      <c r="M295" s="384">
        <v>5.39</v>
      </c>
      <c r="N295" s="384">
        <v>86.01</v>
      </c>
      <c r="O295" s="385">
        <v>10980</v>
      </c>
      <c r="P295" s="382">
        <v>82.24</v>
      </c>
      <c r="Q295" s="382">
        <v>82.41</v>
      </c>
      <c r="R295" s="382">
        <v>24.11</v>
      </c>
      <c r="S295" s="382">
        <v>101.98</v>
      </c>
      <c r="T295" s="382">
        <v>2720</v>
      </c>
      <c r="U295" s="382">
        <v>105.4</v>
      </c>
      <c r="V295" s="382">
        <v>620</v>
      </c>
      <c r="W295" s="382">
        <v>101.27</v>
      </c>
      <c r="X295" s="382">
        <v>2</v>
      </c>
      <c r="Y295" s="382">
        <v>0</v>
      </c>
      <c r="Z295" s="382">
        <v>74</v>
      </c>
      <c r="AA295" s="382">
        <v>1</v>
      </c>
      <c r="AB295" s="382">
        <v>10</v>
      </c>
      <c r="AC295" s="382">
        <v>14</v>
      </c>
      <c r="AD295" s="386">
        <v>11651</v>
      </c>
      <c r="AE295" s="386">
        <v>50</v>
      </c>
      <c r="AF295" s="386">
        <v>41</v>
      </c>
      <c r="AG295" s="386">
        <v>91</v>
      </c>
    </row>
    <row r="296" spans="1:33" x14ac:dyDescent="0.25">
      <c r="A296" s="381" t="s">
        <v>650</v>
      </c>
      <c r="B296" s="387" t="s">
        <v>651</v>
      </c>
      <c r="C296" s="383">
        <v>2645</v>
      </c>
      <c r="D296" s="383">
        <v>0</v>
      </c>
      <c r="E296" s="383">
        <v>158</v>
      </c>
      <c r="F296" s="383">
        <v>601</v>
      </c>
      <c r="G296" s="383">
        <v>658</v>
      </c>
      <c r="H296" s="383">
        <v>4062</v>
      </c>
      <c r="I296" s="382">
        <v>3404</v>
      </c>
      <c r="J296" s="382">
        <v>7</v>
      </c>
      <c r="K296" s="384">
        <v>103.85</v>
      </c>
      <c r="L296" s="384">
        <v>94.66</v>
      </c>
      <c r="M296" s="384">
        <v>7.2</v>
      </c>
      <c r="N296" s="384">
        <v>110.03</v>
      </c>
      <c r="O296" s="385">
        <v>2122</v>
      </c>
      <c r="P296" s="382">
        <v>102.24</v>
      </c>
      <c r="Q296" s="382">
        <v>87.19</v>
      </c>
      <c r="R296" s="382">
        <v>41.01</v>
      </c>
      <c r="S296" s="382">
        <v>141.97999999999999</v>
      </c>
      <c r="T296" s="382">
        <v>581</v>
      </c>
      <c r="U296" s="382">
        <v>137.38</v>
      </c>
      <c r="V296" s="382">
        <v>429</v>
      </c>
      <c r="W296" s="382">
        <v>185.93</v>
      </c>
      <c r="X296" s="382">
        <v>126</v>
      </c>
      <c r="Y296" s="382">
        <v>6</v>
      </c>
      <c r="Z296" s="382">
        <v>0</v>
      </c>
      <c r="AA296" s="382">
        <v>14</v>
      </c>
      <c r="AB296" s="382">
        <v>103</v>
      </c>
      <c r="AC296" s="382">
        <v>14</v>
      </c>
      <c r="AD296" s="386">
        <v>2581</v>
      </c>
      <c r="AE296" s="386">
        <v>36</v>
      </c>
      <c r="AF296" s="386">
        <v>13</v>
      </c>
      <c r="AG296" s="386">
        <v>49</v>
      </c>
    </row>
    <row r="297" spans="1:33" x14ac:dyDescent="0.25">
      <c r="A297" s="381" t="s">
        <v>652</v>
      </c>
      <c r="B297" s="387" t="s">
        <v>653</v>
      </c>
      <c r="C297" s="383">
        <v>5425</v>
      </c>
      <c r="D297" s="383">
        <v>105</v>
      </c>
      <c r="E297" s="383">
        <v>379</v>
      </c>
      <c r="F297" s="383">
        <v>589</v>
      </c>
      <c r="G297" s="383">
        <v>339</v>
      </c>
      <c r="H297" s="383">
        <v>6837</v>
      </c>
      <c r="I297" s="382">
        <v>6498</v>
      </c>
      <c r="J297" s="382">
        <v>55</v>
      </c>
      <c r="K297" s="384">
        <v>113.65</v>
      </c>
      <c r="L297" s="384">
        <v>117.7</v>
      </c>
      <c r="M297" s="384">
        <v>8.98</v>
      </c>
      <c r="N297" s="384">
        <v>117.87</v>
      </c>
      <c r="O297" s="385">
        <v>4961</v>
      </c>
      <c r="P297" s="382">
        <v>112.14</v>
      </c>
      <c r="Q297" s="382">
        <v>90.98</v>
      </c>
      <c r="R297" s="382">
        <v>42.37</v>
      </c>
      <c r="S297" s="382">
        <v>154.34</v>
      </c>
      <c r="T297" s="382">
        <v>765</v>
      </c>
      <c r="U297" s="382">
        <v>175.59</v>
      </c>
      <c r="V297" s="382">
        <v>362</v>
      </c>
      <c r="W297" s="382">
        <v>0</v>
      </c>
      <c r="X297" s="382">
        <v>0</v>
      </c>
      <c r="Y297" s="382">
        <v>0</v>
      </c>
      <c r="Z297" s="382">
        <v>7</v>
      </c>
      <c r="AA297" s="382">
        <v>0</v>
      </c>
      <c r="AB297" s="382">
        <v>8</v>
      </c>
      <c r="AC297" s="382">
        <v>6</v>
      </c>
      <c r="AD297" s="386">
        <v>5412</v>
      </c>
      <c r="AE297" s="386">
        <v>25</v>
      </c>
      <c r="AF297" s="386">
        <v>9</v>
      </c>
      <c r="AG297" s="386">
        <v>34</v>
      </c>
    </row>
    <row r="298" spans="1:33" x14ac:dyDescent="0.25">
      <c r="A298" s="381" t="s">
        <v>654</v>
      </c>
      <c r="B298" s="387" t="s">
        <v>655</v>
      </c>
      <c r="C298" s="383">
        <v>1131</v>
      </c>
      <c r="D298" s="383">
        <v>0</v>
      </c>
      <c r="E298" s="383">
        <v>129</v>
      </c>
      <c r="F298" s="383">
        <v>181</v>
      </c>
      <c r="G298" s="383">
        <v>387</v>
      </c>
      <c r="H298" s="383">
        <v>1828</v>
      </c>
      <c r="I298" s="382">
        <v>1441</v>
      </c>
      <c r="J298" s="382">
        <v>2</v>
      </c>
      <c r="K298" s="384">
        <v>118.23</v>
      </c>
      <c r="L298" s="384">
        <v>117.56</v>
      </c>
      <c r="M298" s="384">
        <v>4.74</v>
      </c>
      <c r="N298" s="384">
        <v>122.63</v>
      </c>
      <c r="O298" s="385">
        <v>908</v>
      </c>
      <c r="P298" s="382">
        <v>110.28</v>
      </c>
      <c r="Q298" s="382">
        <v>96.64</v>
      </c>
      <c r="R298" s="382">
        <v>39.340000000000003</v>
      </c>
      <c r="S298" s="382">
        <v>149.33000000000001</v>
      </c>
      <c r="T298" s="382">
        <v>135</v>
      </c>
      <c r="U298" s="382">
        <v>184.85</v>
      </c>
      <c r="V298" s="382">
        <v>175</v>
      </c>
      <c r="W298" s="382">
        <v>121.1</v>
      </c>
      <c r="X298" s="382">
        <v>3</v>
      </c>
      <c r="Y298" s="382">
        <v>7</v>
      </c>
      <c r="Z298" s="382">
        <v>0</v>
      </c>
      <c r="AA298" s="382">
        <v>4</v>
      </c>
      <c r="AB298" s="382">
        <v>15</v>
      </c>
      <c r="AC298" s="382">
        <v>12</v>
      </c>
      <c r="AD298" s="386">
        <v>1083</v>
      </c>
      <c r="AE298" s="386">
        <v>16</v>
      </c>
      <c r="AF298" s="386">
        <v>1</v>
      </c>
      <c r="AG298" s="386">
        <v>17</v>
      </c>
    </row>
    <row r="299" spans="1:33" x14ac:dyDescent="0.25">
      <c r="A299" s="381" t="s">
        <v>656</v>
      </c>
      <c r="B299" s="387" t="s">
        <v>657</v>
      </c>
      <c r="C299" s="383">
        <v>2175</v>
      </c>
      <c r="D299" s="383">
        <v>0</v>
      </c>
      <c r="E299" s="383">
        <v>89</v>
      </c>
      <c r="F299" s="383">
        <v>224</v>
      </c>
      <c r="G299" s="383">
        <v>477</v>
      </c>
      <c r="H299" s="383">
        <v>2965</v>
      </c>
      <c r="I299" s="382">
        <v>2488</v>
      </c>
      <c r="J299" s="382">
        <v>0</v>
      </c>
      <c r="K299" s="384">
        <v>103.84</v>
      </c>
      <c r="L299" s="384">
        <v>101.48</v>
      </c>
      <c r="M299" s="384">
        <v>5.71</v>
      </c>
      <c r="N299" s="384">
        <v>108.27</v>
      </c>
      <c r="O299" s="385">
        <v>1370</v>
      </c>
      <c r="P299" s="382">
        <v>82.14</v>
      </c>
      <c r="Q299" s="382">
        <v>78.680000000000007</v>
      </c>
      <c r="R299" s="382">
        <v>28.5</v>
      </c>
      <c r="S299" s="382">
        <v>108.5</v>
      </c>
      <c r="T299" s="382">
        <v>226</v>
      </c>
      <c r="U299" s="382">
        <v>145.16</v>
      </c>
      <c r="V299" s="382">
        <v>786</v>
      </c>
      <c r="W299" s="382">
        <v>167.82</v>
      </c>
      <c r="X299" s="382">
        <v>55</v>
      </c>
      <c r="Y299" s="382">
        <v>0</v>
      </c>
      <c r="Z299" s="382">
        <v>0</v>
      </c>
      <c r="AA299" s="382">
        <v>9</v>
      </c>
      <c r="AB299" s="382">
        <v>41</v>
      </c>
      <c r="AC299" s="382">
        <v>6</v>
      </c>
      <c r="AD299" s="386">
        <v>2168</v>
      </c>
      <c r="AE299" s="386">
        <v>6</v>
      </c>
      <c r="AF299" s="386">
        <v>2</v>
      </c>
      <c r="AG299" s="386">
        <v>8</v>
      </c>
    </row>
    <row r="300" spans="1:33" x14ac:dyDescent="0.25">
      <c r="A300" s="381" t="s">
        <v>658</v>
      </c>
      <c r="B300" s="387" t="s">
        <v>659</v>
      </c>
      <c r="C300" s="383">
        <v>2708</v>
      </c>
      <c r="D300" s="383">
        <v>0</v>
      </c>
      <c r="E300" s="383">
        <v>344</v>
      </c>
      <c r="F300" s="383">
        <v>329</v>
      </c>
      <c r="G300" s="383">
        <v>427</v>
      </c>
      <c r="H300" s="383">
        <v>3808</v>
      </c>
      <c r="I300" s="382">
        <v>3381</v>
      </c>
      <c r="J300" s="382">
        <v>131</v>
      </c>
      <c r="K300" s="384">
        <v>111.73</v>
      </c>
      <c r="L300" s="384">
        <v>110.58</v>
      </c>
      <c r="M300" s="384">
        <v>8.19</v>
      </c>
      <c r="N300" s="384">
        <v>117.4</v>
      </c>
      <c r="O300" s="385">
        <v>2170</v>
      </c>
      <c r="P300" s="382">
        <v>105.7</v>
      </c>
      <c r="Q300" s="382">
        <v>94.06</v>
      </c>
      <c r="R300" s="382">
        <v>42.3</v>
      </c>
      <c r="S300" s="382">
        <v>143.52000000000001</v>
      </c>
      <c r="T300" s="382">
        <v>264</v>
      </c>
      <c r="U300" s="382">
        <v>147.94999999999999</v>
      </c>
      <c r="V300" s="382">
        <v>404</v>
      </c>
      <c r="W300" s="382">
        <v>0</v>
      </c>
      <c r="X300" s="382">
        <v>0</v>
      </c>
      <c r="Y300" s="382">
        <v>237</v>
      </c>
      <c r="Z300" s="382">
        <v>0</v>
      </c>
      <c r="AA300" s="382">
        <v>1</v>
      </c>
      <c r="AB300" s="382">
        <v>77</v>
      </c>
      <c r="AC300" s="382">
        <v>14</v>
      </c>
      <c r="AD300" s="386">
        <v>2576</v>
      </c>
      <c r="AE300" s="386">
        <v>9</v>
      </c>
      <c r="AF300" s="386">
        <v>8</v>
      </c>
      <c r="AG300" s="386">
        <v>17</v>
      </c>
    </row>
    <row r="301" spans="1:33" x14ac:dyDescent="0.25">
      <c r="A301" s="381" t="s">
        <v>660</v>
      </c>
      <c r="B301" s="387" t="s">
        <v>661</v>
      </c>
      <c r="C301" s="383">
        <v>7940</v>
      </c>
      <c r="D301" s="383">
        <v>0</v>
      </c>
      <c r="E301" s="383">
        <v>327</v>
      </c>
      <c r="F301" s="383">
        <v>816</v>
      </c>
      <c r="G301" s="383">
        <v>659</v>
      </c>
      <c r="H301" s="383">
        <v>9742</v>
      </c>
      <c r="I301" s="382">
        <v>9083</v>
      </c>
      <c r="J301" s="382">
        <v>0</v>
      </c>
      <c r="K301" s="384">
        <v>117.42</v>
      </c>
      <c r="L301" s="384">
        <v>118.88</v>
      </c>
      <c r="M301" s="384">
        <v>5.05</v>
      </c>
      <c r="N301" s="384">
        <v>120.08</v>
      </c>
      <c r="O301" s="385">
        <v>7559</v>
      </c>
      <c r="P301" s="382">
        <v>113.09</v>
      </c>
      <c r="Q301" s="382">
        <v>108.65</v>
      </c>
      <c r="R301" s="382">
        <v>29.52</v>
      </c>
      <c r="S301" s="382">
        <v>141.66999999999999</v>
      </c>
      <c r="T301" s="382">
        <v>979</v>
      </c>
      <c r="U301" s="382">
        <v>149.38999999999999</v>
      </c>
      <c r="V301" s="382">
        <v>368</v>
      </c>
      <c r="W301" s="382">
        <v>181.55</v>
      </c>
      <c r="X301" s="382">
        <v>81</v>
      </c>
      <c r="Y301" s="382">
        <v>9</v>
      </c>
      <c r="Z301" s="382">
        <v>2</v>
      </c>
      <c r="AA301" s="382">
        <v>3</v>
      </c>
      <c r="AB301" s="382">
        <v>86</v>
      </c>
      <c r="AC301" s="382">
        <v>16</v>
      </c>
      <c r="AD301" s="386">
        <v>7937</v>
      </c>
      <c r="AE301" s="386">
        <v>42</v>
      </c>
      <c r="AF301" s="386">
        <v>22</v>
      </c>
      <c r="AG301" s="386">
        <v>64</v>
      </c>
    </row>
    <row r="302" spans="1:33" x14ac:dyDescent="0.25">
      <c r="A302" s="381" t="s">
        <v>662</v>
      </c>
      <c r="B302" s="387" t="s">
        <v>663</v>
      </c>
      <c r="C302" s="383">
        <v>2272</v>
      </c>
      <c r="D302" s="383">
        <v>8</v>
      </c>
      <c r="E302" s="383">
        <v>40</v>
      </c>
      <c r="F302" s="383">
        <v>148</v>
      </c>
      <c r="G302" s="383">
        <v>115</v>
      </c>
      <c r="H302" s="383">
        <v>2583</v>
      </c>
      <c r="I302" s="382">
        <v>2468</v>
      </c>
      <c r="J302" s="382">
        <v>1</v>
      </c>
      <c r="K302" s="384">
        <v>90.87</v>
      </c>
      <c r="L302" s="384">
        <v>82.17</v>
      </c>
      <c r="M302" s="384">
        <v>7.78</v>
      </c>
      <c r="N302" s="384">
        <v>93.7</v>
      </c>
      <c r="O302" s="385">
        <v>2110</v>
      </c>
      <c r="P302" s="382">
        <v>90.68</v>
      </c>
      <c r="Q302" s="382">
        <v>80.760000000000005</v>
      </c>
      <c r="R302" s="382">
        <v>34.130000000000003</v>
      </c>
      <c r="S302" s="382">
        <v>122.37</v>
      </c>
      <c r="T302" s="382">
        <v>112</v>
      </c>
      <c r="U302" s="382">
        <v>114.66</v>
      </c>
      <c r="V302" s="382">
        <v>109</v>
      </c>
      <c r="W302" s="382">
        <v>83.63</v>
      </c>
      <c r="X302" s="382">
        <v>4</v>
      </c>
      <c r="Y302" s="382">
        <v>0</v>
      </c>
      <c r="Z302" s="382">
        <v>2</v>
      </c>
      <c r="AA302" s="382">
        <v>2</v>
      </c>
      <c r="AB302" s="382">
        <v>8</v>
      </c>
      <c r="AC302" s="382">
        <v>2</v>
      </c>
      <c r="AD302" s="386">
        <v>2183</v>
      </c>
      <c r="AE302" s="386">
        <v>4</v>
      </c>
      <c r="AF302" s="386">
        <v>9</v>
      </c>
      <c r="AG302" s="386">
        <v>13</v>
      </c>
    </row>
    <row r="303" spans="1:33" x14ac:dyDescent="0.25">
      <c r="A303" s="381" t="s">
        <v>664</v>
      </c>
      <c r="B303" s="387" t="s">
        <v>665</v>
      </c>
      <c r="C303" s="383">
        <v>770</v>
      </c>
      <c r="D303" s="383">
        <v>4</v>
      </c>
      <c r="E303" s="383">
        <v>196</v>
      </c>
      <c r="F303" s="383">
        <v>374</v>
      </c>
      <c r="G303" s="383">
        <v>316</v>
      </c>
      <c r="H303" s="383">
        <v>1660</v>
      </c>
      <c r="I303" s="382">
        <v>1344</v>
      </c>
      <c r="J303" s="382">
        <v>0</v>
      </c>
      <c r="K303" s="384">
        <v>93.25</v>
      </c>
      <c r="L303" s="384">
        <v>91.23</v>
      </c>
      <c r="M303" s="384">
        <v>5.0999999999999996</v>
      </c>
      <c r="N303" s="384">
        <v>96.7</v>
      </c>
      <c r="O303" s="385">
        <v>571</v>
      </c>
      <c r="P303" s="382">
        <v>100.44</v>
      </c>
      <c r="Q303" s="382">
        <v>91.44</v>
      </c>
      <c r="R303" s="382">
        <v>39.07</v>
      </c>
      <c r="S303" s="382">
        <v>139.28</v>
      </c>
      <c r="T303" s="382">
        <v>488</v>
      </c>
      <c r="U303" s="382">
        <v>104.83</v>
      </c>
      <c r="V303" s="382">
        <v>174</v>
      </c>
      <c r="W303" s="382">
        <v>0</v>
      </c>
      <c r="X303" s="382">
        <v>0</v>
      </c>
      <c r="Y303" s="382">
        <v>41</v>
      </c>
      <c r="Z303" s="382">
        <v>0</v>
      </c>
      <c r="AA303" s="382">
        <v>0</v>
      </c>
      <c r="AB303" s="382">
        <v>20</v>
      </c>
      <c r="AC303" s="382">
        <v>0</v>
      </c>
      <c r="AD303" s="386">
        <v>759</v>
      </c>
      <c r="AE303" s="386">
        <v>4</v>
      </c>
      <c r="AF303" s="386">
        <v>2</v>
      </c>
      <c r="AG303" s="386">
        <v>6</v>
      </c>
    </row>
    <row r="304" spans="1:33" x14ac:dyDescent="0.25">
      <c r="A304" s="381" t="s">
        <v>666</v>
      </c>
      <c r="B304" s="387" t="s">
        <v>667</v>
      </c>
      <c r="C304" s="383">
        <v>4200</v>
      </c>
      <c r="D304" s="383">
        <v>0</v>
      </c>
      <c r="E304" s="383">
        <v>69</v>
      </c>
      <c r="F304" s="383">
        <v>430</v>
      </c>
      <c r="G304" s="383">
        <v>306</v>
      </c>
      <c r="H304" s="383">
        <v>5005</v>
      </c>
      <c r="I304" s="382">
        <v>4699</v>
      </c>
      <c r="J304" s="382">
        <v>0</v>
      </c>
      <c r="K304" s="384">
        <v>79.87</v>
      </c>
      <c r="L304" s="384">
        <v>79.849999999999994</v>
      </c>
      <c r="M304" s="384">
        <v>4.83</v>
      </c>
      <c r="N304" s="384">
        <v>81.25</v>
      </c>
      <c r="O304" s="385">
        <v>4003</v>
      </c>
      <c r="P304" s="382">
        <v>74.92</v>
      </c>
      <c r="Q304" s="382">
        <v>75.08</v>
      </c>
      <c r="R304" s="382">
        <v>29.58</v>
      </c>
      <c r="S304" s="382">
        <v>104.01</v>
      </c>
      <c r="T304" s="382">
        <v>484</v>
      </c>
      <c r="U304" s="382">
        <v>93.08</v>
      </c>
      <c r="V304" s="382">
        <v>172</v>
      </c>
      <c r="W304" s="382">
        <v>113.41</v>
      </c>
      <c r="X304" s="382">
        <v>8</v>
      </c>
      <c r="Y304" s="382">
        <v>0</v>
      </c>
      <c r="Z304" s="382">
        <v>11</v>
      </c>
      <c r="AA304" s="382">
        <v>1</v>
      </c>
      <c r="AB304" s="382">
        <v>6</v>
      </c>
      <c r="AC304" s="382">
        <v>5</v>
      </c>
      <c r="AD304" s="386">
        <v>4189</v>
      </c>
      <c r="AE304" s="386">
        <v>18</v>
      </c>
      <c r="AF304" s="386">
        <v>8</v>
      </c>
      <c r="AG304" s="386">
        <v>26</v>
      </c>
    </row>
    <row r="305" spans="1:33" ht="14.5" x14ac:dyDescent="0.35">
      <c r="A305" s="388" t="s">
        <v>815</v>
      </c>
      <c r="B305" s="388" t="s">
        <v>813</v>
      </c>
      <c r="C305" s="382">
        <v>10928</v>
      </c>
      <c r="D305" s="382">
        <v>30</v>
      </c>
      <c r="E305" s="382">
        <v>449</v>
      </c>
      <c r="F305" s="382">
        <v>2454</v>
      </c>
      <c r="G305" s="382">
        <v>2065</v>
      </c>
      <c r="H305" s="382">
        <v>15926</v>
      </c>
      <c r="I305" s="382">
        <v>13861</v>
      </c>
      <c r="J305" s="382">
        <v>3</v>
      </c>
      <c r="K305" s="382">
        <v>97.22</v>
      </c>
      <c r="L305" s="382">
        <v>95.47</v>
      </c>
      <c r="M305" s="382">
        <v>5.74</v>
      </c>
      <c r="N305" s="382">
        <v>100.95</v>
      </c>
      <c r="O305" s="382">
        <v>9279</v>
      </c>
      <c r="P305" s="382">
        <v>94.58</v>
      </c>
      <c r="Q305" s="382">
        <v>91.83</v>
      </c>
      <c r="R305" s="382">
        <v>30.17</v>
      </c>
      <c r="S305" s="382">
        <v>115.74</v>
      </c>
      <c r="T305" s="382">
        <v>2785</v>
      </c>
      <c r="U305" s="382">
        <v>122.18</v>
      </c>
      <c r="V305" s="382">
        <v>1254</v>
      </c>
      <c r="W305" s="382">
        <v>195.93</v>
      </c>
      <c r="X305" s="382">
        <v>77</v>
      </c>
      <c r="Y305" s="382">
        <v>0</v>
      </c>
      <c r="Z305" s="382">
        <v>35</v>
      </c>
      <c r="AA305" s="382">
        <v>12</v>
      </c>
      <c r="AB305" s="382">
        <v>150</v>
      </c>
      <c r="AC305" s="382">
        <v>35</v>
      </c>
      <c r="AD305" s="382">
        <v>10663</v>
      </c>
      <c r="AE305" s="382">
        <v>76</v>
      </c>
      <c r="AF305" s="382">
        <v>21</v>
      </c>
      <c r="AG305" s="382">
        <v>97</v>
      </c>
    </row>
    <row r="306" spans="1:33" x14ac:dyDescent="0.25">
      <c r="A306" s="381" t="s">
        <v>668</v>
      </c>
      <c r="B306" s="387" t="s">
        <v>669</v>
      </c>
      <c r="C306" s="383">
        <v>5582</v>
      </c>
      <c r="D306" s="383">
        <v>2</v>
      </c>
      <c r="E306" s="383">
        <v>127</v>
      </c>
      <c r="F306" s="383">
        <v>159</v>
      </c>
      <c r="G306" s="383">
        <v>584</v>
      </c>
      <c r="H306" s="383">
        <v>6454</v>
      </c>
      <c r="I306" s="382">
        <v>5870</v>
      </c>
      <c r="J306" s="382">
        <v>73</v>
      </c>
      <c r="K306" s="384">
        <v>109.83</v>
      </c>
      <c r="L306" s="384">
        <v>114.01</v>
      </c>
      <c r="M306" s="384">
        <v>4.6399999999999997</v>
      </c>
      <c r="N306" s="384">
        <v>111.61</v>
      </c>
      <c r="O306" s="385">
        <v>4912</v>
      </c>
      <c r="P306" s="382">
        <v>96.54</v>
      </c>
      <c r="Q306" s="382">
        <v>91.81</v>
      </c>
      <c r="R306" s="382">
        <v>52.75</v>
      </c>
      <c r="S306" s="382">
        <v>148.53</v>
      </c>
      <c r="T306" s="382">
        <v>281</v>
      </c>
      <c r="U306" s="382">
        <v>158.03</v>
      </c>
      <c r="V306" s="382">
        <v>518</v>
      </c>
      <c r="W306" s="382">
        <v>0</v>
      </c>
      <c r="X306" s="382">
        <v>0</v>
      </c>
      <c r="Y306" s="382">
        <v>0</v>
      </c>
      <c r="Z306" s="382">
        <v>6</v>
      </c>
      <c r="AA306" s="382">
        <v>20</v>
      </c>
      <c r="AB306" s="382">
        <v>58</v>
      </c>
      <c r="AC306" s="382">
        <v>11</v>
      </c>
      <c r="AD306" s="386">
        <v>5424</v>
      </c>
      <c r="AE306" s="386">
        <v>14</v>
      </c>
      <c r="AF306" s="386">
        <v>44</v>
      </c>
      <c r="AG306" s="386">
        <v>58</v>
      </c>
    </row>
    <row r="307" spans="1:33" x14ac:dyDescent="0.25">
      <c r="A307" s="381" t="s">
        <v>670</v>
      </c>
      <c r="B307" s="387" t="s">
        <v>671</v>
      </c>
      <c r="C307" s="382">
        <v>10583</v>
      </c>
      <c r="D307" s="382">
        <v>0</v>
      </c>
      <c r="E307" s="382">
        <v>455</v>
      </c>
      <c r="F307" s="382">
        <v>1185</v>
      </c>
      <c r="G307" s="382">
        <v>579</v>
      </c>
      <c r="H307" s="382">
        <v>12802</v>
      </c>
      <c r="I307" s="382">
        <v>12223</v>
      </c>
      <c r="J307" s="382">
        <v>2</v>
      </c>
      <c r="K307" s="382">
        <v>91.46</v>
      </c>
      <c r="L307" s="384">
        <v>91.49</v>
      </c>
      <c r="M307" s="384">
        <v>4.8</v>
      </c>
      <c r="N307" s="384">
        <v>92.64</v>
      </c>
      <c r="O307" s="385">
        <v>8903</v>
      </c>
      <c r="P307" s="382">
        <v>88.96</v>
      </c>
      <c r="Q307" s="382">
        <v>85.38</v>
      </c>
      <c r="R307" s="382">
        <v>37.31</v>
      </c>
      <c r="S307" s="382">
        <v>123.74</v>
      </c>
      <c r="T307" s="382">
        <v>1589</v>
      </c>
      <c r="U307" s="382">
        <v>128.78</v>
      </c>
      <c r="V307" s="382">
        <v>1553</v>
      </c>
      <c r="W307" s="382">
        <v>106.88</v>
      </c>
      <c r="X307" s="382">
        <v>23</v>
      </c>
      <c r="Y307" s="382">
        <v>16</v>
      </c>
      <c r="Z307" s="382">
        <v>24</v>
      </c>
      <c r="AA307" s="382">
        <v>24</v>
      </c>
      <c r="AB307" s="382">
        <v>26</v>
      </c>
      <c r="AC307" s="382">
        <v>20</v>
      </c>
      <c r="AD307" s="382">
        <v>10570</v>
      </c>
      <c r="AE307" s="382">
        <v>76</v>
      </c>
      <c r="AF307" s="382">
        <v>58</v>
      </c>
      <c r="AG307" s="382">
        <v>134</v>
      </c>
    </row>
    <row r="308" spans="1:33" x14ac:dyDescent="0.25">
      <c r="A308" s="381" t="s">
        <v>672</v>
      </c>
      <c r="B308" s="387" t="s">
        <v>673</v>
      </c>
      <c r="C308" s="383">
        <v>12064</v>
      </c>
      <c r="D308" s="383">
        <v>944</v>
      </c>
      <c r="E308" s="383">
        <v>1332</v>
      </c>
      <c r="F308" s="383">
        <v>973</v>
      </c>
      <c r="G308" s="383">
        <v>648</v>
      </c>
      <c r="H308" s="383">
        <v>15961</v>
      </c>
      <c r="I308" s="382">
        <v>15313</v>
      </c>
      <c r="J308" s="382">
        <v>210</v>
      </c>
      <c r="K308" s="384">
        <v>149.1</v>
      </c>
      <c r="L308" s="384">
        <v>142.41999999999999</v>
      </c>
      <c r="M308" s="384">
        <v>11.64</v>
      </c>
      <c r="N308" s="384">
        <v>158.13</v>
      </c>
      <c r="O308" s="385">
        <v>10292</v>
      </c>
      <c r="P308" s="382">
        <v>115.66</v>
      </c>
      <c r="Q308" s="382">
        <v>115.1</v>
      </c>
      <c r="R308" s="382">
        <v>65.25</v>
      </c>
      <c r="S308" s="382">
        <v>171.9</v>
      </c>
      <c r="T308" s="382">
        <v>2078</v>
      </c>
      <c r="U308" s="382">
        <v>209.4</v>
      </c>
      <c r="V308" s="382">
        <v>663</v>
      </c>
      <c r="W308" s="382">
        <v>151.28</v>
      </c>
      <c r="X308" s="382">
        <v>1</v>
      </c>
      <c r="Y308" s="382">
        <v>0</v>
      </c>
      <c r="Z308" s="382">
        <v>1</v>
      </c>
      <c r="AA308" s="382">
        <v>3</v>
      </c>
      <c r="AB308" s="382">
        <v>1</v>
      </c>
      <c r="AC308" s="382">
        <v>10</v>
      </c>
      <c r="AD308" s="386">
        <v>10463</v>
      </c>
      <c r="AE308" s="386">
        <v>31</v>
      </c>
      <c r="AF308" s="386">
        <v>110</v>
      </c>
      <c r="AG308" s="386">
        <v>141</v>
      </c>
    </row>
    <row r="309" spans="1:33" x14ac:dyDescent="0.25">
      <c r="A309" s="381" t="s">
        <v>674</v>
      </c>
      <c r="B309" s="387" t="s">
        <v>675</v>
      </c>
      <c r="C309" s="383">
        <v>2070</v>
      </c>
      <c r="D309" s="383">
        <v>0</v>
      </c>
      <c r="E309" s="383">
        <v>709</v>
      </c>
      <c r="F309" s="383">
        <v>1020</v>
      </c>
      <c r="G309" s="383">
        <v>119</v>
      </c>
      <c r="H309" s="383">
        <v>3918</v>
      </c>
      <c r="I309" s="382">
        <v>3799</v>
      </c>
      <c r="J309" s="382">
        <v>3</v>
      </c>
      <c r="K309" s="384">
        <v>79.8</v>
      </c>
      <c r="L309" s="384">
        <v>76.63</v>
      </c>
      <c r="M309" s="384">
        <v>6.95</v>
      </c>
      <c r="N309" s="384">
        <v>83.47</v>
      </c>
      <c r="O309" s="385">
        <v>1601</v>
      </c>
      <c r="P309" s="382">
        <v>83.11</v>
      </c>
      <c r="Q309" s="382">
        <v>71.760000000000005</v>
      </c>
      <c r="R309" s="382">
        <v>49.42</v>
      </c>
      <c r="S309" s="382">
        <v>130.52000000000001</v>
      </c>
      <c r="T309" s="382">
        <v>1450</v>
      </c>
      <c r="U309" s="382">
        <v>97.61</v>
      </c>
      <c r="V309" s="382">
        <v>341</v>
      </c>
      <c r="W309" s="382">
        <v>159.53</v>
      </c>
      <c r="X309" s="382">
        <v>20</v>
      </c>
      <c r="Y309" s="382">
        <v>179</v>
      </c>
      <c r="Z309" s="382">
        <v>1</v>
      </c>
      <c r="AA309" s="382">
        <v>13</v>
      </c>
      <c r="AB309" s="382">
        <v>12</v>
      </c>
      <c r="AC309" s="382">
        <v>2</v>
      </c>
      <c r="AD309" s="386">
        <v>1978</v>
      </c>
      <c r="AE309" s="386">
        <v>26</v>
      </c>
      <c r="AF309" s="386">
        <v>15</v>
      </c>
      <c r="AG309" s="386">
        <v>41</v>
      </c>
    </row>
    <row r="310" spans="1:33" x14ac:dyDescent="0.25">
      <c r="A310" s="381" t="s">
        <v>676</v>
      </c>
      <c r="B310" s="387" t="s">
        <v>677</v>
      </c>
      <c r="C310" s="383">
        <v>21672</v>
      </c>
      <c r="D310" s="383">
        <v>29</v>
      </c>
      <c r="E310" s="383">
        <v>686</v>
      </c>
      <c r="F310" s="383">
        <v>3071</v>
      </c>
      <c r="G310" s="383">
        <v>1522</v>
      </c>
      <c r="H310" s="383">
        <v>26980</v>
      </c>
      <c r="I310" s="382">
        <v>25458</v>
      </c>
      <c r="J310" s="382">
        <v>8</v>
      </c>
      <c r="K310" s="384">
        <v>99.91</v>
      </c>
      <c r="L310" s="384">
        <v>98.86</v>
      </c>
      <c r="M310" s="384">
        <v>3.72</v>
      </c>
      <c r="N310" s="384">
        <v>101.99</v>
      </c>
      <c r="O310" s="385">
        <v>18864</v>
      </c>
      <c r="P310" s="382">
        <v>94.07</v>
      </c>
      <c r="Q310" s="382">
        <v>91.36</v>
      </c>
      <c r="R310" s="382">
        <v>22.95</v>
      </c>
      <c r="S310" s="382">
        <v>116.15</v>
      </c>
      <c r="T310" s="382">
        <v>3372</v>
      </c>
      <c r="U310" s="382">
        <v>126.91</v>
      </c>
      <c r="V310" s="382">
        <v>2318</v>
      </c>
      <c r="W310" s="382">
        <v>120.48</v>
      </c>
      <c r="X310" s="382">
        <v>40</v>
      </c>
      <c r="Y310" s="382">
        <v>206</v>
      </c>
      <c r="Z310" s="382">
        <v>28</v>
      </c>
      <c r="AA310" s="382">
        <v>86</v>
      </c>
      <c r="AB310" s="382">
        <v>141</v>
      </c>
      <c r="AC310" s="382">
        <v>32</v>
      </c>
      <c r="AD310" s="386">
        <v>21200</v>
      </c>
      <c r="AE310" s="386">
        <v>102</v>
      </c>
      <c r="AF310" s="386">
        <v>117</v>
      </c>
      <c r="AG310" s="386">
        <v>219</v>
      </c>
    </row>
    <row r="311" spans="1:33" x14ac:dyDescent="0.25">
      <c r="A311" s="381" t="s">
        <v>678</v>
      </c>
      <c r="B311" s="387" t="s">
        <v>679</v>
      </c>
      <c r="C311" s="383">
        <v>2251</v>
      </c>
      <c r="D311" s="383">
        <v>6</v>
      </c>
      <c r="E311" s="383">
        <v>222</v>
      </c>
      <c r="F311" s="383">
        <v>228</v>
      </c>
      <c r="G311" s="383">
        <v>396</v>
      </c>
      <c r="H311" s="383">
        <v>3103</v>
      </c>
      <c r="I311" s="382">
        <v>2707</v>
      </c>
      <c r="J311" s="382">
        <v>0</v>
      </c>
      <c r="K311" s="384">
        <v>113.87</v>
      </c>
      <c r="L311" s="384">
        <v>110.61</v>
      </c>
      <c r="M311" s="384">
        <v>7.58</v>
      </c>
      <c r="N311" s="384">
        <v>120.87</v>
      </c>
      <c r="O311" s="385">
        <v>1750</v>
      </c>
      <c r="P311" s="382">
        <v>100.3</v>
      </c>
      <c r="Q311" s="382">
        <v>93.15</v>
      </c>
      <c r="R311" s="382">
        <v>38.700000000000003</v>
      </c>
      <c r="S311" s="382">
        <v>134.47999999999999</v>
      </c>
      <c r="T311" s="382">
        <v>420</v>
      </c>
      <c r="U311" s="382">
        <v>165.08</v>
      </c>
      <c r="V311" s="382">
        <v>347</v>
      </c>
      <c r="W311" s="382">
        <v>0</v>
      </c>
      <c r="X311" s="382">
        <v>0</v>
      </c>
      <c r="Y311" s="382">
        <v>49</v>
      </c>
      <c r="Z311" s="382">
        <v>0</v>
      </c>
      <c r="AA311" s="382">
        <v>5</v>
      </c>
      <c r="AB311" s="382">
        <v>45</v>
      </c>
      <c r="AC311" s="382">
        <v>11</v>
      </c>
      <c r="AD311" s="386">
        <v>2116</v>
      </c>
      <c r="AE311" s="386">
        <v>8</v>
      </c>
      <c r="AF311" s="386">
        <v>13</v>
      </c>
      <c r="AG311" s="386">
        <v>21</v>
      </c>
    </row>
    <row r="312" spans="1:33" x14ac:dyDescent="0.25">
      <c r="A312" s="381" t="s">
        <v>680</v>
      </c>
      <c r="B312" s="387" t="s">
        <v>681</v>
      </c>
      <c r="C312" s="383">
        <v>6715</v>
      </c>
      <c r="D312" s="383">
        <v>16</v>
      </c>
      <c r="E312" s="383">
        <v>157</v>
      </c>
      <c r="F312" s="383">
        <v>897</v>
      </c>
      <c r="G312" s="383">
        <v>237</v>
      </c>
      <c r="H312" s="383">
        <v>8022</v>
      </c>
      <c r="I312" s="382">
        <v>7785</v>
      </c>
      <c r="J312" s="382">
        <v>39</v>
      </c>
      <c r="K312" s="384">
        <v>121.78</v>
      </c>
      <c r="L312" s="384">
        <v>123.59</v>
      </c>
      <c r="M312" s="384">
        <v>8.2899999999999991</v>
      </c>
      <c r="N312" s="384">
        <v>125.41</v>
      </c>
      <c r="O312" s="385">
        <v>6386</v>
      </c>
      <c r="P312" s="382">
        <v>109.16</v>
      </c>
      <c r="Q312" s="382">
        <v>108.39</v>
      </c>
      <c r="R312" s="382">
        <v>24.85</v>
      </c>
      <c r="S312" s="382">
        <v>132.84</v>
      </c>
      <c r="T312" s="382">
        <v>1009</v>
      </c>
      <c r="U312" s="382">
        <v>174.78</v>
      </c>
      <c r="V312" s="382">
        <v>294</v>
      </c>
      <c r="W312" s="382">
        <v>146.74</v>
      </c>
      <c r="X312" s="382">
        <v>1</v>
      </c>
      <c r="Y312" s="382">
        <v>49</v>
      </c>
      <c r="Z312" s="382">
        <v>2</v>
      </c>
      <c r="AA312" s="382">
        <v>3</v>
      </c>
      <c r="AB312" s="382">
        <v>9</v>
      </c>
      <c r="AC312" s="382">
        <v>9</v>
      </c>
      <c r="AD312" s="386">
        <v>6712</v>
      </c>
      <c r="AE312" s="386">
        <v>55</v>
      </c>
      <c r="AF312" s="386">
        <v>2</v>
      </c>
      <c r="AG312" s="386">
        <v>57</v>
      </c>
    </row>
    <row r="313" spans="1:33" x14ac:dyDescent="0.25">
      <c r="A313" s="381" t="s">
        <v>682</v>
      </c>
      <c r="B313" s="387" t="s">
        <v>683</v>
      </c>
      <c r="C313" s="383">
        <v>17910</v>
      </c>
      <c r="D313" s="383">
        <v>25</v>
      </c>
      <c r="E313" s="383">
        <v>1185</v>
      </c>
      <c r="F313" s="383">
        <v>3703</v>
      </c>
      <c r="G313" s="383">
        <v>471</v>
      </c>
      <c r="H313" s="383">
        <v>23294</v>
      </c>
      <c r="I313" s="382">
        <v>22823</v>
      </c>
      <c r="J313" s="382">
        <v>0</v>
      </c>
      <c r="K313" s="384">
        <v>86.47</v>
      </c>
      <c r="L313" s="384">
        <v>83.84</v>
      </c>
      <c r="M313" s="384">
        <v>6.7</v>
      </c>
      <c r="N313" s="384">
        <v>88.66</v>
      </c>
      <c r="O313" s="385">
        <v>14099</v>
      </c>
      <c r="P313" s="382">
        <v>84.37</v>
      </c>
      <c r="Q313" s="382">
        <v>77.59</v>
      </c>
      <c r="R313" s="382">
        <v>25.81</v>
      </c>
      <c r="S313" s="382">
        <v>108.49</v>
      </c>
      <c r="T313" s="382">
        <v>3716</v>
      </c>
      <c r="U313" s="382">
        <v>108.26</v>
      </c>
      <c r="V313" s="382">
        <v>2037</v>
      </c>
      <c r="W313" s="382">
        <v>158.32</v>
      </c>
      <c r="X313" s="382">
        <v>200</v>
      </c>
      <c r="Y313" s="382">
        <v>372</v>
      </c>
      <c r="Z313" s="382">
        <v>80</v>
      </c>
      <c r="AA313" s="382">
        <v>83</v>
      </c>
      <c r="AB313" s="382">
        <v>2</v>
      </c>
      <c r="AC313" s="382">
        <v>4</v>
      </c>
      <c r="AD313" s="386">
        <v>15928</v>
      </c>
      <c r="AE313" s="386">
        <v>70</v>
      </c>
      <c r="AF313" s="386">
        <v>290</v>
      </c>
      <c r="AG313" s="386">
        <v>360</v>
      </c>
    </row>
    <row r="314" spans="1:33" x14ac:dyDescent="0.25">
      <c r="A314" s="381" t="s">
        <v>684</v>
      </c>
      <c r="B314" s="387" t="s">
        <v>685</v>
      </c>
      <c r="C314" s="383">
        <v>866</v>
      </c>
      <c r="D314" s="383">
        <v>0</v>
      </c>
      <c r="E314" s="383">
        <v>186</v>
      </c>
      <c r="F314" s="383">
        <v>329</v>
      </c>
      <c r="G314" s="383">
        <v>243</v>
      </c>
      <c r="H314" s="383">
        <v>1624</v>
      </c>
      <c r="I314" s="382">
        <v>1381</v>
      </c>
      <c r="J314" s="382">
        <v>2</v>
      </c>
      <c r="K314" s="384">
        <v>125.2</v>
      </c>
      <c r="L314" s="384">
        <v>120.92</v>
      </c>
      <c r="M314" s="384">
        <v>9.6999999999999993</v>
      </c>
      <c r="N314" s="384">
        <v>133.07</v>
      </c>
      <c r="O314" s="385">
        <v>690</v>
      </c>
      <c r="P314" s="382">
        <v>125.26</v>
      </c>
      <c r="Q314" s="382">
        <v>96.58</v>
      </c>
      <c r="R314" s="382">
        <v>41.63</v>
      </c>
      <c r="S314" s="382">
        <v>166.47</v>
      </c>
      <c r="T314" s="382">
        <v>295</v>
      </c>
      <c r="U314" s="382">
        <v>205.89</v>
      </c>
      <c r="V314" s="382">
        <v>36</v>
      </c>
      <c r="W314" s="382">
        <v>142.01</v>
      </c>
      <c r="X314" s="382">
        <v>4</v>
      </c>
      <c r="Y314" s="382">
        <v>0</v>
      </c>
      <c r="Z314" s="382">
        <v>1</v>
      </c>
      <c r="AA314" s="382">
        <v>7</v>
      </c>
      <c r="AB314" s="382">
        <v>21</v>
      </c>
      <c r="AC314" s="382">
        <v>8</v>
      </c>
      <c r="AD314" s="386">
        <v>750</v>
      </c>
      <c r="AE314" s="386">
        <v>2</v>
      </c>
      <c r="AF314" s="386">
        <v>8</v>
      </c>
      <c r="AG314" s="386">
        <v>10</v>
      </c>
    </row>
    <row r="315" spans="1:33" x14ac:dyDescent="0.25">
      <c r="A315" s="381" t="s">
        <v>686</v>
      </c>
      <c r="B315" s="387" t="s">
        <v>687</v>
      </c>
      <c r="C315" s="383">
        <v>1656</v>
      </c>
      <c r="D315" s="383">
        <v>0</v>
      </c>
      <c r="E315" s="383">
        <v>171</v>
      </c>
      <c r="F315" s="383">
        <v>180</v>
      </c>
      <c r="G315" s="383">
        <v>780</v>
      </c>
      <c r="H315" s="383">
        <v>2787</v>
      </c>
      <c r="I315" s="382">
        <v>2007</v>
      </c>
      <c r="J315" s="382">
        <v>6</v>
      </c>
      <c r="K315" s="384">
        <v>129.33000000000001</v>
      </c>
      <c r="L315" s="384">
        <v>126.82</v>
      </c>
      <c r="M315" s="384">
        <v>6.78</v>
      </c>
      <c r="N315" s="384">
        <v>135.01</v>
      </c>
      <c r="O315" s="385">
        <v>1486</v>
      </c>
      <c r="P315" s="382">
        <v>105.01</v>
      </c>
      <c r="Q315" s="382">
        <v>103.94</v>
      </c>
      <c r="R315" s="382">
        <v>42.75</v>
      </c>
      <c r="S315" s="382">
        <v>145.94</v>
      </c>
      <c r="T315" s="382">
        <v>235</v>
      </c>
      <c r="U315" s="382">
        <v>159.75</v>
      </c>
      <c r="V315" s="382">
        <v>128</v>
      </c>
      <c r="W315" s="382">
        <v>0</v>
      </c>
      <c r="X315" s="382">
        <v>0</v>
      </c>
      <c r="Y315" s="382">
        <v>0</v>
      </c>
      <c r="Z315" s="382">
        <v>0</v>
      </c>
      <c r="AA315" s="382">
        <v>4</v>
      </c>
      <c r="AB315" s="382">
        <v>148</v>
      </c>
      <c r="AC315" s="382">
        <v>14</v>
      </c>
      <c r="AD315" s="386">
        <v>1636</v>
      </c>
      <c r="AE315" s="386">
        <v>7</v>
      </c>
      <c r="AF315" s="386">
        <v>4</v>
      </c>
      <c r="AG315" s="386">
        <v>11</v>
      </c>
    </row>
    <row r="316" spans="1:33" x14ac:dyDescent="0.25">
      <c r="A316" s="381" t="s">
        <v>688</v>
      </c>
      <c r="B316" s="387" t="s">
        <v>689</v>
      </c>
      <c r="C316" s="383">
        <v>4382</v>
      </c>
      <c r="D316" s="383">
        <v>2</v>
      </c>
      <c r="E316" s="383">
        <v>552</v>
      </c>
      <c r="F316" s="383">
        <v>1503</v>
      </c>
      <c r="G316" s="383">
        <v>289</v>
      </c>
      <c r="H316" s="383">
        <v>6728</v>
      </c>
      <c r="I316" s="382">
        <v>6439</v>
      </c>
      <c r="J316" s="382">
        <v>0</v>
      </c>
      <c r="K316" s="384">
        <v>88.81</v>
      </c>
      <c r="L316" s="384">
        <v>78.069999999999993</v>
      </c>
      <c r="M316" s="384">
        <v>6.26</v>
      </c>
      <c r="N316" s="384">
        <v>94.28</v>
      </c>
      <c r="O316" s="385">
        <v>3862</v>
      </c>
      <c r="P316" s="382">
        <v>99.95</v>
      </c>
      <c r="Q316" s="382">
        <v>87.35</v>
      </c>
      <c r="R316" s="382">
        <v>50.9</v>
      </c>
      <c r="S316" s="382">
        <v>148.05000000000001</v>
      </c>
      <c r="T316" s="382">
        <v>1852</v>
      </c>
      <c r="U316" s="382">
        <v>106.31</v>
      </c>
      <c r="V316" s="382">
        <v>364</v>
      </c>
      <c r="W316" s="382">
        <v>169.39</v>
      </c>
      <c r="X316" s="382">
        <v>36</v>
      </c>
      <c r="Y316" s="382">
        <v>0</v>
      </c>
      <c r="Z316" s="382">
        <v>2</v>
      </c>
      <c r="AA316" s="382">
        <v>8</v>
      </c>
      <c r="AB316" s="382">
        <v>5</v>
      </c>
      <c r="AC316" s="382">
        <v>7</v>
      </c>
      <c r="AD316" s="386">
        <v>4382</v>
      </c>
      <c r="AE316" s="386">
        <v>32</v>
      </c>
      <c r="AF316" s="386">
        <v>25</v>
      </c>
      <c r="AG316" s="386">
        <v>57</v>
      </c>
    </row>
    <row r="317" spans="1:33" x14ac:dyDescent="0.25">
      <c r="A317" s="381" t="s">
        <v>690</v>
      </c>
      <c r="B317" s="387" t="s">
        <v>691</v>
      </c>
      <c r="C317" s="383">
        <v>6170</v>
      </c>
      <c r="D317" s="383">
        <v>57</v>
      </c>
      <c r="E317" s="383">
        <v>463</v>
      </c>
      <c r="F317" s="383">
        <v>961</v>
      </c>
      <c r="G317" s="383">
        <v>483</v>
      </c>
      <c r="H317" s="383">
        <v>8134</v>
      </c>
      <c r="I317" s="382">
        <v>7651</v>
      </c>
      <c r="J317" s="382">
        <v>0</v>
      </c>
      <c r="K317" s="384">
        <v>87.13</v>
      </c>
      <c r="L317" s="384">
        <v>87.19</v>
      </c>
      <c r="M317" s="384">
        <v>5.67</v>
      </c>
      <c r="N317" s="384">
        <v>92.38</v>
      </c>
      <c r="O317" s="385">
        <v>5245</v>
      </c>
      <c r="P317" s="382">
        <v>83.6</v>
      </c>
      <c r="Q317" s="382">
        <v>78.98</v>
      </c>
      <c r="R317" s="382">
        <v>40.18</v>
      </c>
      <c r="S317" s="382">
        <v>122.55</v>
      </c>
      <c r="T317" s="382">
        <v>1141</v>
      </c>
      <c r="U317" s="382">
        <v>109.18</v>
      </c>
      <c r="V317" s="382">
        <v>832</v>
      </c>
      <c r="W317" s="382">
        <v>170.54</v>
      </c>
      <c r="X317" s="382">
        <v>160</v>
      </c>
      <c r="Y317" s="382">
        <v>0</v>
      </c>
      <c r="Z317" s="382">
        <v>14</v>
      </c>
      <c r="AA317" s="382">
        <v>0</v>
      </c>
      <c r="AB317" s="382">
        <v>21</v>
      </c>
      <c r="AC317" s="382">
        <v>15</v>
      </c>
      <c r="AD317" s="386">
        <v>6086</v>
      </c>
      <c r="AE317" s="386">
        <v>36</v>
      </c>
      <c r="AF317" s="386">
        <v>14</v>
      </c>
      <c r="AG317" s="386">
        <v>50</v>
      </c>
    </row>
    <row r="318" spans="1:33" x14ac:dyDescent="0.25">
      <c r="A318" s="381" t="s">
        <v>692</v>
      </c>
      <c r="B318" s="387" t="s">
        <v>693</v>
      </c>
      <c r="C318" s="383">
        <v>4040</v>
      </c>
      <c r="D318" s="383">
        <v>35</v>
      </c>
      <c r="E318" s="383">
        <v>246</v>
      </c>
      <c r="F318" s="383">
        <v>490</v>
      </c>
      <c r="G318" s="383">
        <v>141</v>
      </c>
      <c r="H318" s="383">
        <v>4952</v>
      </c>
      <c r="I318" s="382">
        <v>4811</v>
      </c>
      <c r="J318" s="382">
        <v>21</v>
      </c>
      <c r="K318" s="384">
        <v>101.4</v>
      </c>
      <c r="L318" s="384">
        <v>100.14</v>
      </c>
      <c r="M318" s="384">
        <v>6.77</v>
      </c>
      <c r="N318" s="384">
        <v>105.6</v>
      </c>
      <c r="O318" s="385">
        <v>3750</v>
      </c>
      <c r="P318" s="382">
        <v>90.46</v>
      </c>
      <c r="Q318" s="382">
        <v>86.05</v>
      </c>
      <c r="R318" s="382">
        <v>32.89</v>
      </c>
      <c r="S318" s="382">
        <v>121.9</v>
      </c>
      <c r="T318" s="382">
        <v>523</v>
      </c>
      <c r="U318" s="382">
        <v>139.41999999999999</v>
      </c>
      <c r="V318" s="382">
        <v>159</v>
      </c>
      <c r="W318" s="382">
        <v>0</v>
      </c>
      <c r="X318" s="382">
        <v>0</v>
      </c>
      <c r="Y318" s="382">
        <v>0</v>
      </c>
      <c r="Z318" s="382">
        <v>3</v>
      </c>
      <c r="AA318" s="382">
        <v>25</v>
      </c>
      <c r="AB318" s="382">
        <v>14</v>
      </c>
      <c r="AC318" s="382">
        <v>3</v>
      </c>
      <c r="AD318" s="386">
        <v>4011</v>
      </c>
      <c r="AE318" s="386">
        <v>8</v>
      </c>
      <c r="AF318" s="386">
        <v>5</v>
      </c>
      <c r="AG318" s="386">
        <v>13</v>
      </c>
    </row>
    <row r="319" spans="1:33" x14ac:dyDescent="0.25">
      <c r="A319" s="381" t="s">
        <v>694</v>
      </c>
      <c r="B319" s="387" t="s">
        <v>695</v>
      </c>
      <c r="C319" s="383">
        <v>7491</v>
      </c>
      <c r="D319" s="383">
        <v>7</v>
      </c>
      <c r="E319" s="383">
        <v>95</v>
      </c>
      <c r="F319" s="383">
        <v>854</v>
      </c>
      <c r="G319" s="383">
        <v>434</v>
      </c>
      <c r="H319" s="383">
        <v>8881</v>
      </c>
      <c r="I319" s="382">
        <v>8447</v>
      </c>
      <c r="J319" s="382">
        <v>9</v>
      </c>
      <c r="K319" s="384">
        <v>94.55</v>
      </c>
      <c r="L319" s="384">
        <v>91.66</v>
      </c>
      <c r="M319" s="384">
        <v>3.85</v>
      </c>
      <c r="N319" s="384">
        <v>96.52</v>
      </c>
      <c r="O319" s="385">
        <v>6452</v>
      </c>
      <c r="P319" s="382">
        <v>96.6</v>
      </c>
      <c r="Q319" s="382">
        <v>86.74</v>
      </c>
      <c r="R319" s="382">
        <v>35.69</v>
      </c>
      <c r="S319" s="382">
        <v>132.05000000000001</v>
      </c>
      <c r="T319" s="382">
        <v>920</v>
      </c>
      <c r="U319" s="382">
        <v>114.83</v>
      </c>
      <c r="V319" s="382">
        <v>1029</v>
      </c>
      <c r="W319" s="382">
        <v>199</v>
      </c>
      <c r="X319" s="382">
        <v>29</v>
      </c>
      <c r="Y319" s="382">
        <v>0</v>
      </c>
      <c r="Z319" s="382">
        <v>7</v>
      </c>
      <c r="AA319" s="382">
        <v>1</v>
      </c>
      <c r="AB319" s="382">
        <v>74</v>
      </c>
      <c r="AC319" s="382">
        <v>5</v>
      </c>
      <c r="AD319" s="386">
        <v>7491</v>
      </c>
      <c r="AE319" s="386">
        <v>42</v>
      </c>
      <c r="AF319" s="386">
        <v>16</v>
      </c>
      <c r="AG319" s="386">
        <v>58</v>
      </c>
    </row>
    <row r="320" spans="1:33" x14ac:dyDescent="0.25">
      <c r="A320" s="382" t="s">
        <v>696</v>
      </c>
      <c r="B320" s="383" t="s">
        <v>697</v>
      </c>
      <c r="C320" s="387">
        <v>3252</v>
      </c>
      <c r="D320" s="387">
        <v>0</v>
      </c>
      <c r="E320" s="387">
        <v>235</v>
      </c>
      <c r="F320" s="387">
        <v>375</v>
      </c>
      <c r="G320" s="387">
        <v>177</v>
      </c>
      <c r="H320" s="387">
        <v>4039</v>
      </c>
      <c r="I320" s="381">
        <v>3862</v>
      </c>
      <c r="J320" s="381">
        <v>0</v>
      </c>
      <c r="K320" s="390">
        <v>85.74</v>
      </c>
      <c r="L320" s="390">
        <v>85.79</v>
      </c>
      <c r="M320" s="390">
        <v>4.21</v>
      </c>
      <c r="N320" s="390">
        <v>88.11</v>
      </c>
      <c r="O320" s="391">
        <v>2990</v>
      </c>
      <c r="P320" s="381">
        <v>97.61</v>
      </c>
      <c r="Q320" s="381">
        <v>82.31</v>
      </c>
      <c r="R320" s="381">
        <v>34.83</v>
      </c>
      <c r="S320" s="381">
        <v>130.91999999999999</v>
      </c>
      <c r="T320" s="381">
        <v>574</v>
      </c>
      <c r="U320" s="381">
        <v>103.01</v>
      </c>
      <c r="V320" s="381">
        <v>213</v>
      </c>
      <c r="W320" s="381">
        <v>0</v>
      </c>
      <c r="X320" s="381">
        <v>0</v>
      </c>
      <c r="Y320" s="381">
        <v>0</v>
      </c>
      <c r="Z320" s="381">
        <v>1</v>
      </c>
      <c r="AA320" s="381">
        <v>1</v>
      </c>
      <c r="AB320" s="381">
        <v>13</v>
      </c>
      <c r="AC320" s="381">
        <v>4</v>
      </c>
      <c r="AD320" s="392">
        <v>3217</v>
      </c>
      <c r="AE320" s="392">
        <v>36</v>
      </c>
      <c r="AF320" s="392">
        <v>123</v>
      </c>
      <c r="AG320" s="392">
        <v>159</v>
      </c>
    </row>
    <row r="321" spans="1:33" x14ac:dyDescent="0.25">
      <c r="A321" s="381" t="s">
        <v>698</v>
      </c>
      <c r="B321" s="387" t="s">
        <v>699</v>
      </c>
      <c r="C321" s="387">
        <v>4438</v>
      </c>
      <c r="D321" s="387">
        <v>0</v>
      </c>
      <c r="E321" s="387">
        <v>2185</v>
      </c>
      <c r="F321" s="387">
        <v>58</v>
      </c>
      <c r="G321" s="387">
        <v>411</v>
      </c>
      <c r="H321" s="387">
        <v>7092</v>
      </c>
      <c r="I321" s="381">
        <v>6681</v>
      </c>
      <c r="J321" s="381">
        <v>0</v>
      </c>
      <c r="K321" s="390">
        <v>88.41</v>
      </c>
      <c r="L321" s="390">
        <v>84.91</v>
      </c>
      <c r="M321" s="390">
        <v>4.3600000000000003</v>
      </c>
      <c r="N321" s="390">
        <v>92.58</v>
      </c>
      <c r="O321" s="391">
        <v>4106</v>
      </c>
      <c r="P321" s="381">
        <v>85</v>
      </c>
      <c r="Q321" s="381">
        <v>78.98</v>
      </c>
      <c r="R321" s="381">
        <v>15.37</v>
      </c>
      <c r="S321" s="381">
        <v>100.34</v>
      </c>
      <c r="T321" s="381">
        <v>2124</v>
      </c>
      <c r="U321" s="381">
        <v>97.32</v>
      </c>
      <c r="V321" s="381">
        <v>297</v>
      </c>
      <c r="W321" s="381">
        <v>168.39</v>
      </c>
      <c r="X321" s="381">
        <v>115</v>
      </c>
      <c r="Y321" s="381">
        <v>0</v>
      </c>
      <c r="Z321" s="381">
        <v>16</v>
      </c>
      <c r="AA321" s="381">
        <v>6</v>
      </c>
      <c r="AB321" s="381">
        <v>29</v>
      </c>
      <c r="AC321" s="381">
        <v>16</v>
      </c>
      <c r="AD321" s="392">
        <v>4438</v>
      </c>
      <c r="AE321" s="392">
        <v>22</v>
      </c>
      <c r="AF321" s="392">
        <v>8</v>
      </c>
      <c r="AG321" s="392">
        <v>30</v>
      </c>
    </row>
    <row r="322" spans="1:33" x14ac:dyDescent="0.25">
      <c r="A322" s="381" t="s">
        <v>700</v>
      </c>
      <c r="B322" s="387" t="s">
        <v>701</v>
      </c>
      <c r="C322" s="387">
        <v>3900</v>
      </c>
      <c r="D322" s="387">
        <v>10</v>
      </c>
      <c r="E322" s="387">
        <v>359</v>
      </c>
      <c r="F322" s="387">
        <v>678</v>
      </c>
      <c r="G322" s="387">
        <v>415</v>
      </c>
      <c r="H322" s="387">
        <v>5362</v>
      </c>
      <c r="I322" s="381">
        <v>4947</v>
      </c>
      <c r="J322" s="381">
        <v>0</v>
      </c>
      <c r="K322" s="390">
        <v>93.17</v>
      </c>
      <c r="L322" s="390">
        <v>92.04</v>
      </c>
      <c r="M322" s="390">
        <v>7.16</v>
      </c>
      <c r="N322" s="390">
        <v>96.61</v>
      </c>
      <c r="O322" s="391">
        <v>2987</v>
      </c>
      <c r="P322" s="381">
        <v>82.55</v>
      </c>
      <c r="Q322" s="381">
        <v>75.459999999999994</v>
      </c>
      <c r="R322" s="381">
        <v>25.92</v>
      </c>
      <c r="S322" s="381">
        <v>107.71</v>
      </c>
      <c r="T322" s="381">
        <v>678</v>
      </c>
      <c r="U322" s="381">
        <v>108.81</v>
      </c>
      <c r="V322" s="381">
        <v>462</v>
      </c>
      <c r="W322" s="381">
        <v>0</v>
      </c>
      <c r="X322" s="381">
        <v>0</v>
      </c>
      <c r="Y322" s="381">
        <v>0</v>
      </c>
      <c r="Z322" s="381">
        <v>2</v>
      </c>
      <c r="AA322" s="381">
        <v>5</v>
      </c>
      <c r="AB322" s="381">
        <v>3</v>
      </c>
      <c r="AC322" s="381">
        <v>5</v>
      </c>
      <c r="AD322" s="392">
        <v>3552</v>
      </c>
      <c r="AE322" s="392">
        <v>3</v>
      </c>
      <c r="AF322" s="392">
        <v>4</v>
      </c>
      <c r="AG322" s="392">
        <v>7</v>
      </c>
    </row>
  </sheetData>
  <pageMargins left="0.7" right="0.7" top="0.75" bottom="0.75" header="0.3" footer="0.3"/>
  <pageSetup paperSize="9" orientation="portrait" r:id="rId1"/>
  <headerFooter>
    <oddFooter>&amp;C&amp;1#&amp;"Calibri"&amp;12&amp;K0078D7OFFICIAL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6D1ED10495DE94DB1659A33E5BC6327" ma:contentTypeVersion="11" ma:contentTypeDescription="Create a new document." ma:contentTypeScope="" ma:versionID="78ec334556cb2511db941a74b32f8ac8">
  <xsd:schema xmlns:xsd="http://www.w3.org/2001/XMLSchema" xmlns:xs="http://www.w3.org/2001/XMLSchema" xmlns:p="http://schemas.microsoft.com/office/2006/metadata/properties" xmlns:ns3="ca0888e1-ea96-4789-bf97-35736e00a9ce" xmlns:ns4="d9c622cc-8e44-42df-8592-1faa16b6fa1e" targetNamespace="http://schemas.microsoft.com/office/2006/metadata/properties" ma:root="true" ma:fieldsID="e0d5e9a7be2498717e6d3a78d5299426" ns3:_="" ns4:_="">
    <xsd:import namespace="ca0888e1-ea96-4789-bf97-35736e00a9ce"/>
    <xsd:import namespace="d9c622cc-8e44-42df-8592-1faa16b6fa1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88e1-ea96-4789-bf97-35736e00a9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c622cc-8e44-42df-8592-1faa16b6fa1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5B2B8A-EF39-4E21-B808-E94F438BA70C}">
  <ds:schemaRefs>
    <ds:schemaRef ds:uri="http://schemas.microsoft.com/sharepoint/v3/contenttype/forms"/>
  </ds:schemaRefs>
</ds:datastoreItem>
</file>

<file path=customXml/itemProps2.xml><?xml version="1.0" encoding="utf-8"?>
<ds:datastoreItem xmlns:ds="http://schemas.openxmlformats.org/officeDocument/2006/customXml" ds:itemID="{289E6E93-FE99-4488-90CD-3FCE20FDC4C6}">
  <ds:schemaRefs>
    <ds:schemaRef ds:uri="d9c622cc-8e44-42df-8592-1faa16b6fa1e"/>
    <ds:schemaRef ds:uri="http://schemas.microsoft.com/office/2006/metadata/properties"/>
    <ds:schemaRef ds:uri="http://purl.org/dc/elements/1.1/"/>
    <ds:schemaRef ds:uri="http://schemas.openxmlformats.org/package/2006/metadata/core-properties"/>
    <ds:schemaRef ds:uri="http://purl.org/dc/dcmitype/"/>
    <ds:schemaRef ds:uri="http://www.w3.org/XML/1998/namespace"/>
    <ds:schemaRef ds:uri="http://schemas.microsoft.com/office/2006/documentManagement/types"/>
    <ds:schemaRef ds:uri="http://schemas.microsoft.com/office/infopath/2007/PartnerControls"/>
    <ds:schemaRef ds:uri="ca0888e1-ea96-4789-bf97-35736e00a9ce"/>
    <ds:schemaRef ds:uri="http://purl.org/dc/terms/"/>
  </ds:schemaRefs>
</ds:datastoreItem>
</file>

<file path=customXml/itemProps3.xml><?xml version="1.0" encoding="utf-8"?>
<ds:datastoreItem xmlns:ds="http://schemas.openxmlformats.org/officeDocument/2006/customXml" ds:itemID="{C38E2DBB-0536-40C2-8E24-735223904C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88e1-ea96-4789-bf97-35736e00a9ce"/>
    <ds:schemaRef ds:uri="d9c622cc-8e44-42df-8592-1faa16b6fa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Introduction and Contents</vt:lpstr>
      <vt:lpstr>Glossary</vt:lpstr>
      <vt:lpstr>Version History</vt:lpstr>
      <vt:lpstr>PRP LA trend tool 2015-22</vt:lpstr>
      <vt:lpstr>How to use the search function</vt:lpstr>
      <vt:lpstr>Y_1</vt:lpstr>
      <vt:lpstr>Y_2</vt:lpstr>
      <vt:lpstr>Y_3</vt:lpstr>
      <vt:lpstr>Y_4</vt:lpstr>
      <vt:lpstr>Y_5</vt:lpstr>
      <vt:lpstr>Y_6</vt:lpstr>
      <vt:lpstr>Y_7</vt:lpstr>
      <vt:lpstr>Y_8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Parker</dc:creator>
  <cp:lastModifiedBy>Nick Parker</cp:lastModifiedBy>
  <cp:lastPrinted>2022-10-19T08:47:56Z</cp:lastPrinted>
  <dcterms:created xsi:type="dcterms:W3CDTF">2021-03-24T10:19:47Z</dcterms:created>
  <dcterms:modified xsi:type="dcterms:W3CDTF">2022-10-19T15:24:02Z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0x010100E6D1ED10495DE94DB1659A33E5BC6327</vt:lpwstr>
  </property>
  <property fmtid="{D5CDD505-2E9C-101B-9397-08002B2CF9AE}" pid="3" name="MSIP_Label_727fb50e-81d5-40a5-b712-4eff31972ce4_Enabled">
    <vt:lpwstr>True</vt:lpwstr>
  </property>
  <property fmtid="{D5CDD505-2E9C-101B-9397-08002B2CF9AE}" pid="4" name="MSIP_Label_727fb50e-81d5-40a5-b712-4eff31972ce4_SiteId">
    <vt:lpwstr>faa8e269-0811-4538-82e7-4d29009219bf</vt:lpwstr>
  </property>
  <property fmtid="{D5CDD505-2E9C-101B-9397-08002B2CF9AE}" pid="5" name="MSIP_Label_727fb50e-81d5-40a5-b712-4eff31972ce4_Owner">
    <vt:lpwstr>Kelly.Barrett@rsh.gov.uk</vt:lpwstr>
  </property>
  <property fmtid="{D5CDD505-2E9C-101B-9397-08002B2CF9AE}" pid="6" name="MSIP_Label_727fb50e-81d5-40a5-b712-4eff31972ce4_SetDate">
    <vt:lpwstr>2021-09-21T11:16:28.8357106Z</vt:lpwstr>
  </property>
  <property fmtid="{D5CDD505-2E9C-101B-9397-08002B2CF9AE}" pid="7" name="MSIP_Label_727fb50e-81d5-40a5-b712-4eff31972ce4_Name">
    <vt:lpwstr>Official</vt:lpwstr>
  </property>
  <property fmtid="{D5CDD505-2E9C-101B-9397-08002B2CF9AE}" pid="8" name="MSIP_Label_727fb50e-81d5-40a5-b712-4eff31972ce4_Application">
    <vt:lpwstr>Microsoft Azure Information Protection</vt:lpwstr>
  </property>
  <property fmtid="{D5CDD505-2E9C-101B-9397-08002B2CF9AE}" pid="9" name="MSIP_Label_727fb50e-81d5-40a5-b712-4eff31972ce4_ActionId">
    <vt:lpwstr>bf01dcef-0ac8-4598-816c-afa41276594c</vt:lpwstr>
  </property>
  <property fmtid="{D5CDD505-2E9C-101B-9397-08002B2CF9AE}" pid="10" name="MSIP_Label_727fb50e-81d5-40a5-b712-4eff31972ce4_Extended_MSFT_Method">
    <vt:lpwstr>Automatic</vt:lpwstr>
  </property>
  <property fmtid="{D5CDD505-2E9C-101B-9397-08002B2CF9AE}" pid="11" name="Sensitivity">
    <vt:lpwstr>Official</vt:lpwstr>
  </property>
</Properties>
</file>