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hidePivotFieldList="1" defaultThemeVersion="166925"/>
  <xr:revisionPtr revIDLastSave="0" documentId="13_ncr:1_{B6D2F0A2-B97C-4D3B-AA4C-C2B1B95F05F2}" xr6:coauthVersionLast="47" xr6:coauthVersionMax="47" xr10:uidLastSave="{00000000-0000-0000-0000-000000000000}"/>
  <workbookProtection workbookAlgorithmName="SHA-512" workbookHashValue="h2BlDC7wG37fqcyoXpCDsFg8lyBqWiCpZO9arVr2cT1Av0lC7ZVGq86teUpYWU3p8pQNfhfOH7JWEMyMvpnhEQ==" workbookSaltValue="3tWpsf2Y4O7naD/o8pJu8A==" workbookSpinCount="100000" lockStructure="1"/>
  <bookViews>
    <workbookView xWindow="-110" yWindow="-110" windowWidth="19420" windowHeight="10420" firstSheet="14" activeTab="14" xr2:uid="{A89AA9FC-6161-4C06-9CE6-DC5D898B0357}"/>
  </bookViews>
  <sheets>
    <sheet name="(2010-11)" sheetId="4" state="hidden" r:id="rId1"/>
    <sheet name="(2011-12)" sheetId="6" state="hidden" r:id="rId2"/>
    <sheet name="(2012-13)" sheetId="7" state="hidden" r:id="rId3"/>
    <sheet name="(2013-14)" sheetId="8" state="hidden" r:id="rId4"/>
    <sheet name="(2014-15)" sheetId="9" state="hidden" r:id="rId5"/>
    <sheet name="(2015-16)" sheetId="10" state="hidden" r:id="rId6"/>
    <sheet name="(2016-17)" sheetId="11" state="hidden" r:id="rId7"/>
    <sheet name="(2017-18)" sheetId="12" state="hidden" r:id="rId8"/>
    <sheet name="(2018-19)" sheetId="14" state="hidden" r:id="rId9"/>
    <sheet name="YoY Comparison" sheetId="15" state="hidden" r:id="rId10"/>
    <sheet name="raw1" sheetId="19" state="hidden" r:id="rId11"/>
    <sheet name="Macro" sheetId="13" state="hidden" r:id="rId12"/>
    <sheet name="QA" sheetId="17" state="hidden" r:id="rId13"/>
    <sheet name="FIRE1402_working" sheetId="3" state="hidden" r:id="rId14"/>
    <sheet name="Cover_sheet" sheetId="21" r:id="rId15"/>
    <sheet name="Contents" sheetId="22" r:id="rId16"/>
    <sheet name="raw" sheetId="16" state="hidden" r:id="rId17"/>
    <sheet name="(2019-20)" sheetId="20" state="hidden" r:id="rId18"/>
    <sheet name="raw2" sheetId="24" state="hidden" r:id="rId19"/>
    <sheet name="(2020-21)" sheetId="23" state="hidden" r:id="rId20"/>
    <sheet name="FIRE1402" sheetId="2" r:id="rId21"/>
    <sheet name="FRS geographical categories" sheetId="5" r:id="rId22"/>
    <sheet name="BB QA" sheetId="25" state="hidden" r:id="rId23"/>
  </sheets>
  <definedNames>
    <definedName name="_xlnm._FilterDatabase" localSheetId="21" hidden="1">'FRS geographical categories'!$A$1:$C$46</definedName>
    <definedName name="_xlnm._FilterDatabase" localSheetId="18" hidden="1">'raw2'!$A$1:$E$226</definedName>
    <definedName name="_xlnm.Print_Area" localSheetId="15">Contents!$A$1:$E$6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3" l="1"/>
  <c r="F58" i="23"/>
  <c r="E58" i="23"/>
  <c r="C58" i="23"/>
  <c r="B58" i="23"/>
  <c r="H57" i="23"/>
  <c r="F57" i="23"/>
  <c r="E57" i="23"/>
  <c r="C57" i="23"/>
  <c r="B57" i="23"/>
  <c r="H56" i="23"/>
  <c r="F56" i="23"/>
  <c r="E56" i="23"/>
  <c r="C56" i="23"/>
  <c r="B56" i="23"/>
  <c r="H55" i="23"/>
  <c r="F55" i="23"/>
  <c r="E55" i="23"/>
  <c r="C55" i="23"/>
  <c r="B55" i="23"/>
  <c r="H54" i="23"/>
  <c r="F54" i="23"/>
  <c r="E54" i="23"/>
  <c r="C54" i="23"/>
  <c r="B54" i="23"/>
  <c r="H53" i="23"/>
  <c r="F53" i="23"/>
  <c r="E53" i="23"/>
  <c r="C53" i="23"/>
  <c r="B53" i="23"/>
  <c r="B11" i="23" s="1"/>
  <c r="H52" i="23"/>
  <c r="F52" i="23"/>
  <c r="E52" i="23"/>
  <c r="C52" i="23"/>
  <c r="B52" i="23"/>
  <c r="H51" i="23"/>
  <c r="F51" i="23"/>
  <c r="E51" i="23"/>
  <c r="C51" i="23"/>
  <c r="B51" i="23"/>
  <c r="H50" i="23"/>
  <c r="F50" i="23"/>
  <c r="E50" i="23"/>
  <c r="C50" i="23"/>
  <c r="B50" i="23"/>
  <c r="H49" i="23"/>
  <c r="F49" i="23"/>
  <c r="E49" i="23"/>
  <c r="C49" i="23"/>
  <c r="B49" i="23"/>
  <c r="H48" i="23"/>
  <c r="F48" i="23"/>
  <c r="E48" i="23"/>
  <c r="C48" i="23"/>
  <c r="B48" i="23"/>
  <c r="H47" i="23"/>
  <c r="F47" i="23"/>
  <c r="E47" i="23"/>
  <c r="C47" i="23"/>
  <c r="B47" i="23"/>
  <c r="H46" i="23"/>
  <c r="F46" i="23"/>
  <c r="E46" i="23"/>
  <c r="C46" i="23"/>
  <c r="B46" i="23"/>
  <c r="H45" i="23"/>
  <c r="F45" i="23"/>
  <c r="E45" i="23"/>
  <c r="C45" i="23"/>
  <c r="B45" i="23"/>
  <c r="H44" i="23"/>
  <c r="F44" i="23"/>
  <c r="E44" i="23"/>
  <c r="C44" i="23"/>
  <c r="B44" i="23"/>
  <c r="H43" i="23"/>
  <c r="F43" i="23"/>
  <c r="E43" i="23"/>
  <c r="C43" i="23"/>
  <c r="B43" i="23"/>
  <c r="H42" i="23"/>
  <c r="F42" i="23"/>
  <c r="E42" i="23"/>
  <c r="C42" i="23"/>
  <c r="B42" i="23"/>
  <c r="H41" i="23"/>
  <c r="H13" i="23" s="1"/>
  <c r="F41" i="23"/>
  <c r="E41" i="23"/>
  <c r="C41" i="23"/>
  <c r="B41" i="23"/>
  <c r="H40" i="23"/>
  <c r="F40" i="23"/>
  <c r="E40" i="23"/>
  <c r="C40" i="23"/>
  <c r="B40" i="23"/>
  <c r="H39" i="23"/>
  <c r="F39" i="23"/>
  <c r="E39" i="23"/>
  <c r="C39" i="23"/>
  <c r="B39" i="23"/>
  <c r="H38" i="23"/>
  <c r="F38" i="23"/>
  <c r="E38" i="23"/>
  <c r="C38" i="23"/>
  <c r="C12" i="23" s="1"/>
  <c r="B38" i="23"/>
  <c r="H37" i="23"/>
  <c r="F37" i="23"/>
  <c r="E37" i="23"/>
  <c r="C37" i="23"/>
  <c r="B37" i="23"/>
  <c r="H36" i="23"/>
  <c r="F36" i="23"/>
  <c r="E36" i="23"/>
  <c r="C36" i="23"/>
  <c r="B36" i="23"/>
  <c r="H35" i="23"/>
  <c r="F35" i="23"/>
  <c r="E35" i="23"/>
  <c r="C35" i="23"/>
  <c r="B35" i="23"/>
  <c r="H34" i="23"/>
  <c r="F34" i="23"/>
  <c r="E34" i="23"/>
  <c r="C34" i="23"/>
  <c r="B34" i="23"/>
  <c r="H33" i="23"/>
  <c r="F33" i="23"/>
  <c r="E33" i="23"/>
  <c r="C33" i="23"/>
  <c r="B33" i="23"/>
  <c r="H32" i="23"/>
  <c r="F32" i="23"/>
  <c r="E32" i="23"/>
  <c r="C32" i="23"/>
  <c r="B32" i="23"/>
  <c r="H31" i="23"/>
  <c r="H10" i="23" s="1"/>
  <c r="F31" i="23"/>
  <c r="E31" i="23"/>
  <c r="C31" i="23"/>
  <c r="B31" i="23"/>
  <c r="H30" i="23"/>
  <c r="F30" i="23"/>
  <c r="F10" i="23" s="1"/>
  <c r="E30" i="23"/>
  <c r="C30" i="23"/>
  <c r="B30" i="23"/>
  <c r="H29" i="23"/>
  <c r="F29" i="23"/>
  <c r="E29" i="23"/>
  <c r="C29" i="23"/>
  <c r="B29" i="23"/>
  <c r="H28" i="23"/>
  <c r="F28" i="23"/>
  <c r="F12" i="23" s="1"/>
  <c r="E28" i="23"/>
  <c r="C28" i="23"/>
  <c r="B28" i="23"/>
  <c r="H27" i="23"/>
  <c r="F27" i="23"/>
  <c r="E27" i="23"/>
  <c r="C27" i="23"/>
  <c r="B27" i="23"/>
  <c r="H26" i="23"/>
  <c r="F26" i="23"/>
  <c r="E26" i="23"/>
  <c r="C26" i="23"/>
  <c r="B26" i="23"/>
  <c r="H25" i="23"/>
  <c r="F25" i="23"/>
  <c r="E25" i="23"/>
  <c r="C25" i="23"/>
  <c r="B25" i="23"/>
  <c r="H24" i="23"/>
  <c r="F24" i="23"/>
  <c r="E24" i="23"/>
  <c r="C24" i="23"/>
  <c r="B24" i="23"/>
  <c r="H23" i="23"/>
  <c r="F23" i="23"/>
  <c r="E23" i="23"/>
  <c r="C23" i="23"/>
  <c r="B23" i="23"/>
  <c r="H22" i="23"/>
  <c r="F22" i="23"/>
  <c r="E22" i="23"/>
  <c r="C22" i="23"/>
  <c r="C13" i="23" s="1"/>
  <c r="B22" i="23"/>
  <c r="H21" i="23"/>
  <c r="F21" i="23"/>
  <c r="E21" i="23"/>
  <c r="C21" i="23"/>
  <c r="B21" i="23"/>
  <c r="H20" i="23"/>
  <c r="F20" i="23"/>
  <c r="F11" i="23" s="1"/>
  <c r="E20" i="23"/>
  <c r="C20" i="23"/>
  <c r="B20" i="23"/>
  <c r="H19" i="23"/>
  <c r="F19" i="23"/>
  <c r="E19" i="23"/>
  <c r="C19" i="23"/>
  <c r="B19" i="23"/>
  <c r="B9" i="23" s="1"/>
  <c r="H18" i="23"/>
  <c r="F18" i="23"/>
  <c r="F13" i="23" s="1"/>
  <c r="E18" i="23"/>
  <c r="C18" i="23"/>
  <c r="B18" i="23"/>
  <c r="H17" i="23"/>
  <c r="F17" i="23"/>
  <c r="E17" i="23"/>
  <c r="E9" i="23" s="1"/>
  <c r="C17" i="23"/>
  <c r="B17" i="23"/>
  <c r="H16" i="23"/>
  <c r="F16" i="23"/>
  <c r="E16" i="23"/>
  <c r="C16" i="23"/>
  <c r="B16" i="23"/>
  <c r="H15" i="23"/>
  <c r="H12" i="23" s="1"/>
  <c r="F15" i="23"/>
  <c r="E15" i="23"/>
  <c r="E12" i="23" s="1"/>
  <c r="C15" i="23"/>
  <c r="B15" i="23"/>
  <c r="H14" i="23"/>
  <c r="F14" i="23"/>
  <c r="F8" i="23" s="1"/>
  <c r="E14" i="23"/>
  <c r="C14" i="23"/>
  <c r="C9" i="23" s="1"/>
  <c r="B14" i="23"/>
  <c r="J58" i="23"/>
  <c r="I58" i="23"/>
  <c r="J57" i="23"/>
  <c r="I57" i="23"/>
  <c r="J56" i="23"/>
  <c r="I56" i="23"/>
  <c r="J55" i="23"/>
  <c r="I55" i="23"/>
  <c r="J54" i="23"/>
  <c r="I54" i="23"/>
  <c r="J53" i="23"/>
  <c r="I53" i="23"/>
  <c r="J52" i="23"/>
  <c r="I52" i="23"/>
  <c r="J51" i="23"/>
  <c r="I51" i="23"/>
  <c r="J50" i="23"/>
  <c r="I50" i="23"/>
  <c r="J49" i="23"/>
  <c r="I49" i="23"/>
  <c r="J48" i="23"/>
  <c r="I48" i="23"/>
  <c r="J47" i="23"/>
  <c r="I47" i="23"/>
  <c r="J46" i="23"/>
  <c r="I46" i="23"/>
  <c r="J45" i="23"/>
  <c r="I45" i="23"/>
  <c r="J44" i="23"/>
  <c r="I44" i="23"/>
  <c r="J43" i="23"/>
  <c r="I43" i="23"/>
  <c r="J42" i="23"/>
  <c r="I42" i="23"/>
  <c r="J41" i="23"/>
  <c r="I41" i="23"/>
  <c r="J40" i="23"/>
  <c r="I40" i="23"/>
  <c r="J39" i="23"/>
  <c r="I39" i="23"/>
  <c r="J38" i="23"/>
  <c r="I38" i="23"/>
  <c r="J37" i="23"/>
  <c r="I37" i="23"/>
  <c r="J36" i="23"/>
  <c r="I36" i="23"/>
  <c r="J35" i="23"/>
  <c r="I3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5" i="23"/>
  <c r="I25" i="23"/>
  <c r="J24" i="23"/>
  <c r="I24" i="23"/>
  <c r="J23" i="23"/>
  <c r="I23" i="23"/>
  <c r="J22" i="23"/>
  <c r="I22" i="23"/>
  <c r="J21" i="23"/>
  <c r="I21" i="23"/>
  <c r="J20" i="23"/>
  <c r="I20" i="23"/>
  <c r="J19" i="23"/>
  <c r="I19" i="23"/>
  <c r="J18" i="23"/>
  <c r="I18" i="23"/>
  <c r="J17" i="23"/>
  <c r="I17" i="23"/>
  <c r="J16" i="23"/>
  <c r="I16" i="23"/>
  <c r="J15" i="23"/>
  <c r="I15" i="23"/>
  <c r="J14" i="23"/>
  <c r="I14" i="23"/>
  <c r="E13" i="23"/>
  <c r="B13" i="23"/>
  <c r="H11" i="23"/>
  <c r="E11" i="23"/>
  <c r="C11" i="23"/>
  <c r="E10" i="23"/>
  <c r="C10" i="23"/>
  <c r="B10" i="23"/>
  <c r="H9" i="23"/>
  <c r="F9" i="23"/>
  <c r="C8" i="23"/>
  <c r="B8" i="23"/>
  <c r="E8" i="23" l="1"/>
  <c r="H8" i="23"/>
  <c r="B12" i="23"/>
  <c r="E6" i="17" l="1"/>
  <c r="E5" i="17"/>
  <c r="E19" i="17" l="1"/>
  <c r="H15" i="20" l="1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14" i="20"/>
  <c r="E15" i="20"/>
  <c r="F15" i="20"/>
  <c r="E16" i="20"/>
  <c r="F16" i="20"/>
  <c r="E17" i="20"/>
  <c r="F17" i="20"/>
  <c r="E18" i="20"/>
  <c r="F18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8" i="20"/>
  <c r="F28" i="20"/>
  <c r="E29" i="20"/>
  <c r="F29" i="20"/>
  <c r="E30" i="20"/>
  <c r="F30" i="20"/>
  <c r="E31" i="20"/>
  <c r="F31" i="20"/>
  <c r="E32" i="20"/>
  <c r="F32" i="20"/>
  <c r="E33" i="20"/>
  <c r="F33" i="20"/>
  <c r="E34" i="20"/>
  <c r="F34" i="20"/>
  <c r="E35" i="20"/>
  <c r="F35" i="20"/>
  <c r="E36" i="20"/>
  <c r="F36" i="20"/>
  <c r="E37" i="20"/>
  <c r="F37" i="20"/>
  <c r="E38" i="20"/>
  <c r="F38" i="20"/>
  <c r="E39" i="20"/>
  <c r="F39" i="20"/>
  <c r="E40" i="20"/>
  <c r="F40" i="20"/>
  <c r="E41" i="20"/>
  <c r="F41" i="20"/>
  <c r="E42" i="20"/>
  <c r="F42" i="20"/>
  <c r="E43" i="20"/>
  <c r="F43" i="20"/>
  <c r="E44" i="20"/>
  <c r="F44" i="20"/>
  <c r="E45" i="20"/>
  <c r="F45" i="20"/>
  <c r="E46" i="20"/>
  <c r="F46" i="20"/>
  <c r="E47" i="20"/>
  <c r="F47" i="20"/>
  <c r="E48" i="20"/>
  <c r="F48" i="20"/>
  <c r="E49" i="20"/>
  <c r="F49" i="20"/>
  <c r="E50" i="20"/>
  <c r="F50" i="20"/>
  <c r="E51" i="20"/>
  <c r="F51" i="20"/>
  <c r="E52" i="20"/>
  <c r="F52" i="20"/>
  <c r="E53" i="20"/>
  <c r="F53" i="20"/>
  <c r="E54" i="20"/>
  <c r="F54" i="20"/>
  <c r="E55" i="20"/>
  <c r="F55" i="20"/>
  <c r="E56" i="20"/>
  <c r="F56" i="20"/>
  <c r="E57" i="20"/>
  <c r="F57" i="20"/>
  <c r="E58" i="20"/>
  <c r="F58" i="20"/>
  <c r="F14" i="20"/>
  <c r="E14" i="20"/>
  <c r="B15" i="20"/>
  <c r="C15" i="20"/>
  <c r="B16" i="20"/>
  <c r="C16" i="20"/>
  <c r="B17" i="20"/>
  <c r="C7" i="15" s="1"/>
  <c r="C17" i="20"/>
  <c r="B18" i="20"/>
  <c r="C18" i="20"/>
  <c r="B19" i="20"/>
  <c r="C19" i="20"/>
  <c r="B20" i="20"/>
  <c r="C20" i="20"/>
  <c r="B21" i="20"/>
  <c r="C11" i="15" s="1"/>
  <c r="C21" i="20"/>
  <c r="B22" i="20"/>
  <c r="C22" i="20"/>
  <c r="B23" i="20"/>
  <c r="C23" i="20"/>
  <c r="B24" i="20"/>
  <c r="C24" i="20"/>
  <c r="B25" i="20"/>
  <c r="C15" i="15" s="1"/>
  <c r="C25" i="20"/>
  <c r="B26" i="20"/>
  <c r="C26" i="20"/>
  <c r="B27" i="20"/>
  <c r="C27" i="20"/>
  <c r="B28" i="20"/>
  <c r="C28" i="20"/>
  <c r="B29" i="20"/>
  <c r="C29" i="20"/>
  <c r="B30" i="20"/>
  <c r="C30" i="20"/>
  <c r="B31" i="20"/>
  <c r="C31" i="20"/>
  <c r="B32" i="20"/>
  <c r="C32" i="20"/>
  <c r="B33" i="20"/>
  <c r="C21" i="15" s="1"/>
  <c r="C33" i="20"/>
  <c r="B34" i="20"/>
  <c r="C34" i="20"/>
  <c r="B35" i="20"/>
  <c r="C35" i="20"/>
  <c r="B36" i="20"/>
  <c r="C36" i="20"/>
  <c r="B37" i="20"/>
  <c r="C37" i="20"/>
  <c r="B38" i="20"/>
  <c r="C38" i="20"/>
  <c r="B39" i="20"/>
  <c r="C39" i="20"/>
  <c r="B40" i="20"/>
  <c r="C40" i="20"/>
  <c r="B41" i="20"/>
  <c r="C41" i="20"/>
  <c r="B42" i="20"/>
  <c r="C42" i="20"/>
  <c r="B43" i="20"/>
  <c r="C43" i="20"/>
  <c r="B44" i="20"/>
  <c r="C44" i="20"/>
  <c r="B45" i="20"/>
  <c r="C45" i="20"/>
  <c r="B46" i="20"/>
  <c r="C46" i="20"/>
  <c r="B47" i="20"/>
  <c r="C47" i="20"/>
  <c r="B48" i="20"/>
  <c r="C48" i="20"/>
  <c r="B49" i="20"/>
  <c r="C49" i="20"/>
  <c r="B50" i="20"/>
  <c r="C50" i="20"/>
  <c r="B51" i="20"/>
  <c r="C51" i="20"/>
  <c r="B52" i="20"/>
  <c r="C52" i="20"/>
  <c r="B53" i="20"/>
  <c r="C53" i="20"/>
  <c r="B54" i="20"/>
  <c r="C54" i="20"/>
  <c r="B55" i="20"/>
  <c r="C55" i="20"/>
  <c r="B56" i="20"/>
  <c r="C56" i="20"/>
  <c r="B57" i="20"/>
  <c r="C57" i="20"/>
  <c r="B58" i="20"/>
  <c r="C58" i="20"/>
  <c r="C14" i="20"/>
  <c r="B14" i="20"/>
  <c r="C23" i="15" l="1"/>
  <c r="C39" i="15"/>
  <c r="C17" i="15"/>
  <c r="C26" i="15"/>
  <c r="C5" i="15"/>
  <c r="C29" i="15"/>
  <c r="C9" i="15"/>
  <c r="C38" i="15"/>
  <c r="C31" i="15"/>
  <c r="C33" i="15"/>
  <c r="C13" i="15"/>
  <c r="C35" i="15"/>
  <c r="C28" i="15"/>
  <c r="C41" i="15"/>
  <c r="C19" i="15"/>
  <c r="C36" i="15"/>
  <c r="C43" i="15"/>
  <c r="C40" i="15"/>
  <c r="C48" i="15"/>
  <c r="C47" i="15"/>
  <c r="C46" i="15"/>
  <c r="C37" i="15"/>
  <c r="C45" i="15"/>
  <c r="C34" i="15"/>
  <c r="C32" i="15"/>
  <c r="C30" i="15"/>
  <c r="C44" i="15"/>
  <c r="C27" i="15"/>
  <c r="C25" i="15"/>
  <c r="C24" i="15"/>
  <c r="C22" i="15"/>
  <c r="C20" i="15"/>
  <c r="C49" i="15"/>
  <c r="C18" i="15"/>
  <c r="C16" i="15"/>
  <c r="C14" i="15"/>
  <c r="C12" i="15"/>
  <c r="C10" i="15"/>
  <c r="C8" i="15"/>
  <c r="C6" i="15"/>
  <c r="C4" i="15"/>
  <c r="J58" i="20"/>
  <c r="I58" i="20"/>
  <c r="J57" i="20"/>
  <c r="I57" i="20"/>
  <c r="J56" i="20"/>
  <c r="I56" i="20"/>
  <c r="J55" i="20"/>
  <c r="I55" i="20"/>
  <c r="J54" i="20"/>
  <c r="I54" i="20"/>
  <c r="J53" i="20"/>
  <c r="I53" i="20"/>
  <c r="J52" i="20"/>
  <c r="I52" i="20"/>
  <c r="J51" i="20"/>
  <c r="I51" i="20"/>
  <c r="J50" i="20"/>
  <c r="I50" i="20"/>
  <c r="J49" i="20"/>
  <c r="I49" i="20"/>
  <c r="J48" i="20"/>
  <c r="I48" i="20"/>
  <c r="J47" i="20"/>
  <c r="I47" i="20"/>
  <c r="J46" i="20"/>
  <c r="I46" i="20"/>
  <c r="J45" i="20"/>
  <c r="I45" i="20"/>
  <c r="J44" i="20"/>
  <c r="I44" i="20"/>
  <c r="J43" i="20"/>
  <c r="I43" i="20"/>
  <c r="J42" i="20"/>
  <c r="I42" i="20"/>
  <c r="J41" i="20"/>
  <c r="I41" i="20"/>
  <c r="J40" i="20"/>
  <c r="I40" i="20"/>
  <c r="J39" i="20"/>
  <c r="I39" i="20"/>
  <c r="J38" i="20"/>
  <c r="I38" i="20"/>
  <c r="J37" i="20"/>
  <c r="I37" i="20"/>
  <c r="J36" i="20"/>
  <c r="I36" i="20"/>
  <c r="J35" i="20"/>
  <c r="I35" i="20"/>
  <c r="J34" i="20"/>
  <c r="I34" i="20"/>
  <c r="J33" i="20"/>
  <c r="I33" i="20"/>
  <c r="J32" i="20"/>
  <c r="I32" i="20"/>
  <c r="J31" i="20"/>
  <c r="I31" i="20"/>
  <c r="J30" i="20"/>
  <c r="I30" i="20"/>
  <c r="J29" i="20"/>
  <c r="I29" i="20"/>
  <c r="J28" i="20"/>
  <c r="I28" i="20"/>
  <c r="J27" i="20"/>
  <c r="I27" i="20"/>
  <c r="J26" i="20"/>
  <c r="I26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9" i="20"/>
  <c r="I19" i="20"/>
  <c r="J18" i="20"/>
  <c r="I18" i="20"/>
  <c r="J17" i="20"/>
  <c r="I17" i="20"/>
  <c r="J16" i="20"/>
  <c r="I16" i="20"/>
  <c r="J15" i="20"/>
  <c r="I15" i="20"/>
  <c r="J14" i="20"/>
  <c r="I14" i="20"/>
  <c r="H58" i="14"/>
  <c r="F58" i="14"/>
  <c r="E58" i="14"/>
  <c r="C58" i="14"/>
  <c r="B58" i="14"/>
  <c r="B48" i="15" s="1"/>
  <c r="H57" i="14"/>
  <c r="F57" i="14"/>
  <c r="E57" i="14"/>
  <c r="C57" i="14"/>
  <c r="B57" i="14"/>
  <c r="H56" i="14"/>
  <c r="F56" i="14"/>
  <c r="E56" i="14"/>
  <c r="C56" i="14"/>
  <c r="B56" i="14"/>
  <c r="H55" i="14"/>
  <c r="F55" i="14"/>
  <c r="E55" i="14"/>
  <c r="C55" i="14"/>
  <c r="B55" i="14"/>
  <c r="H54" i="14"/>
  <c r="F54" i="14"/>
  <c r="E54" i="14"/>
  <c r="C54" i="14"/>
  <c r="B54" i="14"/>
  <c r="H53" i="14"/>
  <c r="F53" i="14"/>
  <c r="E53" i="14"/>
  <c r="C53" i="14"/>
  <c r="B53" i="14"/>
  <c r="B38" i="15" s="1"/>
  <c r="H52" i="14"/>
  <c r="F52" i="14"/>
  <c r="E52" i="14"/>
  <c r="C52" i="14"/>
  <c r="B52" i="14"/>
  <c r="H51" i="14"/>
  <c r="F51" i="14"/>
  <c r="E51" i="14"/>
  <c r="C51" i="14"/>
  <c r="B51" i="14"/>
  <c r="B36" i="15" s="1"/>
  <c r="H50" i="14"/>
  <c r="F50" i="14"/>
  <c r="E50" i="14"/>
  <c r="C50" i="14"/>
  <c r="B50" i="14"/>
  <c r="B45" i="15" s="1"/>
  <c r="H49" i="14"/>
  <c r="F49" i="14"/>
  <c r="E49" i="14"/>
  <c r="C49" i="14"/>
  <c r="B49" i="14"/>
  <c r="H48" i="14"/>
  <c r="F48" i="14"/>
  <c r="E48" i="14"/>
  <c r="C48" i="14"/>
  <c r="B48" i="14"/>
  <c r="H47" i="14"/>
  <c r="F47" i="14"/>
  <c r="E47" i="14"/>
  <c r="C47" i="14"/>
  <c r="B47" i="14"/>
  <c r="H46" i="14"/>
  <c r="F46" i="14"/>
  <c r="E46" i="14"/>
  <c r="C46" i="14"/>
  <c r="B46" i="14"/>
  <c r="H45" i="14"/>
  <c r="F45" i="14"/>
  <c r="E45" i="14"/>
  <c r="C45" i="14"/>
  <c r="B45" i="14"/>
  <c r="B31" i="15" s="1"/>
  <c r="H44" i="14"/>
  <c r="F44" i="14"/>
  <c r="E44" i="14"/>
  <c r="C44" i="14"/>
  <c r="B44" i="14"/>
  <c r="H43" i="14"/>
  <c r="F43" i="14"/>
  <c r="E43" i="14"/>
  <c r="C43" i="14"/>
  <c r="B43" i="14"/>
  <c r="B29" i="15" s="1"/>
  <c r="H42" i="14"/>
  <c r="F42" i="14"/>
  <c r="E42" i="14"/>
  <c r="C42" i="14"/>
  <c r="B42" i="14"/>
  <c r="B44" i="15" s="1"/>
  <c r="H41" i="14"/>
  <c r="F41" i="14"/>
  <c r="E41" i="14"/>
  <c r="C41" i="14"/>
  <c r="B41" i="14"/>
  <c r="H40" i="14"/>
  <c r="F40" i="14"/>
  <c r="E40" i="14"/>
  <c r="C40" i="14"/>
  <c r="B40" i="14"/>
  <c r="H39" i="14"/>
  <c r="F39" i="14"/>
  <c r="E39" i="14"/>
  <c r="C39" i="14"/>
  <c r="B39" i="14"/>
  <c r="H38" i="14"/>
  <c r="F38" i="14"/>
  <c r="E38" i="14"/>
  <c r="C38" i="14"/>
  <c r="B38" i="14"/>
  <c r="H37" i="14"/>
  <c r="F37" i="14"/>
  <c r="E37" i="14"/>
  <c r="C37" i="14"/>
  <c r="B37" i="14"/>
  <c r="B41" i="15" s="1"/>
  <c r="H36" i="14"/>
  <c r="F36" i="14"/>
  <c r="E36" i="14"/>
  <c r="C36" i="14"/>
  <c r="B36" i="14"/>
  <c r="H35" i="14"/>
  <c r="F35" i="14"/>
  <c r="E35" i="14"/>
  <c r="C35" i="14"/>
  <c r="B35" i="14"/>
  <c r="B23" i="15" s="1"/>
  <c r="H34" i="14"/>
  <c r="F34" i="14"/>
  <c r="E34" i="14"/>
  <c r="C34" i="14"/>
  <c r="B34" i="14"/>
  <c r="B22" i="15" s="1"/>
  <c r="H33" i="14"/>
  <c r="F33" i="14"/>
  <c r="E33" i="14"/>
  <c r="C33" i="14"/>
  <c r="B33" i="14"/>
  <c r="H32" i="14"/>
  <c r="F32" i="14"/>
  <c r="E32" i="14"/>
  <c r="C32" i="14"/>
  <c r="B32" i="14"/>
  <c r="H31" i="14"/>
  <c r="F31" i="14"/>
  <c r="E31" i="14"/>
  <c r="C31" i="14"/>
  <c r="B31" i="14"/>
  <c r="H30" i="14"/>
  <c r="F30" i="14"/>
  <c r="E30" i="14"/>
  <c r="C30" i="14"/>
  <c r="B30" i="14"/>
  <c r="H29" i="14"/>
  <c r="F29" i="14"/>
  <c r="E29" i="14"/>
  <c r="C29" i="14"/>
  <c r="B29" i="14"/>
  <c r="B19" i="15" s="1"/>
  <c r="H28" i="14"/>
  <c r="F28" i="14"/>
  <c r="E28" i="14"/>
  <c r="C28" i="14"/>
  <c r="B28" i="14"/>
  <c r="H27" i="14"/>
  <c r="F27" i="14"/>
  <c r="E27" i="14"/>
  <c r="C27" i="14"/>
  <c r="B27" i="14"/>
  <c r="B17" i="15" s="1"/>
  <c r="H26" i="14"/>
  <c r="F26" i="14"/>
  <c r="E26" i="14"/>
  <c r="C26" i="14"/>
  <c r="B26" i="14"/>
  <c r="B16" i="15" s="1"/>
  <c r="H25" i="14"/>
  <c r="F25" i="14"/>
  <c r="E25" i="14"/>
  <c r="C25" i="14"/>
  <c r="B25" i="14"/>
  <c r="H24" i="14"/>
  <c r="F24" i="14"/>
  <c r="E24" i="14"/>
  <c r="C24" i="14"/>
  <c r="B24" i="14"/>
  <c r="B14" i="15" s="1"/>
  <c r="H23" i="14"/>
  <c r="F23" i="14"/>
  <c r="E23" i="14"/>
  <c r="C23" i="14"/>
  <c r="B23" i="14"/>
  <c r="H22" i="14"/>
  <c r="F22" i="14"/>
  <c r="E22" i="14"/>
  <c r="C22" i="14"/>
  <c r="B22" i="14"/>
  <c r="H21" i="14"/>
  <c r="F21" i="14"/>
  <c r="E21" i="14"/>
  <c r="C21" i="14"/>
  <c r="B21" i="14"/>
  <c r="B11" i="15" s="1"/>
  <c r="H20" i="14"/>
  <c r="F20" i="14"/>
  <c r="E20" i="14"/>
  <c r="C20" i="14"/>
  <c r="B20" i="14"/>
  <c r="H19" i="14"/>
  <c r="F19" i="14"/>
  <c r="E19" i="14"/>
  <c r="C19" i="14"/>
  <c r="B19" i="14"/>
  <c r="B9" i="15" s="1"/>
  <c r="H18" i="14"/>
  <c r="F18" i="14"/>
  <c r="E18" i="14"/>
  <c r="C18" i="14"/>
  <c r="B18" i="14"/>
  <c r="B8" i="15" s="1"/>
  <c r="H17" i="14"/>
  <c r="F17" i="14"/>
  <c r="E17" i="14"/>
  <c r="C17" i="14"/>
  <c r="B17" i="14"/>
  <c r="H16" i="14"/>
  <c r="F16" i="14"/>
  <c r="E16" i="14"/>
  <c r="C16" i="14"/>
  <c r="B16" i="14"/>
  <c r="B6" i="15" s="1"/>
  <c r="H15" i="14"/>
  <c r="F15" i="14"/>
  <c r="E15" i="14"/>
  <c r="C15" i="14"/>
  <c r="B15" i="14"/>
  <c r="H14" i="14"/>
  <c r="F14" i="14"/>
  <c r="E14" i="14"/>
  <c r="C14" i="14"/>
  <c r="B14" i="14"/>
  <c r="B5" i="15" l="1"/>
  <c r="B13" i="15"/>
  <c r="B43" i="15"/>
  <c r="B26" i="15"/>
  <c r="B33" i="15"/>
  <c r="B39" i="15"/>
  <c r="B10" i="15"/>
  <c r="B18" i="15"/>
  <c r="B24" i="15"/>
  <c r="B30" i="15"/>
  <c r="B37" i="15"/>
  <c r="B7" i="15"/>
  <c r="B15" i="15"/>
  <c r="B21" i="15"/>
  <c r="B28" i="15"/>
  <c r="B35" i="15"/>
  <c r="B40" i="15"/>
  <c r="B4" i="15"/>
  <c r="B12" i="15"/>
  <c r="B49" i="15"/>
  <c r="B25" i="15"/>
  <c r="B32" i="15"/>
  <c r="B46" i="15"/>
  <c r="B20" i="15"/>
  <c r="B27" i="15"/>
  <c r="B34" i="15"/>
  <c r="B47" i="15"/>
  <c r="E10" i="20"/>
  <c r="H12" i="20"/>
  <c r="C11" i="20"/>
  <c r="E11" i="20"/>
  <c r="B12" i="20"/>
  <c r="F10" i="20"/>
  <c r="H13" i="20"/>
  <c r="C12" i="20"/>
  <c r="B13" i="20"/>
  <c r="C8" i="20"/>
  <c r="F13" i="20"/>
  <c r="B9" i="20"/>
  <c r="H9" i="20"/>
  <c r="F9" i="20"/>
  <c r="E8" i="20"/>
  <c r="C9" i="20"/>
  <c r="B10" i="20"/>
  <c r="H10" i="20"/>
  <c r="F11" i="20"/>
  <c r="E12" i="20"/>
  <c r="C13" i="20"/>
  <c r="F8" i="20"/>
  <c r="F12" i="20"/>
  <c r="E9" i="20"/>
  <c r="C10" i="20"/>
  <c r="B11" i="20"/>
  <c r="H11" i="20"/>
  <c r="E13" i="20"/>
  <c r="B8" i="20"/>
  <c r="C2" i="15" s="1"/>
  <c r="H8" i="20"/>
  <c r="C3" i="15" l="1"/>
  <c r="E18" i="17"/>
  <c r="E20" i="17"/>
  <c r="E8" i="17" l="1"/>
  <c r="E17" i="17" l="1"/>
  <c r="E16" i="17"/>
  <c r="E15" i="17"/>
  <c r="E14" i="17"/>
  <c r="E13" i="17"/>
  <c r="E12" i="17"/>
  <c r="E11" i="17"/>
  <c r="E10" i="17"/>
  <c r="E9" i="17"/>
  <c r="E7" i="17"/>
  <c r="E4" i="17"/>
  <c r="C24" i="17" l="1"/>
  <c r="H6" i="13"/>
  <c r="P42" i="13" l="1"/>
  <c r="Q42" i="13" s="1"/>
  <c r="R42" i="13" s="1"/>
  <c r="O41" i="13"/>
  <c r="P35" i="13"/>
  <c r="Q35" i="13" s="1"/>
  <c r="R35" i="13" s="1"/>
  <c r="O27" i="13"/>
  <c r="O34" i="13"/>
  <c r="P28" i="13"/>
  <c r="Q28" i="13" s="1"/>
  <c r="R28" i="13" s="1"/>
  <c r="P21" i="13"/>
  <c r="Q21" i="13" s="1"/>
  <c r="R21" i="13" s="1"/>
  <c r="O20" i="13"/>
  <c r="P14" i="13"/>
  <c r="Q14" i="13" s="1"/>
  <c r="R14" i="13" s="1"/>
  <c r="O13" i="13"/>
  <c r="D9" i="13" l="1"/>
  <c r="D8" i="13"/>
  <c r="J58" i="14" l="1"/>
  <c r="I58" i="14"/>
  <c r="J57" i="14"/>
  <c r="I57" i="14"/>
  <c r="J56" i="14"/>
  <c r="I56" i="14"/>
  <c r="J55" i="14"/>
  <c r="I55" i="14"/>
  <c r="J54" i="14"/>
  <c r="I54" i="14"/>
  <c r="J53" i="14"/>
  <c r="I53" i="14"/>
  <c r="J52" i="14"/>
  <c r="I52" i="14"/>
  <c r="J51" i="14"/>
  <c r="I51" i="14"/>
  <c r="J50" i="14"/>
  <c r="I50" i="14"/>
  <c r="J49" i="14"/>
  <c r="I49" i="14"/>
  <c r="J48" i="14"/>
  <c r="I48" i="14"/>
  <c r="J47" i="14"/>
  <c r="I47" i="14"/>
  <c r="J46" i="14"/>
  <c r="I46" i="14"/>
  <c r="J45" i="14"/>
  <c r="I45" i="14"/>
  <c r="J44" i="14"/>
  <c r="I44" i="14"/>
  <c r="J43" i="14"/>
  <c r="I43" i="14"/>
  <c r="J42" i="14"/>
  <c r="I42" i="14"/>
  <c r="J41" i="14"/>
  <c r="I41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H12" i="14" s="1"/>
  <c r="J14" i="14"/>
  <c r="I14" i="14"/>
  <c r="H8" i="14"/>
  <c r="F8" i="14"/>
  <c r="E8" i="14"/>
  <c r="C8" i="14"/>
  <c r="B8" i="14"/>
  <c r="B2" i="15" l="1"/>
  <c r="F10" i="14"/>
  <c r="E13" i="14"/>
  <c r="B9" i="14"/>
  <c r="C10" i="14"/>
  <c r="F9" i="14"/>
  <c r="C11" i="14"/>
  <c r="E10" i="14"/>
  <c r="F13" i="14"/>
  <c r="H9" i="14"/>
  <c r="B12" i="14"/>
  <c r="B13" i="14"/>
  <c r="C9" i="14"/>
  <c r="B10" i="14"/>
  <c r="C42" i="15" s="1"/>
  <c r="H10" i="14"/>
  <c r="F11" i="14"/>
  <c r="E12" i="14"/>
  <c r="C13" i="14"/>
  <c r="E11" i="14"/>
  <c r="C12" i="14"/>
  <c r="H13" i="14"/>
  <c r="E9" i="14"/>
  <c r="B11" i="14"/>
  <c r="H11" i="14"/>
  <c r="F12" i="14"/>
  <c r="B3" i="15" l="1"/>
  <c r="D3" i="15" s="1"/>
  <c r="K7" i="13" l="1"/>
  <c r="I7" i="13"/>
  <c r="A4" i="3" l="1"/>
  <c r="D39" i="15" l="1"/>
  <c r="D36" i="15"/>
  <c r="D33" i="15"/>
  <c r="D29" i="15"/>
  <c r="D26" i="15"/>
  <c r="D23" i="15"/>
  <c r="D43" i="15"/>
  <c r="D17" i="15"/>
  <c r="D13" i="15"/>
  <c r="D9" i="15"/>
  <c r="D5" i="15"/>
  <c r="C20" i="3"/>
  <c r="E57" i="3"/>
  <c r="B58" i="3"/>
  <c r="E52" i="3"/>
  <c r="E55" i="3"/>
  <c r="C55" i="3"/>
  <c r="H50" i="3"/>
  <c r="H51" i="3"/>
  <c r="H56" i="3"/>
  <c r="E20" i="3"/>
  <c r="H57" i="3"/>
  <c r="E49" i="3"/>
  <c r="E53" i="3"/>
  <c r="H53" i="3"/>
  <c r="F54" i="3"/>
  <c r="F58" i="3"/>
  <c r="B55" i="3"/>
  <c r="C49" i="3"/>
  <c r="F50" i="3"/>
  <c r="F57" i="3"/>
  <c r="C50" i="3"/>
  <c r="F53" i="3"/>
  <c r="C52" i="3"/>
  <c r="H55" i="3"/>
  <c r="F55" i="3"/>
  <c r="B54" i="3"/>
  <c r="B50" i="3"/>
  <c r="F20" i="3"/>
  <c r="C54" i="3"/>
  <c r="B56" i="3"/>
  <c r="C53" i="3"/>
  <c r="E58" i="3"/>
  <c r="C58" i="3"/>
  <c r="B49" i="3"/>
  <c r="H58" i="3"/>
  <c r="E50" i="3"/>
  <c r="E54" i="3"/>
  <c r="B20" i="3"/>
  <c r="F49" i="3"/>
  <c r="C57" i="3"/>
  <c r="F52" i="3"/>
  <c r="B52" i="3"/>
  <c r="B51" i="3"/>
  <c r="B57" i="3"/>
  <c r="F56" i="3"/>
  <c r="C51" i="3"/>
  <c r="H54" i="3"/>
  <c r="F51" i="3"/>
  <c r="C56" i="3"/>
  <c r="E51" i="3"/>
  <c r="B53" i="3"/>
  <c r="H20" i="3"/>
  <c r="H49" i="3"/>
  <c r="E56" i="3"/>
  <c r="H52" i="3"/>
  <c r="D14" i="15" l="1"/>
  <c r="D18" i="15"/>
  <c r="D20" i="15"/>
  <c r="D24" i="15"/>
  <c r="D27" i="15"/>
  <c r="D30" i="15"/>
  <c r="D34" i="15"/>
  <c r="D37" i="15"/>
  <c r="D47" i="15"/>
  <c r="D6" i="15"/>
  <c r="D7" i="15"/>
  <c r="D11" i="15"/>
  <c r="D15" i="15"/>
  <c r="D19" i="15"/>
  <c r="D21" i="15"/>
  <c r="D41" i="15"/>
  <c r="D28" i="15"/>
  <c r="D31" i="15"/>
  <c r="D35" i="15"/>
  <c r="D38" i="15"/>
  <c r="D40" i="15"/>
  <c r="D10" i="15"/>
  <c r="D4" i="15"/>
  <c r="D8" i="15"/>
  <c r="D12" i="15"/>
  <c r="D16" i="15"/>
  <c r="D49" i="15"/>
  <c r="D22" i="15"/>
  <c r="D25" i="15"/>
  <c r="D44" i="15"/>
  <c r="D32" i="15"/>
  <c r="D45" i="15"/>
  <c r="D46" i="15"/>
  <c r="D48" i="15"/>
  <c r="B53" i="2"/>
  <c r="B50" i="2"/>
  <c r="B54" i="2"/>
  <c r="B49" i="2"/>
  <c r="B51" i="2"/>
  <c r="B55" i="2"/>
  <c r="B48" i="2"/>
  <c r="B52" i="2"/>
  <c r="B56" i="2"/>
  <c r="C51" i="2"/>
  <c r="C55" i="2"/>
  <c r="C48" i="2"/>
  <c r="C52" i="2"/>
  <c r="C56" i="2"/>
  <c r="C49" i="2"/>
  <c r="C53" i="2"/>
  <c r="C50" i="2"/>
  <c r="C54" i="2"/>
  <c r="E51" i="2"/>
  <c r="E55" i="2"/>
  <c r="E48" i="2"/>
  <c r="E52" i="2"/>
  <c r="E56" i="2"/>
  <c r="E49" i="2"/>
  <c r="E53" i="2"/>
  <c r="E50" i="2"/>
  <c r="E54" i="2"/>
  <c r="F51" i="2"/>
  <c r="F55" i="2"/>
  <c r="F48" i="2"/>
  <c r="F52" i="2"/>
  <c r="F56" i="2"/>
  <c r="F49" i="2"/>
  <c r="F53" i="2"/>
  <c r="F50" i="2"/>
  <c r="F54" i="2"/>
  <c r="H48" i="2"/>
  <c r="H52" i="2"/>
  <c r="H56" i="2"/>
  <c r="H49" i="2"/>
  <c r="H53" i="2"/>
  <c r="H50" i="2"/>
  <c r="H54" i="2"/>
  <c r="H51" i="2"/>
  <c r="H55" i="2"/>
  <c r="B47" i="2"/>
  <c r="C47" i="2"/>
  <c r="E47" i="2"/>
  <c r="F47" i="2"/>
  <c r="H47" i="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H8" i="12"/>
  <c r="B8" i="12"/>
  <c r="J16" i="12"/>
  <c r="I16" i="12"/>
  <c r="J15" i="12"/>
  <c r="I15" i="12"/>
  <c r="E8" i="12"/>
  <c r="J14" i="12"/>
  <c r="I14" i="12"/>
  <c r="F8" i="12"/>
  <c r="F65" i="12" s="1"/>
  <c r="F8" i="11"/>
  <c r="F65" i="11" s="1"/>
  <c r="J58" i="11"/>
  <c r="I58" i="1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58" i="10"/>
  <c r="I58" i="10"/>
  <c r="J57" i="10"/>
  <c r="I57" i="10"/>
  <c r="J56" i="10"/>
  <c r="I56" i="10"/>
  <c r="J55" i="10"/>
  <c r="I55" i="10"/>
  <c r="J54" i="10"/>
  <c r="I54" i="10"/>
  <c r="J53" i="10"/>
  <c r="I53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58" i="9"/>
  <c r="I58" i="9"/>
  <c r="J57" i="9"/>
  <c r="I57" i="9"/>
  <c r="J56" i="9"/>
  <c r="I56" i="9"/>
  <c r="J55" i="9"/>
  <c r="I55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F8" i="7"/>
  <c r="F65" i="7" s="1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F8" i="6"/>
  <c r="F65" i="6" s="1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C10" i="10" l="1"/>
  <c r="E13" i="9"/>
  <c r="H11" i="11"/>
  <c r="H11" i="12"/>
  <c r="E9" i="12"/>
  <c r="F12" i="12"/>
  <c r="C9" i="11"/>
  <c r="C10" i="12"/>
  <c r="E13" i="12"/>
  <c r="E9" i="11"/>
  <c r="E13" i="11"/>
  <c r="B11" i="12"/>
  <c r="C9" i="12"/>
  <c r="F9" i="12"/>
  <c r="C13" i="12"/>
  <c r="H10" i="12"/>
  <c r="B8" i="9"/>
  <c r="B65" i="9" s="1"/>
  <c r="F12" i="7"/>
  <c r="C10" i="8"/>
  <c r="H10" i="9"/>
  <c r="H8" i="9"/>
  <c r="H65" i="9" s="1"/>
  <c r="F9" i="9"/>
  <c r="F12" i="6"/>
  <c r="E13" i="7"/>
  <c r="C10" i="7"/>
  <c r="H10" i="8"/>
  <c r="E65" i="12"/>
  <c r="B65" i="12"/>
  <c r="H65" i="12"/>
  <c r="E10" i="12"/>
  <c r="E68" i="12" s="1"/>
  <c r="C11" i="12"/>
  <c r="B12" i="12"/>
  <c r="H12" i="12"/>
  <c r="F13" i="12"/>
  <c r="C8" i="12"/>
  <c r="D2" i="15" s="1"/>
  <c r="B9" i="12"/>
  <c r="H9" i="12"/>
  <c r="F10" i="12"/>
  <c r="E11" i="12"/>
  <c r="C12" i="12"/>
  <c r="B13" i="12"/>
  <c r="H13" i="12"/>
  <c r="B10" i="12"/>
  <c r="F11" i="12"/>
  <c r="E12" i="12"/>
  <c r="C10" i="11"/>
  <c r="C13" i="11"/>
  <c r="B11" i="11"/>
  <c r="H8" i="11"/>
  <c r="H65" i="11" s="1"/>
  <c r="F12" i="11"/>
  <c r="E8" i="11"/>
  <c r="H10" i="11"/>
  <c r="B8" i="11"/>
  <c r="B65" i="11" s="1"/>
  <c r="E65" i="11"/>
  <c r="F9" i="11"/>
  <c r="E10" i="11"/>
  <c r="C11" i="11"/>
  <c r="B12" i="11"/>
  <c r="H12" i="11"/>
  <c r="F13" i="11"/>
  <c r="C8" i="11"/>
  <c r="B9" i="11"/>
  <c r="H9" i="11"/>
  <c r="H63" i="11" s="1"/>
  <c r="F10" i="11"/>
  <c r="E11" i="11"/>
  <c r="C12" i="11"/>
  <c r="B13" i="11"/>
  <c r="H13" i="11"/>
  <c r="B10" i="11"/>
  <c r="F11" i="11"/>
  <c r="E12" i="11"/>
  <c r="E13" i="10"/>
  <c r="F12" i="10"/>
  <c r="C9" i="10"/>
  <c r="C68" i="10" s="1"/>
  <c r="B8" i="10"/>
  <c r="B65" i="10" s="1"/>
  <c r="H8" i="10"/>
  <c r="F8" i="10"/>
  <c r="F65" i="10" s="1"/>
  <c r="E9" i="10"/>
  <c r="B11" i="10"/>
  <c r="H11" i="10"/>
  <c r="H10" i="10"/>
  <c r="E8" i="10"/>
  <c r="E65" i="10" s="1"/>
  <c r="C13" i="10"/>
  <c r="H65" i="10"/>
  <c r="F9" i="10"/>
  <c r="E10" i="10"/>
  <c r="C11" i="10"/>
  <c r="B12" i="10"/>
  <c r="H12" i="10"/>
  <c r="F13" i="10"/>
  <c r="C8" i="10"/>
  <c r="B9" i="10"/>
  <c r="H9" i="10"/>
  <c r="F10" i="10"/>
  <c r="E11" i="10"/>
  <c r="C12" i="10"/>
  <c r="B13" i="10"/>
  <c r="H13" i="10"/>
  <c r="B10" i="10"/>
  <c r="F11" i="10"/>
  <c r="E12" i="10"/>
  <c r="C13" i="9"/>
  <c r="E8" i="9"/>
  <c r="B11" i="9"/>
  <c r="F12" i="9"/>
  <c r="C10" i="9"/>
  <c r="E9" i="9"/>
  <c r="F8" i="9"/>
  <c r="F65" i="9" s="1"/>
  <c r="C9" i="9"/>
  <c r="H11" i="9"/>
  <c r="E65" i="9"/>
  <c r="E10" i="9"/>
  <c r="C11" i="9"/>
  <c r="B12" i="9"/>
  <c r="H12" i="9"/>
  <c r="F13" i="9"/>
  <c r="C8" i="9"/>
  <c r="B9" i="9"/>
  <c r="H9" i="9"/>
  <c r="F10" i="9"/>
  <c r="E11" i="9"/>
  <c r="C12" i="9"/>
  <c r="B13" i="9"/>
  <c r="H13" i="9"/>
  <c r="B10" i="9"/>
  <c r="F11" i="9"/>
  <c r="E12" i="9"/>
  <c r="E9" i="8"/>
  <c r="H11" i="8"/>
  <c r="F12" i="8"/>
  <c r="E13" i="8"/>
  <c r="C8" i="8"/>
  <c r="B8" i="8"/>
  <c r="B65" i="8" s="1"/>
  <c r="H8" i="8"/>
  <c r="H65" i="8" s="1"/>
  <c r="F8" i="8"/>
  <c r="F65" i="8" s="1"/>
  <c r="B11" i="8"/>
  <c r="E8" i="8"/>
  <c r="E65" i="8" s="1"/>
  <c r="F9" i="8"/>
  <c r="C13" i="8"/>
  <c r="C65" i="8"/>
  <c r="E10" i="8"/>
  <c r="B12" i="8"/>
  <c r="H12" i="8"/>
  <c r="B9" i="8"/>
  <c r="F10" i="8"/>
  <c r="E11" i="8"/>
  <c r="C12" i="8"/>
  <c r="B13" i="8"/>
  <c r="H13" i="8"/>
  <c r="C11" i="8"/>
  <c r="F13" i="8"/>
  <c r="H9" i="8"/>
  <c r="C9" i="8"/>
  <c r="B10" i="8"/>
  <c r="F11" i="8"/>
  <c r="E12" i="8"/>
  <c r="E8" i="7"/>
  <c r="E65" i="7" s="1"/>
  <c r="C9" i="7"/>
  <c r="B8" i="7"/>
  <c r="H8" i="7"/>
  <c r="H65" i="7" s="1"/>
  <c r="E9" i="7"/>
  <c r="B11" i="7"/>
  <c r="H11" i="7"/>
  <c r="C13" i="7"/>
  <c r="H10" i="7"/>
  <c r="B65" i="7"/>
  <c r="F9" i="7"/>
  <c r="E10" i="7"/>
  <c r="C11" i="7"/>
  <c r="B12" i="7"/>
  <c r="H12" i="7"/>
  <c r="F13" i="7"/>
  <c r="C8" i="7"/>
  <c r="B9" i="7"/>
  <c r="H9" i="7"/>
  <c r="F10" i="7"/>
  <c r="E11" i="7"/>
  <c r="C12" i="7"/>
  <c r="B13" i="7"/>
  <c r="H13" i="7"/>
  <c r="B10" i="7"/>
  <c r="F11" i="7"/>
  <c r="E12" i="7"/>
  <c r="C13" i="6"/>
  <c r="E13" i="6"/>
  <c r="H10" i="6"/>
  <c r="C10" i="6"/>
  <c r="C8" i="6"/>
  <c r="C65" i="6" s="1"/>
  <c r="B11" i="6"/>
  <c r="E8" i="6"/>
  <c r="E65" i="6" s="1"/>
  <c r="H8" i="6"/>
  <c r="H65" i="6" s="1"/>
  <c r="E9" i="6"/>
  <c r="B8" i="6"/>
  <c r="B65" i="6" s="1"/>
  <c r="H11" i="6"/>
  <c r="E10" i="6"/>
  <c r="F9" i="6"/>
  <c r="C11" i="6"/>
  <c r="B12" i="6"/>
  <c r="H12" i="6"/>
  <c r="F13" i="6"/>
  <c r="B9" i="6"/>
  <c r="H9" i="6"/>
  <c r="F10" i="6"/>
  <c r="E11" i="6"/>
  <c r="C12" i="6"/>
  <c r="B13" i="6"/>
  <c r="H13" i="6"/>
  <c r="C9" i="6"/>
  <c r="B10" i="6"/>
  <c r="F11" i="6"/>
  <c r="E12" i="6"/>
  <c r="C68" i="11" l="1"/>
  <c r="B42" i="15"/>
  <c r="D42" i="15" s="1"/>
  <c r="C68" i="12"/>
  <c r="H70" i="10"/>
  <c r="C68" i="7"/>
  <c r="H63" i="10"/>
  <c r="C63" i="8"/>
  <c r="E70" i="9"/>
  <c r="E63" i="11"/>
  <c r="F70" i="8"/>
  <c r="H70" i="8"/>
  <c r="B64" i="10"/>
  <c r="H70" i="11"/>
  <c r="B70" i="8"/>
  <c r="B70" i="10"/>
  <c r="B18" i="2"/>
  <c r="C18" i="2"/>
  <c r="E18" i="2"/>
  <c r="F18" i="2"/>
  <c r="H18" i="2"/>
  <c r="E70" i="12"/>
  <c r="F70" i="12"/>
  <c r="F67" i="12"/>
  <c r="F63" i="12"/>
  <c r="C67" i="12"/>
  <c r="F68" i="12"/>
  <c r="B70" i="12"/>
  <c r="H70" i="12"/>
  <c r="B68" i="12"/>
  <c r="B67" i="12"/>
  <c r="F64" i="12"/>
  <c r="C63" i="12"/>
  <c r="C64" i="12"/>
  <c r="C65" i="12"/>
  <c r="E67" i="12"/>
  <c r="B63" i="12"/>
  <c r="E63" i="12"/>
  <c r="H68" i="12"/>
  <c r="H67" i="12"/>
  <c r="C70" i="12"/>
  <c r="H63" i="12"/>
  <c r="B64" i="12"/>
  <c r="E64" i="12"/>
  <c r="H64" i="12"/>
  <c r="F64" i="11"/>
  <c r="E70" i="11"/>
  <c r="B70" i="11"/>
  <c r="C67" i="11"/>
  <c r="B68" i="11"/>
  <c r="B67" i="11"/>
  <c r="C63" i="11"/>
  <c r="C64" i="11"/>
  <c r="C65" i="11"/>
  <c r="F67" i="11"/>
  <c r="F68" i="11"/>
  <c r="B64" i="11"/>
  <c r="E68" i="11"/>
  <c r="E67" i="11"/>
  <c r="H64" i="11"/>
  <c r="E64" i="11"/>
  <c r="F70" i="11"/>
  <c r="H68" i="11"/>
  <c r="H67" i="11"/>
  <c r="F63" i="11"/>
  <c r="C70" i="11"/>
  <c r="B63" i="11"/>
  <c r="H64" i="10"/>
  <c r="F64" i="10"/>
  <c r="E70" i="10"/>
  <c r="C67" i="10"/>
  <c r="E67" i="10"/>
  <c r="B68" i="10"/>
  <c r="B67" i="10"/>
  <c r="F67" i="10"/>
  <c r="F68" i="10"/>
  <c r="E63" i="10"/>
  <c r="C63" i="10"/>
  <c r="C64" i="10"/>
  <c r="C65" i="10"/>
  <c r="E68" i="10"/>
  <c r="B63" i="10"/>
  <c r="E64" i="10"/>
  <c r="F70" i="10"/>
  <c r="H68" i="10"/>
  <c r="H67" i="10"/>
  <c r="F63" i="10"/>
  <c r="C70" i="10"/>
  <c r="H64" i="9"/>
  <c r="C68" i="9"/>
  <c r="F70" i="9"/>
  <c r="B63" i="9"/>
  <c r="B64" i="9"/>
  <c r="C67" i="9"/>
  <c r="H70" i="9"/>
  <c r="E67" i="9"/>
  <c r="F67" i="9"/>
  <c r="F68" i="9"/>
  <c r="F64" i="9"/>
  <c r="C63" i="9"/>
  <c r="C65" i="9"/>
  <c r="C64" i="9"/>
  <c r="B70" i="9"/>
  <c r="E63" i="9"/>
  <c r="F63" i="9"/>
  <c r="C70" i="9"/>
  <c r="E64" i="9"/>
  <c r="H68" i="9"/>
  <c r="H67" i="9"/>
  <c r="B68" i="9"/>
  <c r="B67" i="9"/>
  <c r="E68" i="9"/>
  <c r="H63" i="9"/>
  <c r="C70" i="8"/>
  <c r="H64" i="8"/>
  <c r="E63" i="8"/>
  <c r="E64" i="8"/>
  <c r="F67" i="8"/>
  <c r="H68" i="8"/>
  <c r="H67" i="8"/>
  <c r="B68" i="8"/>
  <c r="B67" i="8"/>
  <c r="F68" i="8"/>
  <c r="F63" i="8"/>
  <c r="E68" i="8"/>
  <c r="E67" i="8"/>
  <c r="B63" i="8"/>
  <c r="C68" i="8"/>
  <c r="C67" i="8"/>
  <c r="F64" i="8"/>
  <c r="E70" i="8"/>
  <c r="C64" i="8"/>
  <c r="H63" i="8"/>
  <c r="B64" i="8"/>
  <c r="E70" i="7"/>
  <c r="F64" i="7"/>
  <c r="H64" i="7"/>
  <c r="B70" i="7"/>
  <c r="H70" i="7"/>
  <c r="B64" i="7"/>
  <c r="E67" i="7"/>
  <c r="C67" i="7"/>
  <c r="B68" i="7"/>
  <c r="B67" i="7"/>
  <c r="E63" i="7"/>
  <c r="F67" i="7"/>
  <c r="F68" i="7"/>
  <c r="E68" i="7"/>
  <c r="C63" i="7"/>
  <c r="C65" i="7"/>
  <c r="C64" i="7"/>
  <c r="B63" i="7"/>
  <c r="F70" i="7"/>
  <c r="H68" i="7"/>
  <c r="H67" i="7"/>
  <c r="F63" i="7"/>
  <c r="C70" i="7"/>
  <c r="H63" i="7"/>
  <c r="E64" i="7"/>
  <c r="F70" i="6"/>
  <c r="B70" i="6"/>
  <c r="C70" i="6"/>
  <c r="H70" i="6"/>
  <c r="C63" i="6"/>
  <c r="F63" i="6"/>
  <c r="H64" i="6"/>
  <c r="E63" i="6"/>
  <c r="E68" i="6"/>
  <c r="B64" i="6"/>
  <c r="B63" i="6"/>
  <c r="F64" i="6"/>
  <c r="E70" i="6"/>
  <c r="F68" i="6"/>
  <c r="F67" i="6"/>
  <c r="E64" i="6"/>
  <c r="E67" i="6"/>
  <c r="H67" i="6"/>
  <c r="H68" i="6"/>
  <c r="C68" i="6"/>
  <c r="C67" i="6"/>
  <c r="B68" i="6"/>
  <c r="B67" i="6"/>
  <c r="C64" i="6"/>
  <c r="H63" i="6"/>
  <c r="J15" i="4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14" i="4"/>
  <c r="C9" i="4"/>
  <c r="C10" i="4" l="1"/>
  <c r="H12" i="4"/>
  <c r="B10" i="4"/>
  <c r="B12" i="4"/>
  <c r="H10" i="4"/>
  <c r="E10" i="4"/>
  <c r="E13" i="4"/>
  <c r="F8" i="4"/>
  <c r="F65" i="4" s="1"/>
  <c r="H9" i="4"/>
  <c r="H68" i="4" s="1"/>
  <c r="F13" i="4"/>
  <c r="B13" i="4"/>
  <c r="C13" i="4"/>
  <c r="C12" i="4"/>
  <c r="F10" i="4"/>
  <c r="E11" i="4"/>
  <c r="E9" i="4"/>
  <c r="E12" i="4"/>
  <c r="B9" i="4"/>
  <c r="H8" i="4"/>
  <c r="H65" i="4" s="1"/>
  <c r="F12" i="4"/>
  <c r="H13" i="4"/>
  <c r="H63" i="4"/>
  <c r="C68" i="4"/>
  <c r="E8" i="4"/>
  <c r="C11" i="4"/>
  <c r="F9" i="4"/>
  <c r="B8" i="4"/>
  <c r="C8" i="4"/>
  <c r="H11" i="4"/>
  <c r="B11" i="4"/>
  <c r="F11" i="4"/>
  <c r="C26" i="3"/>
  <c r="B25" i="3"/>
  <c r="F28" i="3"/>
  <c r="C39" i="3"/>
  <c r="C41" i="3"/>
  <c r="E11" i="3"/>
  <c r="F17" i="3"/>
  <c r="C25" i="3"/>
  <c r="B38" i="3"/>
  <c r="F33" i="3"/>
  <c r="F27" i="3"/>
  <c r="B13" i="3"/>
  <c r="C47" i="3"/>
  <c r="B15" i="3"/>
  <c r="F12" i="3"/>
  <c r="B8" i="3"/>
  <c r="F9" i="3"/>
  <c r="H28" i="3"/>
  <c r="C19" i="3"/>
  <c r="F47" i="3"/>
  <c r="H43" i="3"/>
  <c r="B33" i="3"/>
  <c r="F21" i="3"/>
  <c r="B47" i="3"/>
  <c r="E31" i="3"/>
  <c r="F15" i="3"/>
  <c r="F35" i="3"/>
  <c r="H31" i="3"/>
  <c r="B26" i="3"/>
  <c r="H25" i="3"/>
  <c r="C16" i="3"/>
  <c r="E16" i="3"/>
  <c r="B44" i="3"/>
  <c r="E37" i="3"/>
  <c r="F48" i="3"/>
  <c r="B43" i="3"/>
  <c r="E24" i="3"/>
  <c r="E10" i="3"/>
  <c r="C36" i="3"/>
  <c r="B32" i="3"/>
  <c r="C33" i="3"/>
  <c r="F14" i="3"/>
  <c r="F18" i="3"/>
  <c r="H15" i="3"/>
  <c r="B17" i="3"/>
  <c r="F43" i="3"/>
  <c r="C10" i="3"/>
  <c r="H42" i="3"/>
  <c r="E32" i="3"/>
  <c r="F24" i="3"/>
  <c r="C35" i="3"/>
  <c r="E21" i="3"/>
  <c r="B9" i="3"/>
  <c r="E28" i="3"/>
  <c r="B35" i="3"/>
  <c r="E13" i="3"/>
  <c r="C18" i="3"/>
  <c r="H12" i="3"/>
  <c r="H16" i="3"/>
  <c r="F44" i="3"/>
  <c r="F8" i="3"/>
  <c r="H45" i="3"/>
  <c r="E14" i="3"/>
  <c r="C15" i="3"/>
  <c r="H23" i="3"/>
  <c r="F32" i="3"/>
  <c r="F23" i="3"/>
  <c r="H40" i="3"/>
  <c r="F22" i="3"/>
  <c r="E45" i="3"/>
  <c r="E30" i="3"/>
  <c r="H19" i="3"/>
  <c r="F41" i="3"/>
  <c r="E48" i="3"/>
  <c r="C31" i="3"/>
  <c r="E36" i="3"/>
  <c r="H17" i="3"/>
  <c r="F25" i="3"/>
  <c r="B14" i="3"/>
  <c r="C43" i="3"/>
  <c r="H44" i="3"/>
  <c r="E17" i="3"/>
  <c r="B29" i="3"/>
  <c r="E12" i="3"/>
  <c r="H14" i="3"/>
  <c r="F42" i="3"/>
  <c r="H41" i="3"/>
  <c r="E40" i="3"/>
  <c r="C11" i="3"/>
  <c r="B48" i="3"/>
  <c r="H35" i="3"/>
  <c r="E9" i="3"/>
  <c r="E33" i="3"/>
  <c r="F30" i="3"/>
  <c r="H24" i="3"/>
  <c r="E8" i="3"/>
  <c r="F40" i="3"/>
  <c r="C34" i="3"/>
  <c r="H9" i="3"/>
  <c r="F45" i="3"/>
  <c r="C30" i="3"/>
  <c r="F29" i="3"/>
  <c r="H38" i="3"/>
  <c r="F10" i="3"/>
  <c r="C9" i="3"/>
  <c r="E15" i="3"/>
  <c r="H37" i="3"/>
  <c r="H34" i="3"/>
  <c r="E41" i="3"/>
  <c r="C13" i="3"/>
  <c r="E46" i="3"/>
  <c r="E39" i="3"/>
  <c r="E27" i="3"/>
  <c r="H36" i="3"/>
  <c r="B22" i="3"/>
  <c r="E26" i="3"/>
  <c r="E47" i="3"/>
  <c r="F46" i="3"/>
  <c r="E43" i="3"/>
  <c r="E42" i="3"/>
  <c r="E25" i="3"/>
  <c r="C8" i="3"/>
  <c r="H29" i="3"/>
  <c r="C38" i="3"/>
  <c r="C22" i="3"/>
  <c r="B36" i="3"/>
  <c r="E34" i="3"/>
  <c r="B31" i="3"/>
  <c r="E38" i="3"/>
  <c r="B40" i="3"/>
  <c r="E19" i="3"/>
  <c r="F39" i="3"/>
  <c r="C24" i="3"/>
  <c r="C44" i="3"/>
  <c r="B12" i="3"/>
  <c r="B16" i="3"/>
  <c r="F34" i="3"/>
  <c r="C17" i="3"/>
  <c r="H32" i="3"/>
  <c r="C48" i="3"/>
  <c r="F37" i="3"/>
  <c r="C23" i="3"/>
  <c r="C21" i="3"/>
  <c r="F26" i="3"/>
  <c r="B18" i="3"/>
  <c r="C45" i="3"/>
  <c r="E23" i="3"/>
  <c r="H39" i="3"/>
  <c r="B37" i="3"/>
  <c r="E18" i="3"/>
  <c r="C27" i="3"/>
  <c r="C28" i="3"/>
  <c r="C46" i="3"/>
  <c r="E44" i="3"/>
  <c r="C12" i="3"/>
  <c r="H47" i="3"/>
  <c r="F11" i="3"/>
  <c r="H30" i="3"/>
  <c r="B21" i="3"/>
  <c r="E22" i="3"/>
  <c r="C42" i="3"/>
  <c r="C14" i="3"/>
  <c r="H8" i="3"/>
  <c r="B42" i="3"/>
  <c r="B28" i="3"/>
  <c r="E35" i="3"/>
  <c r="H21" i="3"/>
  <c r="B39" i="3"/>
  <c r="F13" i="3"/>
  <c r="H10" i="3"/>
  <c r="B30" i="3"/>
  <c r="B10" i="3"/>
  <c r="B11" i="3"/>
  <c r="B19" i="3"/>
  <c r="F36" i="3"/>
  <c r="B27" i="3"/>
  <c r="B23" i="3"/>
  <c r="B41" i="3"/>
  <c r="H33" i="3"/>
  <c r="B45" i="3"/>
  <c r="F31" i="3"/>
  <c r="C29" i="3"/>
  <c r="B34" i="3"/>
  <c r="C32" i="3"/>
  <c r="H48" i="3"/>
  <c r="H26" i="3"/>
  <c r="H46" i="3"/>
  <c r="H11" i="3"/>
  <c r="C40" i="3"/>
  <c r="F19" i="3"/>
  <c r="H18" i="3"/>
  <c r="H22" i="3"/>
  <c r="H13" i="3"/>
  <c r="F16" i="3"/>
  <c r="C37" i="3"/>
  <c r="B24" i="3"/>
  <c r="B46" i="3"/>
  <c r="H27" i="3"/>
  <c r="F38" i="3"/>
  <c r="E29" i="3"/>
  <c r="C70" i="4" l="1"/>
  <c r="B68" i="4"/>
  <c r="E68" i="4"/>
  <c r="E70" i="4"/>
  <c r="H22" i="2"/>
  <c r="E32" i="2"/>
  <c r="C32" i="2"/>
  <c r="B29" i="2"/>
  <c r="F20" i="2"/>
  <c r="B36" i="2"/>
  <c r="C17" i="2"/>
  <c r="E19" i="2"/>
  <c r="C33" i="2"/>
  <c r="E27" i="2"/>
  <c r="E14" i="2"/>
  <c r="H42" i="2"/>
  <c r="B11" i="2"/>
  <c r="B12" i="2"/>
  <c r="C44" i="2"/>
  <c r="F21" i="2"/>
  <c r="B7" i="2"/>
  <c r="B33" i="2"/>
  <c r="H37" i="2"/>
  <c r="H26" i="2"/>
  <c r="C24" i="2"/>
  <c r="C42" i="2"/>
  <c r="C39" i="2"/>
  <c r="H34" i="2"/>
  <c r="E44" i="2"/>
  <c r="E16" i="2"/>
  <c r="E6" i="2"/>
  <c r="F24" i="2"/>
  <c r="E34" i="2"/>
  <c r="F39" i="2"/>
  <c r="E21" i="2"/>
  <c r="E30" i="2"/>
  <c r="B24" i="2"/>
  <c r="B32" i="2"/>
  <c r="F35" i="2"/>
  <c r="C21" i="2"/>
  <c r="F12" i="2"/>
  <c r="F32" i="2"/>
  <c r="F37" i="2"/>
  <c r="E43" i="2"/>
  <c r="C30" i="2"/>
  <c r="B31" i="2"/>
  <c r="F9" i="2"/>
  <c r="B40" i="2"/>
  <c r="B42" i="2"/>
  <c r="H7" i="2"/>
  <c r="E45" i="2"/>
  <c r="B8" i="2"/>
  <c r="F41" i="2"/>
  <c r="F14" i="2"/>
  <c r="F22" i="2"/>
  <c r="E17" i="2"/>
  <c r="C22" i="2"/>
  <c r="B15" i="2"/>
  <c r="C25" i="2"/>
  <c r="B20" i="2"/>
  <c r="H43" i="2"/>
  <c r="E35" i="2"/>
  <c r="H36" i="2"/>
  <c r="E28" i="2"/>
  <c r="E39" i="2"/>
  <c r="E13" i="2"/>
  <c r="C10" i="2"/>
  <c r="C16" i="2"/>
  <c r="C23" i="2"/>
  <c r="B22" i="2"/>
  <c r="B23" i="2"/>
  <c r="F33" i="2"/>
  <c r="E9" i="2"/>
  <c r="H28" i="2"/>
  <c r="H11" i="2"/>
  <c r="C7" i="2"/>
  <c r="E26" i="2"/>
  <c r="H32" i="2"/>
  <c r="E31" i="2"/>
  <c r="E23" i="2"/>
  <c r="C8" i="2"/>
  <c r="B28" i="2"/>
  <c r="C6" i="2"/>
  <c r="F11" i="2"/>
  <c r="H23" i="2"/>
  <c r="E15" i="2"/>
  <c r="C37" i="2"/>
  <c r="C45" i="2"/>
  <c r="B45" i="2"/>
  <c r="H14" i="2"/>
  <c r="F29" i="2"/>
  <c r="H46" i="2"/>
  <c r="F46" i="2"/>
  <c r="C38" i="2"/>
  <c r="E38" i="2"/>
  <c r="E20" i="2"/>
  <c r="B19" i="2"/>
  <c r="F26" i="2"/>
  <c r="B34" i="2"/>
  <c r="F27" i="2"/>
  <c r="E41" i="2"/>
  <c r="H27" i="2"/>
  <c r="F34" i="2"/>
  <c r="B35" i="2"/>
  <c r="E25" i="2"/>
  <c r="E37" i="2"/>
  <c r="E8" i="2"/>
  <c r="F13" i="2"/>
  <c r="C14" i="2"/>
  <c r="E33" i="2"/>
  <c r="F19" i="2"/>
  <c r="F10" i="2"/>
  <c r="C28" i="2"/>
  <c r="H8" i="2"/>
  <c r="F28" i="2"/>
  <c r="H35" i="2"/>
  <c r="F43" i="2"/>
  <c r="C34" i="2"/>
  <c r="B43" i="2"/>
  <c r="F31" i="2"/>
  <c r="B16" i="2"/>
  <c r="C11" i="2"/>
  <c r="B10" i="2"/>
  <c r="E11" i="2"/>
  <c r="H31" i="2"/>
  <c r="B26" i="2"/>
  <c r="H6" i="2"/>
  <c r="B38" i="2"/>
  <c r="H33" i="2"/>
  <c r="C12" i="2"/>
  <c r="C20" i="2"/>
  <c r="C35" i="2"/>
  <c r="E22" i="2"/>
  <c r="F15" i="2"/>
  <c r="C27" i="2"/>
  <c r="E24" i="2"/>
  <c r="C31" i="2"/>
  <c r="H17" i="2"/>
  <c r="E42" i="2"/>
  <c r="B41" i="2"/>
  <c r="H10" i="2"/>
  <c r="F7" i="2"/>
  <c r="H25" i="2"/>
  <c r="C40" i="2"/>
  <c r="H19" i="2"/>
  <c r="H16" i="2"/>
  <c r="H29" i="2"/>
  <c r="H39" i="2"/>
  <c r="E7" i="2"/>
  <c r="H38" i="2"/>
  <c r="F6" i="2"/>
  <c r="B46" i="2"/>
  <c r="B14" i="2"/>
  <c r="E12" i="2"/>
  <c r="H15" i="2"/>
  <c r="E29" i="2"/>
  <c r="C19" i="2"/>
  <c r="E40" i="2"/>
  <c r="B6" i="2"/>
  <c r="F17" i="2"/>
  <c r="H41" i="2"/>
  <c r="H9" i="2"/>
  <c r="C43" i="2"/>
  <c r="F8" i="2"/>
  <c r="H24" i="2"/>
  <c r="B25" i="2"/>
  <c r="C36" i="2"/>
  <c r="C29" i="2"/>
  <c r="H30" i="2"/>
  <c r="F42" i="2"/>
  <c r="C41" i="2"/>
  <c r="B17" i="2"/>
  <c r="F23" i="2"/>
  <c r="F25" i="2"/>
  <c r="E36" i="2"/>
  <c r="C15" i="2"/>
  <c r="H21" i="2"/>
  <c r="B21" i="2"/>
  <c r="H20" i="2"/>
  <c r="C13" i="2"/>
  <c r="F16" i="2"/>
  <c r="C9" i="2"/>
  <c r="F40" i="2"/>
  <c r="B30" i="2"/>
  <c r="C26" i="2"/>
  <c r="B44" i="2"/>
  <c r="F36" i="2"/>
  <c r="E10" i="2"/>
  <c r="B27" i="2"/>
  <c r="F30" i="2"/>
  <c r="B37" i="2"/>
  <c r="H13" i="2"/>
  <c r="B9" i="2"/>
  <c r="H45" i="2"/>
  <c r="F44" i="2"/>
  <c r="B13" i="2"/>
  <c r="H40" i="2"/>
  <c r="B39" i="2"/>
  <c r="F45" i="2"/>
  <c r="E46" i="2"/>
  <c r="F38" i="2"/>
  <c r="H44" i="2"/>
  <c r="H12" i="2"/>
  <c r="C46" i="2"/>
  <c r="F70" i="4"/>
  <c r="B67" i="4"/>
  <c r="B70" i="4"/>
  <c r="H67" i="4"/>
  <c r="E67" i="4"/>
  <c r="C67" i="4"/>
  <c r="H70" i="4"/>
  <c r="C64" i="4"/>
  <c r="C63" i="4"/>
  <c r="C65" i="4"/>
  <c r="E65" i="4"/>
  <c r="E64" i="4"/>
  <c r="E63" i="4"/>
  <c r="F64" i="4"/>
  <c r="B64" i="4"/>
  <c r="B63" i="4"/>
  <c r="B65" i="4"/>
  <c r="F67" i="4"/>
  <c r="F68" i="4"/>
  <c r="H64" i="4"/>
  <c r="F63" i="4"/>
</calcChain>
</file>

<file path=xl/sharedStrings.xml><?xml version="1.0" encoding="utf-8"?>
<sst xmlns="http://schemas.openxmlformats.org/spreadsheetml/2006/main" count="3320" uniqueCount="227">
  <si>
    <t>2010/11</t>
  </si>
  <si>
    <t>Fire Appliances</t>
  </si>
  <si>
    <t>Cars and Vans</t>
  </si>
  <si>
    <t>Other Vehicles1</t>
  </si>
  <si>
    <t>FRA</t>
  </si>
  <si>
    <t>On Blue Light</t>
  </si>
  <si>
    <t>Off Blue Light</t>
  </si>
  <si>
    <t>England</t>
  </si>
  <si>
    <t>Non-metropolitan</t>
  </si>
  <si>
    <t>Metropolitan</t>
  </si>
  <si>
    <t>Predominantly Urban</t>
  </si>
  <si>
    <t>Significantly Rural</t>
  </si>
  <si>
    <t>Predominantly Rural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</si>
  <si>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</si>
  <si>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</si>
  <si>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</si>
  <si>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</si>
  <si>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</si>
  <si>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</si>
  <si>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</si>
  <si>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</si>
  <si>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</si>
  <si>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</si>
  <si>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</si>
  <si>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</si>
  <si>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</si>
  <si>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</si>
  <si>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</si>
  <si>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</si>
  <si>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</si>
  <si>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</si>
  <si>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</si>
  <si>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</si>
  <si>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</si>
  <si>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</si>
  <si>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</si>
  <si>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</si>
  <si>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</si>
  <si>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</si>
  <si>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</si>
  <si>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</si>
  <si>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</si>
  <si>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</si>
  <si>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</si>
  <si>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</si>
  <si>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</si>
  <si>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</si>
  <si>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</si>
  <si>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</si>
  <si>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</si>
  <si>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</si>
  <si>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</si>
  <si>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</si>
  <si>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</si>
  <si>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</si>
  <si>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</si>
  <si>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</si>
  <si>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</si>
  <si>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Checks (all should = 0)</t>
  </si>
  <si>
    <t>England = Met/Non Met</t>
  </si>
  <si>
    <t>England = Urban/Rural</t>
  </si>
  <si>
    <t>England = FRSs</t>
  </si>
  <si>
    <t>Met/Non Met = Urban/Rural</t>
  </si>
  <si>
    <t>Met/Non Met = FRSs</t>
  </si>
  <si>
    <t>Urban/Rural = FRSs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</si>
  <si>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</si>
  <si>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</si>
  <si>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</si>
  <si>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</si>
  <si>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</si>
  <si>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</si>
  <si>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</si>
  <si>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</si>
  <si>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Other Vehicles</t>
  </si>
  <si>
    <t>On or off blue light</t>
  </si>
  <si>
    <t>2019/20</t>
  </si>
  <si>
    <t>Isle Of Wight</t>
  </si>
  <si>
    <t>Year</t>
  </si>
  <si>
    <t>FRS_Name</t>
  </si>
  <si>
    <t>Incident_type</t>
  </si>
  <si>
    <t>Light</t>
  </si>
  <si>
    <t>Count</t>
  </si>
  <si>
    <t>Fire appliances</t>
  </si>
  <si>
    <t>On blue light</t>
  </si>
  <si>
    <t>Off blue light</t>
  </si>
  <si>
    <t>Cars and vans</t>
  </si>
  <si>
    <t>Other vehicles</t>
  </si>
  <si>
    <t>Pink cells</t>
  </si>
  <si>
    <t>are the ones picked up in the macro</t>
  </si>
  <si>
    <t>red font</t>
  </si>
  <si>
    <t>are the cells you need to check are still correct</t>
  </si>
  <si>
    <t>Link_Start</t>
  </si>
  <si>
    <t>Return_Name</t>
  </si>
  <si>
    <t>FRS_Loop</t>
  </si>
  <si>
    <t>Link_End</t>
  </si>
  <si>
    <t>\\poise.homeoffice.local\data\TMS\DomGroup\ASD-ETHOS30\Fire Stats\003 Fire Operational Statistics\</t>
  </si>
  <si>
    <t>2019_20</t>
  </si>
  <si>
    <t>\data supplied\VI\VI_</t>
  </si>
  <si>
    <t>Sheet_Name_VI</t>
  </si>
  <si>
    <t>Cell_Loop</t>
  </si>
  <si>
    <t>Cell_Loop_Desc_VI</t>
  </si>
  <si>
    <t>Cell_Loop_Desc2_VI</t>
  </si>
  <si>
    <t>VI1</t>
  </si>
  <si>
    <t>B10</t>
  </si>
  <si>
    <t>Cell_Loop2_VI</t>
  </si>
  <si>
    <t>Cell_Loop2_Desc_VI</t>
  </si>
  <si>
    <t>Cell_Loop2_Desc2_VI</t>
  </si>
  <si>
    <t>C10</t>
  </si>
  <si>
    <t>Cell_Loop3_VI</t>
  </si>
  <si>
    <t>Cell_Loop3_Desc_VI</t>
  </si>
  <si>
    <t>Cell_Loop3_Desc2_VI</t>
  </si>
  <si>
    <t>D10</t>
  </si>
  <si>
    <t>Cell_Loop4_VI</t>
  </si>
  <si>
    <t>Cell_Loop4_Desc_VI</t>
  </si>
  <si>
    <t>Cell_Loop4_Desc2_VI</t>
  </si>
  <si>
    <t>E10</t>
  </si>
  <si>
    <t>Cell_Loop5_HR6</t>
  </si>
  <si>
    <t>Cell_Loop5_Desc_HR6</t>
  </si>
  <si>
    <t>Cell_Loop5_Desc2_HR6</t>
  </si>
  <si>
    <t>F10</t>
  </si>
  <si>
    <t>Checks for 1402</t>
  </si>
  <si>
    <t>Producer</t>
  </si>
  <si>
    <t>Deborah</t>
  </si>
  <si>
    <t>Ben</t>
  </si>
  <si>
    <t>No</t>
  </si>
  <si>
    <t>Paul</t>
  </si>
  <si>
    <t>Yes</t>
  </si>
  <si>
    <t>Checklist</t>
  </si>
  <si>
    <t>Checker</t>
  </si>
  <si>
    <t>Error?</t>
  </si>
  <si>
    <t>Lucy</t>
  </si>
  <si>
    <t>Comments</t>
  </si>
  <si>
    <t>drop down menu works and options are hidden</t>
  </si>
  <si>
    <t>Phoebe</t>
  </si>
  <si>
    <t>spot check some figures on raw sheet with returns from FRSs 2018/19</t>
  </si>
  <si>
    <t>Victoria</t>
  </si>
  <si>
    <t>spot check some figures from raw sheet 2018/19</t>
  </si>
  <si>
    <t>spot check some figures on raw sheet with returns from FRSs 2019/20</t>
  </si>
  <si>
    <t>spot check some figures from raw sheet 2019/20</t>
  </si>
  <si>
    <t>London is the biggest</t>
  </si>
  <si>
    <t>Isles of Scilly and Isle of Wight</t>
  </si>
  <si>
    <t>Compare year on year to check the change vs last year for each FRS isn't huge either up or down</t>
  </si>
  <si>
    <t>Figures are small so difficult to draw strong conclusions. Notable changes: Dorset &amp; Wiltshire up 86%. Avon down 65%. Leicestershire up 93%</t>
  </si>
  <si>
    <t>Newest year has been included</t>
  </si>
  <si>
    <t>Footnotes are relevant</t>
  </si>
  <si>
    <t>Notes are correct</t>
  </si>
  <si>
    <t>At present the General note is: '.. Data not available.'     Is this as expected?  Nope - Deleted</t>
  </si>
  <si>
    <t>Links work</t>
  </si>
  <si>
    <t>Last updated date is correct</t>
  </si>
  <si>
    <t>Last updated link was taking you to the last non-fire release. I have amended so that it directs user to the page where one can access the published 1402 table</t>
  </si>
  <si>
    <t>Next update date is planned next  release period</t>
  </si>
  <si>
    <t>Sheets to be hidden have red tabs</t>
  </si>
  <si>
    <t>Assessibility done</t>
  </si>
  <si>
    <t>yes</t>
  </si>
  <si>
    <t>Common sense look at the table</t>
  </si>
  <si>
    <t>Checks left to do or resolve</t>
  </si>
  <si>
    <t>Accidents to FRS vehicles</t>
  </si>
  <si>
    <t>England, year ending March 2021: data table</t>
  </si>
  <si>
    <t>Table 1402</t>
  </si>
  <si>
    <t>Responsible Statistician: Helene Clark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</si>
  <si>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</si>
  <si>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</si>
  <si>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Next update: Winter 2022/23</t>
  </si>
  <si>
    <t>Crown copyright © 2022</t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</si>
  <si>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</si>
  <si>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</si>
  <si>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</si>
  <si>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</si>
  <si>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</si>
  <si>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</si>
  <si>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</si>
  <si>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</si>
  <si>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</si>
  <si>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</si>
  <si>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</si>
  <si>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Fire1402</t>
  </si>
  <si>
    <t>Accidents occurring to fire and rescue authority vehicles, by fire and rescue authority</t>
  </si>
  <si>
    <t>Shows the number of accidents by different vehicle types.</t>
  </si>
  <si>
    <t>2010/11 to 2020/21</t>
  </si>
  <si>
    <t>FRS geographical categories</t>
  </si>
  <si>
    <t>How FRAs are categorised</t>
  </si>
  <si>
    <t>Shows the classification of each FRS into the rural/urban and metropolitan/non-metropolitan groups</t>
  </si>
  <si>
    <t>added manually</t>
  </si>
  <si>
    <t>Isles Of Scilly</t>
  </si>
  <si>
    <t>2020/21</t>
  </si>
  <si>
    <t>FIRE STATISTICS TABLE 1402: Accidents occurring to fire and rescue authority vehicles, by fire and rescue authority</t>
  </si>
  <si>
    <t>Select a year from the drop-down list in the orange box below:</t>
  </si>
  <si>
    <t>2020-21</t>
  </si>
  <si>
    <r>
      <t>Fire Appliances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</si>
  <si>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Other           Vehicles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</si>
  <si>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FRA</t>
    </r>
    <r>
      <rPr>
        <vertAlign val="superscript"/>
        <sz val="11"/>
        <color theme="1"/>
        <rFont val="Calibri"/>
        <family val="2"/>
        <scheme val="minor"/>
      </rPr>
      <t>1</t>
    </r>
  </si>
  <si>
    <t>Footnotes</t>
  </si>
  <si>
    <t>1 For a list of FRAs and whether they are considered "Metropolitan", "Non Metropolitan", "Predominately Rural", "Significantly Rural"</t>
  </si>
  <si>
    <t xml:space="preserve"> or "Predominantely Urban" please see the FRS geographical categories sheet.</t>
  </si>
  <si>
    <t xml:space="preserve">2 Road vehicles designed to assist firefighters in operational activities, other than cars and vans, including pumps and aerials. </t>
  </si>
  <si>
    <t>3 All vehicles other than appliances, cars and vans, such as general purpose lorries, boats, drones etc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</si>
  <si>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</si>
  <si>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</si>
  <si>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</si>
  <si>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</si>
  <si>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</si>
  <si>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end of table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</si>
  <si>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</si>
  <si>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</si>
  <si>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</si>
  <si>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</si>
  <si>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</si>
  <si>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</si>
  <si>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</si>
  <si>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</si>
  <si>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</si>
  <si>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</si>
  <si>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</si>
  <si>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</si>
  <si>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</si>
  <si>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</si>
  <si>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</si>
  <si>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</si>
  <si>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</si>
  <si>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FRS</t>
  </si>
  <si>
    <t>FA On Blue Light</t>
  </si>
  <si>
    <t>FA Off Blue Light</t>
  </si>
  <si>
    <t>CV On Blue Light</t>
  </si>
  <si>
    <t>CV Off Blue Light</t>
  </si>
  <si>
    <t>OV On or off blue light</t>
  </si>
  <si>
    <t>Published: 16 June 2022</t>
  </si>
  <si>
    <t>Publication Date: 16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</si>
</sst>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</font>
    <font>
      <b/>
      <sz val="11"/>
      <name val="Arial Black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7" fillId="0" borderId="0" applyNumberFormat="0" applyBorder="0" applyProtection="0"/>
    <xf numFmtId="0" fontId="18" fillId="0" borderId="0" applyNumberFormat="0" applyBorder="0" applyProtection="0"/>
    <xf numFmtId="0" fontId="3" fillId="0" borderId="0" applyNumberFormat="0" applyFont="0" applyBorder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Border="0" applyProtection="0"/>
    <xf numFmtId="0" fontId="3" fillId="0" borderId="0"/>
    <xf numFmtId="0" fontId="3" fillId="0" borderId="0" applyNumberFormat="0" applyFont="0" applyBorder="0" applyProtection="0"/>
  </cellStyleXfs>
  <cellXfs count="92">
    <xf numFmtId="0" fontId="0" fillId="0" borderId="0" xfId="0"/>
    <xf numFmtId="0" fontId="0" fillId="2" borderId="0" xfId="0" applyFill="1"/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/>
    <xf numFmtId="0" fontId="3" fillId="2" borderId="0" xfId="1" applyFill="1"/>
    <xf numFmtId="0" fontId="0" fillId="2" borderId="0" xfId="0" applyFill="1" applyAlignment="1">
      <alignment horizont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2" fillId="4" borderId="3" xfId="0" applyFont="1" applyFill="1" applyBorder="1"/>
    <xf numFmtId="3" fontId="2" fillId="2" borderId="0" xfId="0" applyNumberFormat="1" applyFont="1" applyFill="1" applyAlignment="1">
      <alignment horizontal="right"/>
    </xf>
    <xf numFmtId="1" fontId="0" fillId="4" borderId="0" xfId="0" applyNumberFormat="1" applyFill="1"/>
    <xf numFmtId="1" fontId="0" fillId="2" borderId="0" xfId="0" applyNumberFormat="1" applyFill="1"/>
    <xf numFmtId="164" fontId="0" fillId="2" borderId="0" xfId="0" applyNumberFormat="1" applyFill="1"/>
    <xf numFmtId="0" fontId="0" fillId="6" borderId="0" xfId="0" applyFill="1"/>
    <xf numFmtId="0" fontId="2" fillId="2" borderId="1" xfId="0" applyFont="1" applyFill="1" applyBorder="1"/>
    <xf numFmtId="0" fontId="0" fillId="2" borderId="4" xfId="0" applyFill="1" applyBorder="1"/>
    <xf numFmtId="0" fontId="8" fillId="2" borderId="0" xfId="0" applyFont="1" applyFill="1" applyAlignment="1">
      <alignment horizontal="left"/>
    </xf>
    <xf numFmtId="3" fontId="0" fillId="0" borderId="0" xfId="0" applyNumberFormat="1"/>
    <xf numFmtId="3" fontId="0" fillId="2" borderId="0" xfId="0" applyNumberFormat="1" applyFill="1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0" fontId="2" fillId="2" borderId="0" xfId="0" applyFont="1" applyFill="1"/>
    <xf numFmtId="165" fontId="0" fillId="2" borderId="0" xfId="0" applyNumberFormat="1" applyFill="1"/>
    <xf numFmtId="3" fontId="0" fillId="2" borderId="0" xfId="0" applyNumberFormat="1" applyFill="1"/>
    <xf numFmtId="3" fontId="12" fillId="2" borderId="0" xfId="0" applyNumberFormat="1" applyFont="1" applyFill="1"/>
    <xf numFmtId="0" fontId="12" fillId="2" borderId="0" xfId="0" applyFont="1" applyFill="1"/>
    <xf numFmtId="0" fontId="11" fillId="2" borderId="0" xfId="2" applyFont="1" applyFill="1" applyAlignment="1"/>
    <xf numFmtId="0" fontId="0" fillId="9" borderId="0" xfId="0" applyFill="1"/>
    <xf numFmtId="0" fontId="10" fillId="0" borderId="0" xfId="0" applyFont="1"/>
    <xf numFmtId="0" fontId="0" fillId="10" borderId="0" xfId="0" applyFill="1"/>
    <xf numFmtId="0" fontId="2" fillId="10" borderId="0" xfId="0" applyFont="1" applyFill="1"/>
    <xf numFmtId="0" fontId="10" fillId="9" borderId="0" xfId="0" applyFont="1" applyFill="1"/>
    <xf numFmtId="9" fontId="14" fillId="0" borderId="0" xfId="3" applyFont="1"/>
    <xf numFmtId="0" fontId="15" fillId="0" borderId="0" xfId="4"/>
    <xf numFmtId="0" fontId="10" fillId="9" borderId="0" xfId="4" quotePrefix="1" applyFont="1" applyFill="1"/>
    <xf numFmtId="0" fontId="15" fillId="9" borderId="0" xfId="4" applyFill="1"/>
    <xf numFmtId="0" fontId="15" fillId="10" borderId="0" xfId="4" applyFill="1"/>
    <xf numFmtId="0" fontId="2" fillId="10" borderId="0" xfId="4" applyFont="1" applyFill="1"/>
    <xf numFmtId="0" fontId="10" fillId="0" borderId="0" xfId="4" applyFont="1"/>
    <xf numFmtId="0" fontId="13" fillId="2" borderId="0" xfId="0" applyFont="1" applyFill="1"/>
    <xf numFmtId="0" fontId="6" fillId="4" borderId="0" xfId="2" applyFill="1" applyAlignment="1"/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center"/>
    </xf>
    <xf numFmtId="0" fontId="6" fillId="2" borderId="0" xfId="2" applyFill="1" applyAlignment="1">
      <alignment horizontal="right"/>
    </xf>
    <xf numFmtId="0" fontId="16" fillId="3" borderId="0" xfId="0" applyFont="1" applyFill="1"/>
    <xf numFmtId="0" fontId="4" fillId="4" borderId="0" xfId="1" applyFont="1" applyFill="1"/>
    <xf numFmtId="0" fontId="4" fillId="5" borderId="0" xfId="1" applyFont="1" applyFill="1" applyAlignment="1">
      <alignment vertical="center"/>
    </xf>
    <xf numFmtId="0" fontId="18" fillId="11" borderId="0" xfId="5" applyFont="1" applyFill="1"/>
    <xf numFmtId="0" fontId="19" fillId="11" borderId="0" xfId="5" applyFont="1" applyFill="1"/>
    <xf numFmtId="0" fontId="20" fillId="11" borderId="0" xfId="6" applyFont="1" applyFill="1" applyAlignment="1">
      <alignment vertical="center"/>
    </xf>
    <xf numFmtId="0" fontId="21" fillId="11" borderId="0" xfId="5" applyFont="1" applyFill="1"/>
    <xf numFmtId="0" fontId="22" fillId="0" borderId="0" xfId="6" applyFont="1" applyAlignment="1">
      <alignment vertical="center"/>
    </xf>
    <xf numFmtId="0" fontId="23" fillId="0" borderId="0" xfId="5" applyFont="1"/>
    <xf numFmtId="0" fontId="17" fillId="11" borderId="0" xfId="5" applyFill="1"/>
    <xf numFmtId="0" fontId="24" fillId="11" borderId="0" xfId="2" applyFont="1" applyFill="1" applyAlignment="1"/>
    <xf numFmtId="0" fontId="17" fillId="11" borderId="0" xfId="7" applyFont="1" applyFill="1"/>
    <xf numFmtId="0" fontId="27" fillId="11" borderId="0" xfId="8" applyFont="1" applyFill="1" applyAlignment="1"/>
    <xf numFmtId="0" fontId="27" fillId="11" borderId="0" xfId="9" applyFill="1" applyAlignment="1"/>
    <xf numFmtId="0" fontId="29" fillId="11" borderId="0" xfId="10" applyFont="1" applyFill="1" applyAlignment="1"/>
    <xf numFmtId="0" fontId="30" fillId="11" borderId="0" xfId="11" applyFont="1" applyFill="1"/>
    <xf numFmtId="0" fontId="31" fillId="11" borderId="0" xfId="11" applyFont="1" applyFill="1"/>
    <xf numFmtId="0" fontId="31" fillId="11" borderId="0" xfId="11" applyFont="1" applyFill="1" applyAlignment="1">
      <alignment horizontal="left"/>
    </xf>
    <xf numFmtId="0" fontId="31" fillId="11" borderId="0" xfId="6" applyFont="1" applyFill="1"/>
    <xf numFmtId="0" fontId="31" fillId="11" borderId="0" xfId="6" applyFont="1" applyFill="1" applyAlignment="1">
      <alignment horizontal="left"/>
    </xf>
    <xf numFmtId="0" fontId="32" fillId="11" borderId="0" xfId="8" applyFont="1" applyFill="1" applyAlignment="1"/>
    <xf numFmtId="0" fontId="30" fillId="11" borderId="0" xfId="11" applyFont="1" applyFill="1" applyAlignment="1">
      <alignment wrapText="1"/>
    </xf>
    <xf numFmtId="0" fontId="30" fillId="11" borderId="0" xfId="11" applyFont="1" applyFill="1" applyAlignment="1">
      <alignment horizontal="left" wrapText="1"/>
    </xf>
    <xf numFmtId="0" fontId="31" fillId="11" borderId="0" xfId="12" applyFont="1" applyFill="1"/>
    <xf numFmtId="0" fontId="33" fillId="11" borderId="0" xfId="2" applyFont="1" applyFill="1" applyAlignment="1">
      <alignment horizontal="left" vertical="center"/>
    </xf>
    <xf numFmtId="0" fontId="31" fillId="11" borderId="0" xfId="13" applyFont="1" applyFill="1" applyAlignment="1">
      <alignment horizontal="left" vertical="center" wrapText="1"/>
    </xf>
    <xf numFmtId="1" fontId="31" fillId="11" borderId="0" xfId="13" applyNumberFormat="1" applyFont="1" applyFill="1" applyAlignment="1">
      <alignment horizontal="left" vertical="center"/>
    </xf>
    <xf numFmtId="0" fontId="31" fillId="11" borderId="0" xfId="12" applyFont="1" applyFill="1" applyAlignment="1">
      <alignment horizontal="left"/>
    </xf>
    <xf numFmtId="0" fontId="31" fillId="11" borderId="0" xfId="12" applyFont="1" applyFill="1" applyAlignment="1">
      <alignment wrapText="1"/>
    </xf>
    <xf numFmtId="0" fontId="6" fillId="2" borderId="0" xfId="2" applyFill="1" applyAlignment="1"/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34" fillId="2" borderId="0" xfId="0" applyFont="1" applyFill="1"/>
    <xf numFmtId="0" fontId="35" fillId="4" borderId="0" xfId="5" applyFont="1" applyFill="1"/>
    <xf numFmtId="0" fontId="36" fillId="4" borderId="0" xfId="6" applyFont="1" applyFill="1"/>
    <xf numFmtId="9" fontId="0" fillId="0" borderId="0" xfId="3" applyFont="1"/>
    <xf numFmtId="3" fontId="0" fillId="4" borderId="0" xfId="0" applyNumberFormat="1" applyFill="1"/>
    <xf numFmtId="0" fontId="1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6" fillId="2" borderId="0" xfId="2" applyFill="1" applyAlignment="1">
      <alignment horizontal="right"/>
    </xf>
    <xf numFmtId="0" fontId="0" fillId="0" borderId="0" xfId="0" applyAlignment="1">
      <alignment horizontal="center"/>
    </xf>
  </cellXfs>
  <cellStyles count="14">
    <cellStyle name="Hyperlink" xfId="2" builtinId="8"/>
    <cellStyle name="Hyperlink 2 2" xfId="8" xr:uid="{1D456257-A31D-465D-B020-E2480C592989}"/>
    <cellStyle name="Hyperlink 3" xfId="10" xr:uid="{96174C93-9917-4C70-BB64-BEBA9B53D632}"/>
    <cellStyle name="Hyperlink 6" xfId="9" xr:uid="{47C8C632-B183-4B95-866F-50FE16DED3B2}"/>
    <cellStyle name="Normal" xfId="0" builtinId="0"/>
    <cellStyle name="Normal 2" xfId="1" xr:uid="{EEE3FBE8-02E8-436B-88BE-06BBE2E5257B}"/>
    <cellStyle name="Normal 2 2 2" xfId="6" xr:uid="{E5B1E90B-2B97-4B4F-943E-577A5322BFF1}"/>
    <cellStyle name="Normal 2 3" xfId="11" xr:uid="{CA3671C8-414D-46E3-8B1A-BDF65E21E715}"/>
    <cellStyle name="Normal 2 4" xfId="13" xr:uid="{B730626E-2482-4C5E-ACC7-F3BE9D681ED4}"/>
    <cellStyle name="Normal 3" xfId="4" xr:uid="{11AA168F-56AD-48F8-8453-7395525120F6}"/>
    <cellStyle name="Normal 5" xfId="12" xr:uid="{ADAA1BE5-94B1-4171-9BF8-836ED2B5775E}"/>
    <cellStyle name="Normal 6 2" xfId="5" xr:uid="{6065AB8A-3736-4B93-8698-73F3AA4C08B4}"/>
    <cellStyle name="Normal 7 2" xfId="7" xr:uid="{A820DFF5-42B1-42C1-8F8C-AEC110FFEB31}"/>
    <cellStyle name="Percent" xfId="3" builtinId="5"/>
  </cellStyles>
  <dxfs count="11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22860</xdr:rowOff>
    </xdr:from>
    <xdr:to>
      <xdr:col>7</xdr:col>
      <xdr:colOff>68580</xdr:colOff>
      <xdr:row>21</xdr:row>
      <xdr:rowOff>15240</xdr:rowOff>
    </xdr:to>
    <xdr:sp macro="[0]!HR_1402" textlink="">
      <xdr:nvSpPr>
        <xdr:cNvPr id="2" name="Oval 1">
          <a:extLst>
            <a:ext uri="{FF2B5EF4-FFF2-40B4-BE49-F238E27FC236}">
              <a16:creationId xmlns:a16="http://schemas.microsoft.com/office/drawing/2014/main" id="{A45B1B2B-BFFE-4752-B1AF-5E2A475C7A71}"/>
            </a:ext>
          </a:extLst>
        </xdr:cNvPr>
        <xdr:cNvSpPr/>
      </xdr:nvSpPr>
      <xdr:spPr>
        <a:xfrm>
          <a:off x="114300" y="1851660"/>
          <a:ext cx="4221480" cy="2004060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>
              <a:solidFill>
                <a:schemeClr val="bg1"/>
              </a:solidFill>
            </a:rPr>
            <a:t>RUN THE VI MACRO</a:t>
          </a:r>
          <a:endParaRPr lang="en-GB" sz="10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AA8723FE-A73A-4CFE-B3AC-6179E0B5B37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1E0FA17D-6137-4E44-BED0-814189E2DF0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https://www.gov.uk/government/organisations/home-office/about/statistics" TargetMode="External"/><Relationship Id="rId4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0B3E-156B-4288-A156-BBA7A84BF43F}">
  <sheetPr codeName="Sheet1">
    <tabColor rgb="FFFF0000"/>
  </sheetPr>
  <dimension ref="A4:J70"/>
  <sheetViews>
    <sheetView workbookViewId="0">
      <selection activeCell="B25" sqref="B25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0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1016</v>
      </c>
      <c r="C8">
        <f t="shared" ref="C8:H8" si="0">SUM(C14:C58)</f>
        <v>1593</v>
      </c>
      <c r="E8">
        <f t="shared" si="0"/>
        <v>54</v>
      </c>
      <c r="F8">
        <f t="shared" si="0"/>
        <v>961</v>
      </c>
      <c r="H8">
        <f t="shared" si="0"/>
        <v>127</v>
      </c>
    </row>
    <row r="9" spans="1:10" x14ac:dyDescent="0.35">
      <c r="A9" t="s">
        <v>8</v>
      </c>
      <c r="B9">
        <f>SUMIF($J$14:$J$58,$A9,B$14:B$58)</f>
        <v>622</v>
      </c>
      <c r="C9">
        <f t="shared" ref="C9:H10" si="1">SUMIF($J$14:$J$58,$A9,C$14:C$58)</f>
        <v>986</v>
      </c>
      <c r="E9">
        <f t="shared" si="1"/>
        <v>38</v>
      </c>
      <c r="F9">
        <f t="shared" si="1"/>
        <v>792</v>
      </c>
      <c r="H9">
        <f t="shared" si="1"/>
        <v>109</v>
      </c>
    </row>
    <row r="10" spans="1:10" x14ac:dyDescent="0.35">
      <c r="A10" t="s">
        <v>9</v>
      </c>
      <c r="B10">
        <f>SUMIF($J$14:$J$58,$A10,B$14:B$58)</f>
        <v>394</v>
      </c>
      <c r="C10">
        <f t="shared" si="1"/>
        <v>607</v>
      </c>
      <c r="E10">
        <f t="shared" si="1"/>
        <v>16</v>
      </c>
      <c r="F10">
        <f t="shared" si="1"/>
        <v>169</v>
      </c>
      <c r="H10">
        <f t="shared" si="1"/>
        <v>18</v>
      </c>
    </row>
    <row r="11" spans="1:10" x14ac:dyDescent="0.35">
      <c r="A11" t="s">
        <v>10</v>
      </c>
      <c r="B11">
        <f t="shared" ref="B11:H12" si="2">SUMIF($I$14:$I$58,$A11,B$14:B$58)</f>
        <v>557</v>
      </c>
      <c r="C11">
        <f t="shared" si="2"/>
        <v>844</v>
      </c>
      <c r="E11">
        <f t="shared" si="2"/>
        <v>21</v>
      </c>
      <c r="F11">
        <f t="shared" si="2"/>
        <v>344</v>
      </c>
      <c r="H11">
        <f t="shared" si="2"/>
        <v>58</v>
      </c>
    </row>
    <row r="12" spans="1:10" x14ac:dyDescent="0.35">
      <c r="A12" t="s">
        <v>11</v>
      </c>
      <c r="B12">
        <f t="shared" si="2"/>
        <v>285</v>
      </c>
      <c r="C12">
        <f t="shared" si="2"/>
        <v>491</v>
      </c>
      <c r="E12">
        <f t="shared" si="2"/>
        <v>17</v>
      </c>
      <c r="F12">
        <f t="shared" si="2"/>
        <v>372</v>
      </c>
      <c r="H12">
        <f t="shared" si="2"/>
        <v>38</v>
      </c>
    </row>
    <row r="13" spans="1:10" x14ac:dyDescent="0.35">
      <c r="A13" t="s">
        <v>12</v>
      </c>
      <c r="B13">
        <f>SUMIF($I$14:$I$58,$A13,B$14:B$58)</f>
        <v>174</v>
      </c>
      <c r="C13">
        <f t="shared" ref="C13:H13" si="3">SUMIF($I$14:$I$58,$A13,C$14:C$58)</f>
        <v>258</v>
      </c>
      <c r="E13">
        <f t="shared" si="3"/>
        <v>16</v>
      </c>
      <c r="F13">
        <f t="shared" si="3"/>
        <v>245</v>
      </c>
      <c r="H13">
        <f t="shared" si="3"/>
        <v>31</v>
      </c>
    </row>
    <row r="14" spans="1:10" x14ac:dyDescent="0.35">
      <c r="A14" t="s">
        <v>13</v>
      </c>
      <c r="B14">
        <v>37</v>
      </c>
      <c r="C14">
        <v>51</v>
      </c>
      <c r="E14">
        <v>2</v>
      </c>
      <c r="F14">
        <v>32</v>
      </c>
      <c r="H14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3</v>
      </c>
      <c r="C15">
        <v>16</v>
      </c>
      <c r="E15">
        <v>1</v>
      </c>
      <c r="F15">
        <v>10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0</v>
      </c>
      <c r="C16">
        <v>11</v>
      </c>
      <c r="E16">
        <v>0</v>
      </c>
      <c r="F16">
        <v>1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17</v>
      </c>
      <c r="C17">
        <v>39</v>
      </c>
      <c r="E17">
        <v>1</v>
      </c>
      <c r="F17">
        <v>22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13</v>
      </c>
      <c r="C18">
        <v>22</v>
      </c>
      <c r="E18">
        <v>0</v>
      </c>
      <c r="F18">
        <v>28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2</v>
      </c>
      <c r="C19">
        <v>43</v>
      </c>
      <c r="E19">
        <v>1</v>
      </c>
      <c r="F19">
        <v>31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11</v>
      </c>
      <c r="C20">
        <v>30</v>
      </c>
      <c r="E20">
        <v>0</v>
      </c>
      <c r="F20">
        <v>33</v>
      </c>
      <c r="H20">
        <v>8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10</v>
      </c>
      <c r="C21">
        <v>15</v>
      </c>
      <c r="E21">
        <v>1</v>
      </c>
      <c r="F21">
        <v>5</v>
      </c>
      <c r="H21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21</v>
      </c>
      <c r="C22">
        <v>11</v>
      </c>
      <c r="E22">
        <v>2</v>
      </c>
      <c r="F22">
        <v>13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12</v>
      </c>
      <c r="C23">
        <v>23</v>
      </c>
      <c r="E23">
        <v>0</v>
      </c>
      <c r="F23">
        <v>20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63</v>
      </c>
      <c r="C24">
        <v>78</v>
      </c>
      <c r="E24">
        <v>6</v>
      </c>
      <c r="F24">
        <v>66</v>
      </c>
      <c r="H24"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15</v>
      </c>
      <c r="C25">
        <v>68</v>
      </c>
      <c r="E25">
        <v>0</v>
      </c>
      <c r="F25">
        <v>41</v>
      </c>
      <c r="H25">
        <v>20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10</v>
      </c>
      <c r="C26">
        <v>6</v>
      </c>
      <c r="E26">
        <v>1</v>
      </c>
      <c r="F26">
        <v>6</v>
      </c>
      <c r="H26">
        <v>1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31</v>
      </c>
      <c r="C27">
        <v>41</v>
      </c>
      <c r="E27">
        <v>1</v>
      </c>
      <c r="F27">
        <v>27</v>
      </c>
      <c r="H27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47</v>
      </c>
      <c r="C28">
        <v>38</v>
      </c>
      <c r="E28">
        <v>5</v>
      </c>
      <c r="F28">
        <v>46</v>
      </c>
      <c r="H28">
        <v>14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9</v>
      </c>
      <c r="C29">
        <v>8</v>
      </c>
      <c r="E29">
        <v>1</v>
      </c>
      <c r="F29">
        <v>0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246</v>
      </c>
      <c r="C30">
        <v>361</v>
      </c>
      <c r="E30">
        <v>11</v>
      </c>
      <c r="F30">
        <v>52</v>
      </c>
      <c r="H30">
        <v>0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9</v>
      </c>
      <c r="C31">
        <v>9</v>
      </c>
      <c r="E31">
        <v>0</v>
      </c>
      <c r="F31">
        <v>2</v>
      </c>
      <c r="H31"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25</v>
      </c>
      <c r="C32">
        <v>34</v>
      </c>
      <c r="E32">
        <v>0</v>
      </c>
      <c r="F32">
        <v>16</v>
      </c>
      <c r="H32">
        <v>7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10</v>
      </c>
      <c r="C33">
        <v>15</v>
      </c>
      <c r="E33">
        <v>1</v>
      </c>
      <c r="F33">
        <v>22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21</v>
      </c>
      <c r="C34">
        <v>23</v>
      </c>
      <c r="E34">
        <v>3</v>
      </c>
      <c r="F34">
        <v>29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11</v>
      </c>
      <c r="C35">
        <v>32</v>
      </c>
      <c r="E35">
        <v>0</v>
      </c>
      <c r="F35">
        <v>23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2</v>
      </c>
      <c r="C36">
        <v>2</v>
      </c>
      <c r="E36">
        <v>0</v>
      </c>
      <c r="F36">
        <v>1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40</v>
      </c>
      <c r="C38">
        <v>45</v>
      </c>
      <c r="E38">
        <v>1</v>
      </c>
      <c r="F38">
        <v>33</v>
      </c>
      <c r="H38">
        <v>1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19</v>
      </c>
      <c r="C39">
        <v>38</v>
      </c>
      <c r="E39">
        <v>0</v>
      </c>
      <c r="F39">
        <v>25</v>
      </c>
      <c r="H39">
        <v>11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12</v>
      </c>
      <c r="C40">
        <v>21</v>
      </c>
      <c r="E40">
        <v>0</v>
      </c>
      <c r="F40">
        <v>11</v>
      </c>
      <c r="H40"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10</v>
      </c>
      <c r="C41">
        <v>21</v>
      </c>
      <c r="E41">
        <v>2</v>
      </c>
      <c r="F41">
        <v>55</v>
      </c>
      <c r="H41">
        <v>3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32</v>
      </c>
      <c r="C42">
        <v>45</v>
      </c>
      <c r="E42">
        <v>2</v>
      </c>
      <c r="F42">
        <v>25</v>
      </c>
      <c r="H42">
        <v>2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1</v>
      </c>
      <c r="C43">
        <v>11</v>
      </c>
      <c r="E43">
        <v>0</v>
      </c>
      <c r="F43">
        <v>8</v>
      </c>
      <c r="H43"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17</v>
      </c>
      <c r="C44">
        <v>33</v>
      </c>
      <c r="E44">
        <v>3</v>
      </c>
      <c r="F44">
        <v>35</v>
      </c>
      <c r="H44">
        <v>15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20</v>
      </c>
      <c r="C45">
        <v>22</v>
      </c>
      <c r="E45">
        <v>0</v>
      </c>
      <c r="F45">
        <v>26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5</v>
      </c>
      <c r="C46">
        <v>19</v>
      </c>
      <c r="E46">
        <v>0</v>
      </c>
      <c r="F46">
        <v>6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22</v>
      </c>
      <c r="C47">
        <v>15</v>
      </c>
      <c r="E47">
        <v>0</v>
      </c>
      <c r="F47">
        <v>19</v>
      </c>
      <c r="H47">
        <v>6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6</v>
      </c>
      <c r="C48">
        <v>22</v>
      </c>
      <c r="E48">
        <v>0</v>
      </c>
      <c r="F48">
        <v>11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5</v>
      </c>
      <c r="C49">
        <v>9</v>
      </c>
      <c r="E49">
        <v>0</v>
      </c>
      <c r="F49">
        <v>2</v>
      </c>
      <c r="H49">
        <v>9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9</v>
      </c>
      <c r="C50">
        <v>27</v>
      </c>
      <c r="E50">
        <v>0</v>
      </c>
      <c r="F50">
        <v>10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34</v>
      </c>
      <c r="C51">
        <v>23</v>
      </c>
      <c r="E51">
        <v>3</v>
      </c>
      <c r="F51">
        <v>26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11</v>
      </c>
      <c r="C52">
        <v>9</v>
      </c>
      <c r="E52">
        <v>1</v>
      </c>
      <c r="F52">
        <v>9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28</v>
      </c>
      <c r="C53">
        <v>35</v>
      </c>
      <c r="E53">
        <v>0</v>
      </c>
      <c r="F53">
        <v>20</v>
      </c>
      <c r="H53">
        <v>2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19</v>
      </c>
      <c r="C54">
        <v>28</v>
      </c>
      <c r="E54">
        <v>0</v>
      </c>
      <c r="F54">
        <v>9</v>
      </c>
      <c r="H54">
        <v>14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13</v>
      </c>
      <c r="C55">
        <v>20</v>
      </c>
      <c r="E55">
        <v>1</v>
      </c>
      <c r="F55">
        <v>13</v>
      </c>
      <c r="H55">
        <v>0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35</v>
      </c>
      <c r="C56">
        <v>65</v>
      </c>
      <c r="E56">
        <v>0</v>
      </c>
      <c r="F56">
        <v>21</v>
      </c>
      <c r="H56">
        <v>1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9</v>
      </c>
      <c r="C57">
        <v>37</v>
      </c>
      <c r="E57">
        <v>1</v>
      </c>
      <c r="F57">
        <v>21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44</v>
      </c>
      <c r="C58">
        <v>72</v>
      </c>
      <c r="E58">
        <v>3</v>
      </c>
      <c r="F58">
        <v>50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4">C8-C9-C10</f>
        <v>0</v>
      </c>
      <c r="E63">
        <f t="shared" si="4"/>
        <v>0</v>
      </c>
      <c r="F63">
        <f t="shared" si="4"/>
        <v>0</v>
      </c>
      <c r="H63">
        <f t="shared" si="4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5">C8-SUM(C11:C13)</f>
        <v>0</v>
      </c>
      <c r="E64">
        <f t="shared" si="5"/>
        <v>0</v>
      </c>
      <c r="F64">
        <f t="shared" si="5"/>
        <v>0</v>
      </c>
      <c r="H64">
        <f t="shared" si="5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6">C8-SUM(C14:C58)</f>
        <v>0</v>
      </c>
      <c r="E65">
        <f t="shared" si="6"/>
        <v>0</v>
      </c>
      <c r="F65">
        <f t="shared" si="6"/>
        <v>0</v>
      </c>
      <c r="H65">
        <f t="shared" si="6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7">C9+C10-C11-C12-C13</f>
        <v>0</v>
      </c>
      <c r="E67">
        <f t="shared" si="7"/>
        <v>0</v>
      </c>
      <c r="F67">
        <f t="shared" si="7"/>
        <v>0</v>
      </c>
      <c r="H67">
        <f t="shared" si="7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8">C9+C10-SUM(C14:C58)</f>
        <v>0</v>
      </c>
      <c r="E68">
        <f t="shared" si="8"/>
        <v>0</v>
      </c>
      <c r="F68">
        <f t="shared" si="8"/>
        <v>0</v>
      </c>
      <c r="H68">
        <f t="shared" si="8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9">SUM(C11:C13)-SUM(C14:C58)</f>
        <v>0</v>
      </c>
      <c r="E70">
        <f t="shared" si="9"/>
        <v>0</v>
      </c>
      <c r="F70">
        <f t="shared" si="9"/>
        <v>0</v>
      </c>
      <c r="H70">
        <f t="shared" si="9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C790-83FA-4430-86A0-F20C66F64B0E}">
  <sheetPr codeName="Sheet14"/>
  <dimension ref="A1:H49"/>
  <sheetViews>
    <sheetView topLeftCell="A25" workbookViewId="0">
      <selection activeCell="C24" sqref="C24"/>
    </sheetView>
  </sheetViews>
  <sheetFormatPr defaultRowHeight="14.5" x14ac:dyDescent="0.35"/>
  <cols>
    <col min="1" max="1" width="38.26953125" bestFit="1" customWidth="1"/>
  </cols>
  <sheetData>
    <row r="1" spans="1:8" x14ac:dyDescent="0.35">
      <c r="B1" t="s">
        <v>72</v>
      </c>
      <c r="C1" t="s">
        <v>75</v>
      </c>
    </row>
    <row r="2" spans="1:8" x14ac:dyDescent="0.35">
      <c r="A2" t="s">
        <v>7</v>
      </c>
      <c r="B2" s="18">
        <f>VLOOKUP(A2,'(2018-19)'!A:J,2,FALSE)+VLOOKUP(A2,'(2018-19)'!A:J,3,FALSE)+VLOOKUP(A2,'(2018-19)'!A:J,5,FALSE)+VLOOKUP(A2,'(2018-19)'!A:J,6,FALSE)+VLOOKUP(A2,'(2018-19)'!A:J,8,FALSE)</f>
        <v>3031</v>
      </c>
      <c r="C2" s="18">
        <f>VLOOKUP(A2,'(2019-20)'!A:J,2,FALSE)+VLOOKUP(A2,'(2019-20)'!A:J,3,FALSE)+VLOOKUP(A2,'(2019-20)'!A:J,5,FALSE)+VLOOKUP(A2,'(2019-20)'!A:J,6,FALSE)+VLOOKUP(A2,'(2019-20)'!A:J,8,FALSE)</f>
        <v>2904</v>
      </c>
      <c r="D2" s="33">
        <f>(C2/B2)-1</f>
        <v>-4.190036291652921E-2</v>
      </c>
      <c r="F2" s="18"/>
      <c r="G2" s="18"/>
      <c r="H2" s="33"/>
    </row>
    <row r="3" spans="1:8" x14ac:dyDescent="0.35">
      <c r="A3" t="s">
        <v>8</v>
      </c>
      <c r="B3" s="18">
        <f>VLOOKUP(A3,'(2018-19)'!A:J,2,FALSE)+VLOOKUP(A3,'(2018-19)'!A:J,3,FALSE)+VLOOKUP(A3,'(2018-19)'!A:J,5,FALSE)+VLOOKUP(A3,'(2018-19)'!A:J,6,FALSE)+VLOOKUP(A3,'(2018-19)'!A:J,8,FALSE)</f>
        <v>2094</v>
      </c>
      <c r="C3" s="18">
        <f>VLOOKUP(A3,'(2019-20)'!A:J,2,FALSE)+VLOOKUP(A3,'(2019-20)'!A:J,3,FALSE)+VLOOKUP(A3,'(2019-20)'!A:J,5,FALSE)+VLOOKUP(A3,'(2019-20)'!A:J,6,FALSE)+VLOOKUP(A3,'(2019-20)'!A:J,8,FALSE)</f>
        <v>1997</v>
      </c>
      <c r="D3" s="33">
        <f t="shared" ref="D3:D49" si="0">(C3/B3)-1</f>
        <v>-4.632282712511937E-2</v>
      </c>
      <c r="F3" s="18"/>
      <c r="G3" s="18"/>
      <c r="H3" s="33"/>
    </row>
    <row r="4" spans="1:8" x14ac:dyDescent="0.35">
      <c r="A4" t="s">
        <v>13</v>
      </c>
      <c r="B4" s="18">
        <f>VLOOKUP(A4,'(2018-19)'!A:J,2,FALSE)+VLOOKUP(A4,'(2018-19)'!A:J,3,FALSE)+VLOOKUP(A4,'(2018-19)'!A:J,5,FALSE)+VLOOKUP(A4,'(2018-19)'!A:J,6,FALSE)+VLOOKUP(A4,'(2018-19)'!A:J,8,FALSE)</f>
        <v>94</v>
      </c>
      <c r="C4" s="18">
        <f>VLOOKUP(A4,'(2019-20)'!A:J,2,FALSE)+VLOOKUP(A4,'(2019-20)'!A:J,3,FALSE)+VLOOKUP(A4,'(2019-20)'!A:J,5,FALSE)+VLOOKUP(A4,'(2019-20)'!A:J,6,FALSE)+VLOOKUP(A4,'(2019-20)'!A:J,8,FALSE)</f>
        <v>33</v>
      </c>
      <c r="D4" s="33">
        <f t="shared" si="0"/>
        <v>-0.64893617021276595</v>
      </c>
      <c r="F4" s="18"/>
      <c r="G4" s="18"/>
      <c r="H4" s="33"/>
    </row>
    <row r="5" spans="1:8" x14ac:dyDescent="0.35">
      <c r="A5" t="s">
        <v>14</v>
      </c>
      <c r="B5" s="18">
        <f>VLOOKUP(A5,'(2018-19)'!A:J,2,FALSE)+VLOOKUP(A5,'(2018-19)'!A:J,3,FALSE)+VLOOKUP(A5,'(2018-19)'!A:J,5,FALSE)+VLOOKUP(A5,'(2018-19)'!A:J,6,FALSE)+VLOOKUP(A5,'(2018-19)'!A:J,8,FALSE)</f>
        <v>42</v>
      </c>
      <c r="C5" s="18">
        <f>VLOOKUP(A5,'(2019-20)'!A:J,2,FALSE)+VLOOKUP(A5,'(2019-20)'!A:J,3,FALSE)+VLOOKUP(A5,'(2019-20)'!A:J,5,FALSE)+VLOOKUP(A5,'(2019-20)'!A:J,6,FALSE)+VLOOKUP(A5,'(2019-20)'!A:J,8,FALSE)</f>
        <v>34</v>
      </c>
      <c r="D5" s="33">
        <f t="shared" si="0"/>
        <v>-0.19047619047619047</v>
      </c>
      <c r="F5" s="18"/>
      <c r="G5" s="18"/>
      <c r="H5" s="33"/>
    </row>
    <row r="6" spans="1:8" x14ac:dyDescent="0.35">
      <c r="A6" t="s">
        <v>15</v>
      </c>
      <c r="B6" s="18">
        <f>VLOOKUP(A6,'(2018-19)'!A:J,2,FALSE)+VLOOKUP(A6,'(2018-19)'!A:J,3,FALSE)+VLOOKUP(A6,'(2018-19)'!A:J,5,FALSE)+VLOOKUP(A6,'(2018-19)'!A:J,6,FALSE)+VLOOKUP(A6,'(2018-19)'!A:J,8,FALSE)</f>
        <v>35</v>
      </c>
      <c r="C6" s="18">
        <f>VLOOKUP(A6,'(2019-20)'!A:J,2,FALSE)+VLOOKUP(A6,'(2019-20)'!A:J,3,FALSE)+VLOOKUP(A6,'(2019-20)'!A:J,5,FALSE)+VLOOKUP(A6,'(2019-20)'!A:J,6,FALSE)+VLOOKUP(A6,'(2019-20)'!A:J,8,FALSE)</f>
        <v>34</v>
      </c>
      <c r="D6" s="33">
        <f t="shared" si="0"/>
        <v>-2.8571428571428581E-2</v>
      </c>
      <c r="F6" s="18"/>
      <c r="G6" s="18"/>
      <c r="H6" s="33"/>
    </row>
    <row r="7" spans="1:8" x14ac:dyDescent="0.35">
      <c r="A7" t="s">
        <v>16</v>
      </c>
      <c r="B7" s="18">
        <f>VLOOKUP(A7,'(2018-19)'!A:J,2,FALSE)+VLOOKUP(A7,'(2018-19)'!A:J,3,FALSE)+VLOOKUP(A7,'(2018-19)'!A:J,5,FALSE)+VLOOKUP(A7,'(2018-19)'!A:J,6,FALSE)+VLOOKUP(A7,'(2018-19)'!A:J,8,FALSE)</f>
        <v>43</v>
      </c>
      <c r="C7" s="18">
        <f>VLOOKUP(A7,'(2019-20)'!A:J,2,FALSE)+VLOOKUP(A7,'(2019-20)'!A:J,3,FALSE)+VLOOKUP(A7,'(2019-20)'!A:J,5,FALSE)+VLOOKUP(A7,'(2019-20)'!A:J,6,FALSE)+VLOOKUP(A7,'(2019-20)'!A:J,8,FALSE)</f>
        <v>34</v>
      </c>
      <c r="D7" s="33">
        <f t="shared" si="0"/>
        <v>-0.20930232558139539</v>
      </c>
      <c r="F7" s="18"/>
      <c r="G7" s="18"/>
      <c r="H7" s="33"/>
    </row>
    <row r="8" spans="1:8" x14ac:dyDescent="0.35">
      <c r="A8" t="s">
        <v>17</v>
      </c>
      <c r="B8" s="18">
        <f>VLOOKUP(A8,'(2018-19)'!A:J,2,FALSE)+VLOOKUP(A8,'(2018-19)'!A:J,3,FALSE)+VLOOKUP(A8,'(2018-19)'!A:J,5,FALSE)+VLOOKUP(A8,'(2018-19)'!A:J,6,FALSE)+VLOOKUP(A8,'(2018-19)'!A:J,8,FALSE)</f>
        <v>35</v>
      </c>
      <c r="C8" s="18">
        <f>VLOOKUP(A8,'(2019-20)'!A:J,2,FALSE)+VLOOKUP(A8,'(2019-20)'!A:J,3,FALSE)+VLOOKUP(A8,'(2019-20)'!A:J,5,FALSE)+VLOOKUP(A8,'(2019-20)'!A:J,6,FALSE)+VLOOKUP(A8,'(2019-20)'!A:J,8,FALSE)</f>
        <v>44</v>
      </c>
      <c r="D8" s="33">
        <f t="shared" si="0"/>
        <v>0.25714285714285712</v>
      </c>
      <c r="F8" s="18"/>
      <c r="G8" s="18"/>
      <c r="H8" s="33"/>
    </row>
    <row r="9" spans="1:8" x14ac:dyDescent="0.35">
      <c r="A9" t="s">
        <v>18</v>
      </c>
      <c r="B9" s="18">
        <f>VLOOKUP(A9,'(2018-19)'!A:J,2,FALSE)+VLOOKUP(A9,'(2018-19)'!A:J,3,FALSE)+VLOOKUP(A9,'(2018-19)'!A:J,5,FALSE)+VLOOKUP(A9,'(2018-19)'!A:J,6,FALSE)+VLOOKUP(A9,'(2018-19)'!A:J,8,FALSE)</f>
        <v>97</v>
      </c>
      <c r="C9" s="18">
        <f>VLOOKUP(A9,'(2019-20)'!A:J,2,FALSE)+VLOOKUP(A9,'(2019-20)'!A:J,3,FALSE)+VLOOKUP(A9,'(2019-20)'!A:J,5,FALSE)+VLOOKUP(A9,'(2019-20)'!A:J,6,FALSE)+VLOOKUP(A9,'(2019-20)'!A:J,8,FALSE)</f>
        <v>50</v>
      </c>
      <c r="D9" s="33">
        <f t="shared" si="0"/>
        <v>-0.48453608247422686</v>
      </c>
      <c r="F9" s="18"/>
      <c r="G9" s="18"/>
      <c r="H9" s="33"/>
    </row>
    <row r="10" spans="1:8" x14ac:dyDescent="0.35">
      <c r="A10" t="s">
        <v>19</v>
      </c>
      <c r="B10" s="18">
        <f>VLOOKUP(A10,'(2018-19)'!A:J,2,FALSE)+VLOOKUP(A10,'(2018-19)'!A:J,3,FALSE)+VLOOKUP(A10,'(2018-19)'!A:J,5,FALSE)+VLOOKUP(A10,'(2018-19)'!A:J,6,FALSE)+VLOOKUP(A10,'(2018-19)'!A:J,8,FALSE)</f>
        <v>32</v>
      </c>
      <c r="C10" s="18">
        <f>VLOOKUP(A10,'(2019-20)'!A:J,2,FALSE)+VLOOKUP(A10,'(2019-20)'!A:J,3,FALSE)+VLOOKUP(A10,'(2019-20)'!A:J,5,FALSE)+VLOOKUP(A10,'(2019-20)'!A:J,6,FALSE)+VLOOKUP(A10,'(2019-20)'!A:J,8,FALSE)</f>
        <v>36</v>
      </c>
      <c r="D10" s="33">
        <f t="shared" si="0"/>
        <v>0.125</v>
      </c>
      <c r="F10" s="18"/>
      <c r="G10" s="18"/>
      <c r="H10" s="33"/>
    </row>
    <row r="11" spans="1:8" x14ac:dyDescent="0.35">
      <c r="A11" t="s">
        <v>20</v>
      </c>
      <c r="B11" s="18">
        <f>VLOOKUP(A11,'(2018-19)'!A:J,2,FALSE)+VLOOKUP(A11,'(2018-19)'!A:J,3,FALSE)+VLOOKUP(A11,'(2018-19)'!A:J,5,FALSE)+VLOOKUP(A11,'(2018-19)'!A:J,6,FALSE)+VLOOKUP(A11,'(2018-19)'!A:J,8,FALSE)</f>
        <v>32</v>
      </c>
      <c r="C11" s="18">
        <f>VLOOKUP(A11,'(2019-20)'!A:J,2,FALSE)+VLOOKUP(A11,'(2019-20)'!A:J,3,FALSE)+VLOOKUP(A11,'(2019-20)'!A:J,5,FALSE)+VLOOKUP(A11,'(2019-20)'!A:J,6,FALSE)+VLOOKUP(A11,'(2019-20)'!A:J,8,FALSE)</f>
        <v>21</v>
      </c>
      <c r="D11" s="33">
        <f t="shared" si="0"/>
        <v>-0.34375</v>
      </c>
      <c r="F11" s="18"/>
      <c r="G11" s="18"/>
      <c r="H11" s="33"/>
    </row>
    <row r="12" spans="1:8" x14ac:dyDescent="0.35">
      <c r="A12" t="s">
        <v>21</v>
      </c>
      <c r="B12" s="18">
        <f>VLOOKUP(A12,'(2018-19)'!A:J,2,FALSE)+VLOOKUP(A12,'(2018-19)'!A:J,3,FALSE)+VLOOKUP(A12,'(2018-19)'!A:J,5,FALSE)+VLOOKUP(A12,'(2018-19)'!A:J,6,FALSE)+VLOOKUP(A12,'(2018-19)'!A:J,8,FALSE)</f>
        <v>38</v>
      </c>
      <c r="C12" s="18">
        <f>VLOOKUP(A12,'(2019-20)'!A:J,2,FALSE)+VLOOKUP(A12,'(2019-20)'!A:J,3,FALSE)+VLOOKUP(A12,'(2019-20)'!A:J,5,FALSE)+VLOOKUP(A12,'(2019-20)'!A:J,6,FALSE)+VLOOKUP(A12,'(2019-20)'!A:J,8,FALSE)</f>
        <v>25</v>
      </c>
      <c r="D12" s="33">
        <f t="shared" si="0"/>
        <v>-0.34210526315789469</v>
      </c>
      <c r="F12" s="18"/>
      <c r="G12" s="18"/>
      <c r="H12" s="33"/>
    </row>
    <row r="13" spans="1:8" x14ac:dyDescent="0.35">
      <c r="A13" t="s">
        <v>22</v>
      </c>
      <c r="B13" s="18">
        <f>VLOOKUP(A13,'(2018-19)'!A:J,2,FALSE)+VLOOKUP(A13,'(2018-19)'!A:J,3,FALSE)+VLOOKUP(A13,'(2018-19)'!A:J,5,FALSE)+VLOOKUP(A13,'(2018-19)'!A:J,6,FALSE)+VLOOKUP(A13,'(2018-19)'!A:J,8,FALSE)</f>
        <v>65</v>
      </c>
      <c r="C13" s="18">
        <f>VLOOKUP(A13,'(2019-20)'!A:J,2,FALSE)+VLOOKUP(A13,'(2019-20)'!A:J,3,FALSE)+VLOOKUP(A13,'(2019-20)'!A:J,5,FALSE)+VLOOKUP(A13,'(2019-20)'!A:J,6,FALSE)+VLOOKUP(A13,'(2019-20)'!A:J,8,FALSE)</f>
        <v>77</v>
      </c>
      <c r="D13" s="33">
        <f t="shared" si="0"/>
        <v>0.18461538461538463</v>
      </c>
      <c r="F13" s="18"/>
      <c r="G13" s="18"/>
      <c r="H13" s="33"/>
    </row>
    <row r="14" spans="1:8" x14ac:dyDescent="0.35">
      <c r="A14" t="s">
        <v>23</v>
      </c>
      <c r="B14" s="18">
        <f>VLOOKUP(A14,'(2018-19)'!A:J,2,FALSE)+VLOOKUP(A14,'(2018-19)'!A:J,3,FALSE)+VLOOKUP(A14,'(2018-19)'!A:J,5,FALSE)+VLOOKUP(A14,'(2018-19)'!A:J,6,FALSE)+VLOOKUP(A14,'(2018-19)'!A:J,8,FALSE)</f>
        <v>171</v>
      </c>
      <c r="C14" s="18">
        <f>VLOOKUP(A14,'(2019-20)'!A:J,2,FALSE)+VLOOKUP(A14,'(2019-20)'!A:J,3,FALSE)+VLOOKUP(A14,'(2019-20)'!A:J,5,FALSE)+VLOOKUP(A14,'(2019-20)'!A:J,6,FALSE)+VLOOKUP(A14,'(2019-20)'!A:J,8,FALSE)</f>
        <v>140</v>
      </c>
      <c r="D14" s="33">
        <f t="shared" si="0"/>
        <v>-0.18128654970760238</v>
      </c>
      <c r="F14" s="18"/>
      <c r="G14" s="18"/>
      <c r="H14" s="33"/>
    </row>
    <row r="15" spans="1:8" x14ac:dyDescent="0.35">
      <c r="A15" t="s">
        <v>24</v>
      </c>
      <c r="B15" s="18">
        <f>VLOOKUP(A15,'(2018-19)'!A:J,2,FALSE)+VLOOKUP(A15,'(2018-19)'!A:J,3,FALSE)+VLOOKUP(A15,'(2018-19)'!A:J,5,FALSE)+VLOOKUP(A15,'(2018-19)'!A:J,6,FALSE)+VLOOKUP(A15,'(2018-19)'!A:J,8,FALSE)</f>
        <v>78</v>
      </c>
      <c r="C15" s="18">
        <f>VLOOKUP(A15,'(2019-20)'!A:J,2,FALSE)+VLOOKUP(A15,'(2019-20)'!A:J,3,FALSE)+VLOOKUP(A15,'(2019-20)'!A:J,5,FALSE)+VLOOKUP(A15,'(2019-20)'!A:J,6,FALSE)+VLOOKUP(A15,'(2019-20)'!A:J,8,FALSE)</f>
        <v>145</v>
      </c>
      <c r="D15" s="33">
        <f t="shared" si="0"/>
        <v>0.85897435897435903</v>
      </c>
      <c r="E15" s="29"/>
      <c r="F15" s="18"/>
      <c r="G15" s="18"/>
      <c r="H15" s="33"/>
    </row>
    <row r="16" spans="1:8" x14ac:dyDescent="0.35">
      <c r="A16" t="s">
        <v>25</v>
      </c>
      <c r="B16" s="18">
        <f>VLOOKUP(A16,'(2018-19)'!A:J,2,FALSE)+VLOOKUP(A16,'(2018-19)'!A:J,3,FALSE)+VLOOKUP(A16,'(2018-19)'!A:J,5,FALSE)+VLOOKUP(A16,'(2018-19)'!A:J,6,FALSE)+VLOOKUP(A16,'(2018-19)'!A:J,8,FALSE)</f>
        <v>25</v>
      </c>
      <c r="C16" s="18">
        <f>VLOOKUP(A16,'(2019-20)'!A:J,2,FALSE)+VLOOKUP(A16,'(2019-20)'!A:J,3,FALSE)+VLOOKUP(A16,'(2019-20)'!A:J,5,FALSE)+VLOOKUP(A16,'(2019-20)'!A:J,6,FALSE)+VLOOKUP(A16,'(2019-20)'!A:J,8,FALSE)</f>
        <v>27</v>
      </c>
      <c r="D16" s="33">
        <f t="shared" si="0"/>
        <v>8.0000000000000071E-2</v>
      </c>
      <c r="F16" s="18"/>
      <c r="G16" s="18"/>
      <c r="H16" s="33"/>
    </row>
    <row r="17" spans="1:8" x14ac:dyDescent="0.35">
      <c r="A17" t="s">
        <v>26</v>
      </c>
      <c r="B17" s="18">
        <f>VLOOKUP(A17,'(2018-19)'!A:J,2,FALSE)+VLOOKUP(A17,'(2018-19)'!A:J,3,FALSE)+VLOOKUP(A17,'(2018-19)'!A:J,5,FALSE)+VLOOKUP(A17,'(2018-19)'!A:J,6,FALSE)+VLOOKUP(A17,'(2018-19)'!A:J,8,FALSE)</f>
        <v>53</v>
      </c>
      <c r="C17" s="18">
        <f>VLOOKUP(A17,'(2019-20)'!A:J,2,FALSE)+VLOOKUP(A17,'(2019-20)'!A:J,3,FALSE)+VLOOKUP(A17,'(2019-20)'!A:J,5,FALSE)+VLOOKUP(A17,'(2019-20)'!A:J,6,FALSE)+VLOOKUP(A17,'(2019-20)'!A:J,8,FALSE)</f>
        <v>68</v>
      </c>
      <c r="D17" s="33">
        <f t="shared" si="0"/>
        <v>0.28301886792452824</v>
      </c>
      <c r="F17" s="18"/>
      <c r="G17" s="18"/>
      <c r="H17" s="33"/>
    </row>
    <row r="18" spans="1:8" x14ac:dyDescent="0.35">
      <c r="A18" t="s">
        <v>27</v>
      </c>
      <c r="B18" s="18">
        <f>VLOOKUP(A18,'(2018-19)'!A:J,2,FALSE)+VLOOKUP(A18,'(2018-19)'!A:J,3,FALSE)+VLOOKUP(A18,'(2018-19)'!A:J,5,FALSE)+VLOOKUP(A18,'(2018-19)'!A:J,6,FALSE)+VLOOKUP(A18,'(2018-19)'!A:J,8,FALSE)</f>
        <v>127</v>
      </c>
      <c r="C18" s="18">
        <f>VLOOKUP(A18,'(2019-20)'!A:J,2,FALSE)+VLOOKUP(A18,'(2019-20)'!A:J,3,FALSE)+VLOOKUP(A18,'(2019-20)'!A:J,5,FALSE)+VLOOKUP(A18,'(2019-20)'!A:J,6,FALSE)+VLOOKUP(A18,'(2019-20)'!A:J,8,FALSE)</f>
        <v>126</v>
      </c>
      <c r="D18" s="33">
        <f t="shared" si="0"/>
        <v>-7.8740157480314821E-3</v>
      </c>
      <c r="E18" s="29"/>
      <c r="F18" s="18"/>
      <c r="G18" s="18"/>
      <c r="H18" s="33"/>
    </row>
    <row r="19" spans="1:8" x14ac:dyDescent="0.35">
      <c r="A19" t="s">
        <v>28</v>
      </c>
      <c r="B19" s="18">
        <f>VLOOKUP(A19,'(2018-19)'!A:J,2,FALSE)+VLOOKUP(A19,'(2018-19)'!A:J,3,FALSE)+VLOOKUP(A19,'(2018-19)'!A:J,5,FALSE)+VLOOKUP(A19,'(2018-19)'!A:J,6,FALSE)+VLOOKUP(A19,'(2018-19)'!A:J,8,FALSE)</f>
        <v>31</v>
      </c>
      <c r="C19" s="18">
        <f>VLOOKUP(A19,'(2019-20)'!A:J,2,FALSE)+VLOOKUP(A19,'(2019-20)'!A:J,3,FALSE)+VLOOKUP(A19,'(2019-20)'!A:J,5,FALSE)+VLOOKUP(A19,'(2019-20)'!A:J,6,FALSE)+VLOOKUP(A19,'(2019-20)'!A:J,8,FALSE)</f>
        <v>23</v>
      </c>
      <c r="D19" s="33">
        <f t="shared" si="0"/>
        <v>-0.25806451612903225</v>
      </c>
      <c r="F19" s="18"/>
      <c r="G19" s="18"/>
      <c r="H19" s="33"/>
    </row>
    <row r="20" spans="1:8" x14ac:dyDescent="0.35">
      <c r="A20" t="s">
        <v>31</v>
      </c>
      <c r="B20" s="18">
        <f>VLOOKUP(A20,'(2018-19)'!A:J,2,FALSE)+VLOOKUP(A20,'(2018-19)'!A:J,3,FALSE)+VLOOKUP(A20,'(2018-19)'!A:J,5,FALSE)+VLOOKUP(A20,'(2018-19)'!A:J,6,FALSE)+VLOOKUP(A20,'(2018-19)'!A:J,8,FALSE)</f>
        <v>103</v>
      </c>
      <c r="C20" s="18">
        <f>VLOOKUP(A20,'(2019-20)'!A:J,2,FALSE)+VLOOKUP(A20,'(2019-20)'!A:J,3,FALSE)+VLOOKUP(A20,'(2019-20)'!A:J,5,FALSE)+VLOOKUP(A20,'(2019-20)'!A:J,6,FALSE)+VLOOKUP(A20,'(2019-20)'!A:J,8,FALSE)</f>
        <v>86</v>
      </c>
      <c r="D20" s="33">
        <f t="shared" si="0"/>
        <v>-0.16504854368932043</v>
      </c>
      <c r="F20" s="18"/>
      <c r="G20" s="18"/>
      <c r="H20" s="33"/>
    </row>
    <row r="21" spans="1:8" x14ac:dyDescent="0.35">
      <c r="A21" t="s">
        <v>32</v>
      </c>
      <c r="B21" s="18">
        <f>VLOOKUP(A21,'(2018-19)'!A:J,2,FALSE)+VLOOKUP(A21,'(2018-19)'!A:J,3,FALSE)+VLOOKUP(A21,'(2018-19)'!A:J,5,FALSE)+VLOOKUP(A21,'(2018-19)'!A:J,6,FALSE)+VLOOKUP(A21,'(2018-19)'!A:J,8,FALSE)</f>
        <v>44</v>
      </c>
      <c r="C21" s="18">
        <f>VLOOKUP(A21,'(2019-20)'!A:J,2,FALSE)+VLOOKUP(A21,'(2019-20)'!A:J,3,FALSE)+VLOOKUP(A21,'(2019-20)'!A:J,5,FALSE)+VLOOKUP(A21,'(2019-20)'!A:J,6,FALSE)+VLOOKUP(A21,'(2019-20)'!A:J,8,FALSE)</f>
        <v>67</v>
      </c>
      <c r="D21" s="33">
        <f t="shared" si="0"/>
        <v>0.52272727272727271</v>
      </c>
      <c r="F21" s="18"/>
      <c r="G21" s="18"/>
      <c r="H21" s="33"/>
    </row>
    <row r="22" spans="1:8" x14ac:dyDescent="0.35">
      <c r="A22" t="s">
        <v>33</v>
      </c>
      <c r="B22" s="18">
        <f>VLOOKUP(A22,'(2018-19)'!A:J,2,FALSE)+VLOOKUP(A22,'(2018-19)'!A:J,3,FALSE)+VLOOKUP(A22,'(2018-19)'!A:J,5,FALSE)+VLOOKUP(A22,'(2018-19)'!A:J,6,FALSE)+VLOOKUP(A22,'(2018-19)'!A:J,8,FALSE)</f>
        <v>62</v>
      </c>
      <c r="C22" s="18">
        <f>VLOOKUP(A22,'(2019-20)'!A:J,2,FALSE)+VLOOKUP(A22,'(2019-20)'!A:J,3,FALSE)+VLOOKUP(A22,'(2019-20)'!A:J,5,FALSE)+VLOOKUP(A22,'(2019-20)'!A:J,6,FALSE)+VLOOKUP(A22,'(2019-20)'!A:J,8,FALSE)</f>
        <v>65</v>
      </c>
      <c r="D22" s="33">
        <f t="shared" si="0"/>
        <v>4.8387096774193505E-2</v>
      </c>
      <c r="F22" s="18"/>
      <c r="G22" s="18"/>
      <c r="H22" s="33"/>
    </row>
    <row r="23" spans="1:8" x14ac:dyDescent="0.35">
      <c r="A23" t="s">
        <v>34</v>
      </c>
      <c r="B23" s="18">
        <f>VLOOKUP(A23,'(2018-19)'!A:J,2,FALSE)+VLOOKUP(A23,'(2018-19)'!A:J,3,FALSE)+VLOOKUP(A23,'(2018-19)'!A:J,5,FALSE)+VLOOKUP(A23,'(2018-19)'!A:J,6,FALSE)+VLOOKUP(A23,'(2018-19)'!A:J,8,FALSE)</f>
        <v>34</v>
      </c>
      <c r="C23" s="18">
        <f>VLOOKUP(A23,'(2019-20)'!A:J,2,FALSE)+VLOOKUP(A23,'(2019-20)'!A:J,3,FALSE)+VLOOKUP(A23,'(2019-20)'!A:J,5,FALSE)+VLOOKUP(A23,'(2019-20)'!A:J,6,FALSE)+VLOOKUP(A23,'(2019-20)'!A:J,8,FALSE)</f>
        <v>25</v>
      </c>
      <c r="D23" s="33">
        <f t="shared" si="0"/>
        <v>-0.26470588235294112</v>
      </c>
      <c r="F23" s="18"/>
      <c r="G23" s="18"/>
      <c r="H23" s="33"/>
    </row>
    <row r="24" spans="1:8" x14ac:dyDescent="0.35">
      <c r="A24" t="s">
        <v>76</v>
      </c>
      <c r="B24" s="18">
        <f>VLOOKUP(A24,'(2018-19)'!A:J,2,FALSE)+VLOOKUP(A24,'(2018-19)'!A:J,3,FALSE)+VLOOKUP(A24,'(2018-19)'!A:J,5,FALSE)+VLOOKUP(A24,'(2018-19)'!A:J,6,FALSE)+VLOOKUP(A24,'(2018-19)'!A:J,8,FALSE)</f>
        <v>13</v>
      </c>
      <c r="C24" s="18">
        <f>VLOOKUP(A24,'(2019-20)'!A:J,2,FALSE)+VLOOKUP(A24,'(2019-20)'!A:J,3,FALSE)+VLOOKUP(A24,'(2019-20)'!A:J,5,FALSE)+VLOOKUP(A24,'(2019-20)'!A:J,6,FALSE)+VLOOKUP(A24,'(2019-20)'!A:J,8,FALSE)</f>
        <v>11</v>
      </c>
      <c r="D24" s="33">
        <f t="shared" si="0"/>
        <v>-0.15384615384615385</v>
      </c>
      <c r="F24" s="18"/>
      <c r="G24" s="18"/>
      <c r="H24" s="33"/>
    </row>
    <row r="25" spans="1:8" x14ac:dyDescent="0.35">
      <c r="A25" t="s">
        <v>37</v>
      </c>
      <c r="B25" s="18">
        <f>VLOOKUP(A25,'(2018-19)'!A:J,2,FALSE)+VLOOKUP(A25,'(2018-19)'!A:J,3,FALSE)+VLOOKUP(A25,'(2018-19)'!A:J,5,FALSE)+VLOOKUP(A25,'(2018-19)'!A:J,6,FALSE)+VLOOKUP(A25,'(2018-19)'!A:J,8,FALSE)</f>
        <v>111</v>
      </c>
      <c r="C25" s="18">
        <f>VLOOKUP(A25,'(2019-20)'!A:J,2,FALSE)+VLOOKUP(A25,'(2019-20)'!A:J,3,FALSE)+VLOOKUP(A25,'(2019-20)'!A:J,5,FALSE)+VLOOKUP(A25,'(2019-20)'!A:J,6,FALSE)+VLOOKUP(A25,'(2019-20)'!A:J,8,FALSE)</f>
        <v>116</v>
      </c>
      <c r="D25" s="33">
        <f t="shared" si="0"/>
        <v>4.5045045045045029E-2</v>
      </c>
      <c r="F25" s="18"/>
      <c r="G25" s="18"/>
      <c r="H25" s="33"/>
    </row>
    <row r="26" spans="1:8" x14ac:dyDescent="0.35">
      <c r="A26" t="s">
        <v>38</v>
      </c>
      <c r="B26" s="18">
        <f>VLOOKUP(A26,'(2018-19)'!A:J,2,FALSE)+VLOOKUP(A26,'(2018-19)'!A:J,3,FALSE)+VLOOKUP(A26,'(2018-19)'!A:J,5,FALSE)+VLOOKUP(A26,'(2018-19)'!A:J,6,FALSE)+VLOOKUP(A26,'(2018-19)'!A:J,8,FALSE)</f>
        <v>74</v>
      </c>
      <c r="C26" s="18">
        <f>VLOOKUP(A26,'(2019-20)'!A:J,2,FALSE)+VLOOKUP(A26,'(2019-20)'!A:J,3,FALSE)+VLOOKUP(A26,'(2019-20)'!A:J,5,FALSE)+VLOOKUP(A26,'(2019-20)'!A:J,6,FALSE)+VLOOKUP(A26,'(2019-20)'!A:J,8,FALSE)</f>
        <v>69</v>
      </c>
      <c r="D26" s="33">
        <f t="shared" si="0"/>
        <v>-6.7567567567567544E-2</v>
      </c>
      <c r="F26" s="18"/>
      <c r="G26" s="18"/>
      <c r="H26" s="33"/>
    </row>
    <row r="27" spans="1:8" x14ac:dyDescent="0.35">
      <c r="A27" t="s">
        <v>39</v>
      </c>
      <c r="B27" s="18">
        <f>VLOOKUP(A27,'(2018-19)'!A:J,2,FALSE)+VLOOKUP(A27,'(2018-19)'!A:J,3,FALSE)+VLOOKUP(A27,'(2018-19)'!A:J,5,FALSE)+VLOOKUP(A27,'(2018-19)'!A:J,6,FALSE)+VLOOKUP(A27,'(2018-19)'!A:J,8,FALSE)</f>
        <v>28</v>
      </c>
      <c r="C27" s="18">
        <f>VLOOKUP(A27,'(2019-20)'!A:J,2,FALSE)+VLOOKUP(A27,'(2019-20)'!A:J,3,FALSE)+VLOOKUP(A27,'(2019-20)'!A:J,5,FALSE)+VLOOKUP(A27,'(2019-20)'!A:J,6,FALSE)+VLOOKUP(A27,'(2019-20)'!A:J,8,FALSE)</f>
        <v>54</v>
      </c>
      <c r="D27" s="33">
        <f t="shared" si="0"/>
        <v>0.9285714285714286</v>
      </c>
      <c r="F27" s="18"/>
      <c r="G27" s="18"/>
      <c r="H27" s="33"/>
    </row>
    <row r="28" spans="1:8" x14ac:dyDescent="0.35">
      <c r="A28" t="s">
        <v>40</v>
      </c>
      <c r="B28" s="18">
        <f>VLOOKUP(A28,'(2018-19)'!A:J,2,FALSE)+VLOOKUP(A28,'(2018-19)'!A:J,3,FALSE)+VLOOKUP(A28,'(2018-19)'!A:J,5,FALSE)+VLOOKUP(A28,'(2018-19)'!A:J,6,FALSE)+VLOOKUP(A28,'(2018-19)'!A:J,8,FALSE)</f>
        <v>49</v>
      </c>
      <c r="C28" s="18">
        <f>VLOOKUP(A28,'(2019-20)'!A:J,2,FALSE)+VLOOKUP(A28,'(2019-20)'!A:J,3,FALSE)+VLOOKUP(A28,'(2019-20)'!A:J,5,FALSE)+VLOOKUP(A28,'(2019-20)'!A:J,6,FALSE)+VLOOKUP(A28,'(2019-20)'!A:J,8,FALSE)</f>
        <v>44</v>
      </c>
      <c r="D28" s="33">
        <f t="shared" si="0"/>
        <v>-0.10204081632653061</v>
      </c>
      <c r="F28" s="18"/>
      <c r="G28" s="18"/>
      <c r="H28" s="33"/>
    </row>
    <row r="29" spans="1:8" x14ac:dyDescent="0.35">
      <c r="A29" t="s">
        <v>42</v>
      </c>
      <c r="B29" s="18">
        <f>VLOOKUP(A29,'(2018-19)'!A:J,2,FALSE)+VLOOKUP(A29,'(2018-19)'!A:J,3,FALSE)+VLOOKUP(A29,'(2018-19)'!A:J,5,FALSE)+VLOOKUP(A29,'(2018-19)'!A:J,6,FALSE)+VLOOKUP(A29,'(2018-19)'!A:J,8,FALSE)</f>
        <v>92</v>
      </c>
      <c r="C29" s="18">
        <f>VLOOKUP(A29,'(2019-20)'!A:J,2,FALSE)+VLOOKUP(A29,'(2019-20)'!A:J,3,FALSE)+VLOOKUP(A29,'(2019-20)'!A:J,5,FALSE)+VLOOKUP(A29,'(2019-20)'!A:J,6,FALSE)+VLOOKUP(A29,'(2019-20)'!A:J,8,FALSE)</f>
        <v>65</v>
      </c>
      <c r="D29" s="33">
        <f t="shared" si="0"/>
        <v>-0.29347826086956519</v>
      </c>
      <c r="F29" s="18"/>
      <c r="G29" s="18"/>
      <c r="H29" s="33"/>
    </row>
    <row r="30" spans="1:8" x14ac:dyDescent="0.35">
      <c r="A30" t="s">
        <v>43</v>
      </c>
      <c r="B30" s="18">
        <f>VLOOKUP(A30,'(2018-19)'!A:J,2,FALSE)+VLOOKUP(A30,'(2018-19)'!A:J,3,FALSE)+VLOOKUP(A30,'(2018-19)'!A:J,5,FALSE)+VLOOKUP(A30,'(2018-19)'!A:J,6,FALSE)+VLOOKUP(A30,'(2018-19)'!A:J,8,FALSE)</f>
        <v>47</v>
      </c>
      <c r="C30" s="18">
        <f>VLOOKUP(A30,'(2019-20)'!A:J,2,FALSE)+VLOOKUP(A30,'(2019-20)'!A:J,3,FALSE)+VLOOKUP(A30,'(2019-20)'!A:J,5,FALSE)+VLOOKUP(A30,'(2019-20)'!A:J,6,FALSE)+VLOOKUP(A30,'(2019-20)'!A:J,8,FALSE)</f>
        <v>52</v>
      </c>
      <c r="D30" s="33">
        <f t="shared" si="0"/>
        <v>0.1063829787234043</v>
      </c>
      <c r="F30" s="18"/>
      <c r="G30" s="18"/>
      <c r="H30" s="33"/>
    </row>
    <row r="31" spans="1:8" x14ac:dyDescent="0.35">
      <c r="A31" t="s">
        <v>44</v>
      </c>
      <c r="B31" s="18">
        <f>VLOOKUP(A31,'(2018-19)'!A:J,2,FALSE)+VLOOKUP(A31,'(2018-19)'!A:J,3,FALSE)+VLOOKUP(A31,'(2018-19)'!A:J,5,FALSE)+VLOOKUP(A31,'(2018-19)'!A:J,6,FALSE)+VLOOKUP(A31,'(2018-19)'!A:J,8,FALSE)</f>
        <v>40</v>
      </c>
      <c r="C31" s="18">
        <f>VLOOKUP(A31,'(2019-20)'!A:J,2,FALSE)+VLOOKUP(A31,'(2019-20)'!A:J,3,FALSE)+VLOOKUP(A31,'(2019-20)'!A:J,5,FALSE)+VLOOKUP(A31,'(2019-20)'!A:J,6,FALSE)+VLOOKUP(A31,'(2019-20)'!A:J,8,FALSE)</f>
        <v>61</v>
      </c>
      <c r="D31" s="33">
        <f t="shared" si="0"/>
        <v>0.52499999999999991</v>
      </c>
      <c r="F31" s="18"/>
      <c r="G31" s="18"/>
      <c r="H31" s="33"/>
    </row>
    <row r="32" spans="1:8" x14ac:dyDescent="0.35">
      <c r="A32" t="s">
        <v>45</v>
      </c>
      <c r="B32" s="18">
        <f>VLOOKUP(A32,'(2018-19)'!A:J,2,FALSE)+VLOOKUP(A32,'(2018-19)'!A:J,3,FALSE)+VLOOKUP(A32,'(2018-19)'!A:J,5,FALSE)+VLOOKUP(A32,'(2018-19)'!A:J,6,FALSE)+VLOOKUP(A32,'(2018-19)'!A:J,8,FALSE)</f>
        <v>31</v>
      </c>
      <c r="C32" s="18">
        <f>VLOOKUP(A32,'(2019-20)'!A:J,2,FALSE)+VLOOKUP(A32,'(2019-20)'!A:J,3,FALSE)+VLOOKUP(A32,'(2019-20)'!A:J,5,FALSE)+VLOOKUP(A32,'(2019-20)'!A:J,6,FALSE)+VLOOKUP(A32,'(2019-20)'!A:J,8,FALSE)</f>
        <v>21</v>
      </c>
      <c r="D32" s="33">
        <f t="shared" si="0"/>
        <v>-0.32258064516129037</v>
      </c>
      <c r="F32" s="18"/>
      <c r="G32" s="18"/>
      <c r="H32" s="33"/>
    </row>
    <row r="33" spans="1:8" x14ac:dyDescent="0.35">
      <c r="A33" t="s">
        <v>46</v>
      </c>
      <c r="B33" s="18">
        <f>VLOOKUP(A33,'(2018-19)'!A:J,2,FALSE)+VLOOKUP(A33,'(2018-19)'!A:J,3,FALSE)+VLOOKUP(A33,'(2018-19)'!A:J,5,FALSE)+VLOOKUP(A33,'(2018-19)'!A:J,6,FALSE)+VLOOKUP(A33,'(2018-19)'!A:J,8,FALSE)</f>
        <v>61</v>
      </c>
      <c r="C33" s="18">
        <f>VLOOKUP(A33,'(2019-20)'!A:J,2,FALSE)+VLOOKUP(A33,'(2019-20)'!A:J,3,FALSE)+VLOOKUP(A33,'(2019-20)'!A:J,5,FALSE)+VLOOKUP(A33,'(2019-20)'!A:J,6,FALSE)+VLOOKUP(A33,'(2019-20)'!A:J,8,FALSE)</f>
        <v>57</v>
      </c>
      <c r="D33" s="33">
        <f t="shared" si="0"/>
        <v>-6.557377049180324E-2</v>
      </c>
      <c r="F33" s="18"/>
      <c r="G33" s="18"/>
      <c r="H33" s="33"/>
    </row>
    <row r="34" spans="1:8" x14ac:dyDescent="0.35">
      <c r="A34" t="s">
        <v>47</v>
      </c>
      <c r="B34" s="18">
        <f>VLOOKUP(A34,'(2018-19)'!A:J,2,FALSE)+VLOOKUP(A34,'(2018-19)'!A:J,3,FALSE)+VLOOKUP(A34,'(2018-19)'!A:J,5,FALSE)+VLOOKUP(A34,'(2018-19)'!A:J,6,FALSE)+VLOOKUP(A34,'(2018-19)'!A:J,8,FALSE)</f>
        <v>58</v>
      </c>
      <c r="C34" s="18">
        <f>VLOOKUP(A34,'(2019-20)'!A:J,2,FALSE)+VLOOKUP(A34,'(2019-20)'!A:J,3,FALSE)+VLOOKUP(A34,'(2019-20)'!A:J,5,FALSE)+VLOOKUP(A34,'(2019-20)'!A:J,6,FALSE)+VLOOKUP(A34,'(2019-20)'!A:J,8,FALSE)</f>
        <v>44</v>
      </c>
      <c r="D34" s="33">
        <f t="shared" si="0"/>
        <v>-0.24137931034482762</v>
      </c>
      <c r="F34" s="18"/>
      <c r="G34" s="18"/>
      <c r="H34" s="33"/>
    </row>
    <row r="35" spans="1:8" x14ac:dyDescent="0.35">
      <c r="A35" t="s">
        <v>48</v>
      </c>
      <c r="B35" s="18">
        <f>VLOOKUP(A35,'(2018-19)'!A:J,2,FALSE)+VLOOKUP(A35,'(2018-19)'!A:J,3,FALSE)+VLOOKUP(A35,'(2018-19)'!A:J,5,FALSE)+VLOOKUP(A35,'(2018-19)'!A:J,6,FALSE)+VLOOKUP(A35,'(2018-19)'!A:J,8,FALSE)</f>
        <v>39</v>
      </c>
      <c r="C35" s="18">
        <f>VLOOKUP(A35,'(2019-20)'!A:J,2,FALSE)+VLOOKUP(A35,'(2019-20)'!A:J,3,FALSE)+VLOOKUP(A35,'(2019-20)'!A:J,5,FALSE)+VLOOKUP(A35,'(2019-20)'!A:J,6,FALSE)+VLOOKUP(A35,'(2019-20)'!A:J,8,FALSE)</f>
        <v>52</v>
      </c>
      <c r="D35" s="33">
        <f t="shared" si="0"/>
        <v>0.33333333333333326</v>
      </c>
      <c r="F35" s="18"/>
      <c r="G35" s="18"/>
      <c r="H35" s="33"/>
    </row>
    <row r="36" spans="1:8" x14ac:dyDescent="0.35">
      <c r="A36" t="s">
        <v>50</v>
      </c>
      <c r="B36" s="18">
        <f>VLOOKUP(A36,'(2018-19)'!A:J,2,FALSE)+VLOOKUP(A36,'(2018-19)'!A:J,3,FALSE)+VLOOKUP(A36,'(2018-19)'!A:J,5,FALSE)+VLOOKUP(A36,'(2018-19)'!A:J,6,FALSE)+VLOOKUP(A36,'(2018-19)'!A:J,8,FALSE)</f>
        <v>56</v>
      </c>
      <c r="C36" s="18">
        <f>VLOOKUP(A36,'(2019-20)'!A:J,2,FALSE)+VLOOKUP(A36,'(2019-20)'!A:J,3,FALSE)+VLOOKUP(A36,'(2019-20)'!A:J,5,FALSE)+VLOOKUP(A36,'(2019-20)'!A:J,6,FALSE)+VLOOKUP(A36,'(2019-20)'!A:J,8,FALSE)</f>
        <v>52</v>
      </c>
      <c r="D36" s="33">
        <f t="shared" si="0"/>
        <v>-7.1428571428571397E-2</v>
      </c>
      <c r="F36" s="18"/>
      <c r="G36" s="18"/>
      <c r="H36" s="33"/>
    </row>
    <row r="37" spans="1:8" x14ac:dyDescent="0.35">
      <c r="A37" t="s">
        <v>51</v>
      </c>
      <c r="B37" s="18">
        <f>VLOOKUP(A37,'(2018-19)'!A:J,2,FALSE)+VLOOKUP(A37,'(2018-19)'!A:J,3,FALSE)+VLOOKUP(A37,'(2018-19)'!A:J,5,FALSE)+VLOOKUP(A37,'(2018-19)'!A:J,6,FALSE)+VLOOKUP(A37,'(2018-19)'!A:J,8,FALSE)</f>
        <v>26</v>
      </c>
      <c r="C37" s="18">
        <f>VLOOKUP(A37,'(2019-20)'!A:J,2,FALSE)+VLOOKUP(A37,'(2019-20)'!A:J,3,FALSE)+VLOOKUP(A37,'(2019-20)'!A:J,5,FALSE)+VLOOKUP(A37,'(2019-20)'!A:J,6,FALSE)+VLOOKUP(A37,'(2019-20)'!A:J,8,FALSE)</f>
        <v>22</v>
      </c>
      <c r="D37" s="33">
        <f t="shared" si="0"/>
        <v>-0.15384615384615385</v>
      </c>
      <c r="F37" s="18"/>
      <c r="G37" s="18"/>
      <c r="H37" s="33"/>
    </row>
    <row r="38" spans="1:8" x14ac:dyDescent="0.35">
      <c r="A38" t="s">
        <v>52</v>
      </c>
      <c r="B38" s="18">
        <f>VLOOKUP(A38,'(2018-19)'!A:J,2,FALSE)+VLOOKUP(A38,'(2018-19)'!A:J,3,FALSE)+VLOOKUP(A38,'(2018-19)'!A:J,5,FALSE)+VLOOKUP(A38,'(2018-19)'!A:J,6,FALSE)+VLOOKUP(A38,'(2018-19)'!A:J,8,FALSE)</f>
        <v>57</v>
      </c>
      <c r="C38" s="18">
        <f>VLOOKUP(A38,'(2019-20)'!A:J,2,FALSE)+VLOOKUP(A38,'(2019-20)'!A:J,3,FALSE)+VLOOKUP(A38,'(2019-20)'!A:J,5,FALSE)+VLOOKUP(A38,'(2019-20)'!A:J,6,FALSE)+VLOOKUP(A38,'(2019-20)'!A:J,8,FALSE)</f>
        <v>48</v>
      </c>
      <c r="D38" s="33">
        <f t="shared" si="0"/>
        <v>-0.15789473684210531</v>
      </c>
      <c r="F38" s="18"/>
      <c r="G38" s="18"/>
      <c r="H38" s="33"/>
    </row>
    <row r="39" spans="1:8" x14ac:dyDescent="0.35">
      <c r="A39" t="s">
        <v>54</v>
      </c>
      <c r="B39" s="18">
        <f>VLOOKUP(A39,'(2018-19)'!A:J,2,FALSE)+VLOOKUP(A39,'(2018-19)'!A:J,3,FALSE)+VLOOKUP(A39,'(2018-19)'!A:J,5,FALSE)+VLOOKUP(A39,'(2018-19)'!A:J,6,FALSE)+VLOOKUP(A39,'(2018-19)'!A:J,8,FALSE)</f>
        <v>23</v>
      </c>
      <c r="C39" s="18">
        <f>VLOOKUP(A39,'(2019-20)'!A:J,2,FALSE)+VLOOKUP(A39,'(2019-20)'!A:J,3,FALSE)+VLOOKUP(A39,'(2019-20)'!A:J,5,FALSE)+VLOOKUP(A39,'(2019-20)'!A:J,6,FALSE)+VLOOKUP(A39,'(2019-20)'!A:J,8,FALSE)</f>
        <v>32</v>
      </c>
      <c r="D39" s="33">
        <f t="shared" si="0"/>
        <v>0.39130434782608692</v>
      </c>
      <c r="F39" s="18"/>
      <c r="G39" s="18"/>
      <c r="H39" s="33"/>
    </row>
    <row r="40" spans="1:8" x14ac:dyDescent="0.35">
      <c r="A40" t="s">
        <v>56</v>
      </c>
      <c r="B40" s="18">
        <f>VLOOKUP(A40,'(2018-19)'!A:J,2,FALSE)+VLOOKUP(A40,'(2018-19)'!A:J,3,FALSE)+VLOOKUP(A40,'(2018-19)'!A:J,5,FALSE)+VLOOKUP(A40,'(2018-19)'!A:J,6,FALSE)+VLOOKUP(A40,'(2018-19)'!A:J,8,FALSE)</f>
        <v>48</v>
      </c>
      <c r="C40" s="18">
        <f>VLOOKUP(A40,'(2019-20)'!A:J,2,FALSE)+VLOOKUP(A40,'(2019-20)'!A:J,3,FALSE)+VLOOKUP(A40,'(2019-20)'!A:J,5,FALSE)+VLOOKUP(A40,'(2019-20)'!A:J,6,FALSE)+VLOOKUP(A40,'(2019-20)'!A:J,8,FALSE)</f>
        <v>37</v>
      </c>
      <c r="D40" s="33">
        <f t="shared" si="0"/>
        <v>-0.22916666666666663</v>
      </c>
      <c r="F40" s="18"/>
      <c r="G40" s="18"/>
      <c r="H40" s="33"/>
    </row>
    <row r="41" spans="1:8" x14ac:dyDescent="0.35">
      <c r="A41" t="s">
        <v>36</v>
      </c>
      <c r="B41" s="18">
        <f>VLOOKUP(A41,'(2018-19)'!A:J,2,FALSE)+VLOOKUP(A41,'(2018-19)'!A:J,3,FALSE)+VLOOKUP(A41,'(2018-19)'!A:J,5,FALSE)+VLOOKUP(A41,'(2018-19)'!A:J,6,FALSE)+VLOOKUP(A41,'(2018-19)'!A:J,8,FALSE)</f>
        <v>0</v>
      </c>
      <c r="C41" s="18">
        <f>VLOOKUP(A41,'(2019-20)'!A:J,2,FALSE)+VLOOKUP(A41,'(2019-20)'!A:J,3,FALSE)+VLOOKUP(A41,'(2019-20)'!A:J,5,FALSE)+VLOOKUP(A41,'(2019-20)'!A:J,6,FALSE)+VLOOKUP(A41,'(2019-20)'!A:J,8,FALSE)</f>
        <v>0</v>
      </c>
      <c r="D41" s="33" t="e">
        <f t="shared" si="0"/>
        <v>#DIV/0!</v>
      </c>
      <c r="F41" s="18"/>
      <c r="G41" s="18"/>
      <c r="H41" s="33"/>
    </row>
    <row r="42" spans="1:8" x14ac:dyDescent="0.35">
      <c r="A42" t="s">
        <v>9</v>
      </c>
      <c r="B42" s="18">
        <f>VLOOKUP(A42,'(2017-18)'!A:J,2,FALSE)+VLOOKUP(A42,'(2017-18)'!A:J,3,FALSE)+VLOOKUP(A42,'(2017-18)'!A:J,5,FALSE)+VLOOKUP(A42,'(2017-18)'!A:J,6,FALSE)+VLOOKUP(A42,'(2017-18)'!A:J,8,FALSE)</f>
        <v>891</v>
      </c>
      <c r="C42" s="18">
        <f>VLOOKUP(A42,'(2018-19)'!A:J,2,FALSE)+VLOOKUP(A42,'(2018-19)'!A:J,3,FALSE)+VLOOKUP(A42,'(2018-19)'!A:J,5,FALSE)+VLOOKUP(A42,'(2018-19)'!A:J,6,FALSE)+VLOOKUP(A42,'(2018-19)'!A:J,8,FALSE)</f>
        <v>937</v>
      </c>
      <c r="D42" s="33">
        <f t="shared" si="0"/>
        <v>5.1627384960718281E-2</v>
      </c>
      <c r="F42" s="18"/>
      <c r="G42" s="18"/>
      <c r="H42" s="33"/>
    </row>
    <row r="43" spans="1:8" x14ac:dyDescent="0.35">
      <c r="A43" t="s">
        <v>30</v>
      </c>
      <c r="B43" s="18">
        <f>VLOOKUP(A43,'(2018-19)'!A:J,2,FALSE)+VLOOKUP(A43,'(2018-19)'!A:J,3,FALSE)+VLOOKUP(A43,'(2018-19)'!A:J,5,FALSE)+VLOOKUP(A43,'(2018-19)'!A:J,6,FALSE)+VLOOKUP(A43,'(2018-19)'!A:J,8,FALSE)</f>
        <v>65</v>
      </c>
      <c r="C43" s="18">
        <f>VLOOKUP(A43,'(2019-20)'!A:J,2,FALSE)+VLOOKUP(A43,'(2019-20)'!A:J,3,FALSE)+VLOOKUP(A43,'(2019-20)'!A:J,5,FALSE)+VLOOKUP(A43,'(2019-20)'!A:J,6,FALSE)+VLOOKUP(A43,'(2019-20)'!A:J,8,FALSE)</f>
        <v>85</v>
      </c>
      <c r="D43" s="33">
        <f t="shared" si="0"/>
        <v>0.30769230769230771</v>
      </c>
      <c r="F43" s="18"/>
      <c r="G43" s="18"/>
      <c r="H43" s="33"/>
    </row>
    <row r="44" spans="1:8" x14ac:dyDescent="0.35">
      <c r="A44" t="s">
        <v>41</v>
      </c>
      <c r="B44" s="18">
        <f>VLOOKUP(A44,'(2018-19)'!A:J,2,FALSE)+VLOOKUP(A44,'(2018-19)'!A:J,3,FALSE)+VLOOKUP(A44,'(2018-19)'!A:J,5,FALSE)+VLOOKUP(A44,'(2018-19)'!A:J,6,FALSE)+VLOOKUP(A44,'(2018-19)'!A:J,8,FALSE)</f>
        <v>89</v>
      </c>
      <c r="C44" s="18">
        <f>VLOOKUP(A44,'(2019-20)'!A:J,2,FALSE)+VLOOKUP(A44,'(2019-20)'!A:J,3,FALSE)+VLOOKUP(A44,'(2019-20)'!A:J,5,FALSE)+VLOOKUP(A44,'(2019-20)'!A:J,6,FALSE)+VLOOKUP(A44,'(2019-20)'!A:J,8,FALSE)</f>
        <v>81</v>
      </c>
      <c r="D44" s="33">
        <f t="shared" si="0"/>
        <v>-8.98876404494382E-2</v>
      </c>
      <c r="F44" s="18"/>
      <c r="G44" s="18"/>
      <c r="H44" s="33"/>
    </row>
    <row r="45" spans="1:8" x14ac:dyDescent="0.35">
      <c r="A45" t="s">
        <v>49</v>
      </c>
      <c r="B45" s="18">
        <f>VLOOKUP(A45,'(2018-19)'!A:J,2,FALSE)+VLOOKUP(A45,'(2018-19)'!A:J,3,FALSE)+VLOOKUP(A45,'(2018-19)'!A:J,5,FALSE)+VLOOKUP(A45,'(2018-19)'!A:J,6,FALSE)+VLOOKUP(A45,'(2018-19)'!A:J,8,FALSE)</f>
        <v>54</v>
      </c>
      <c r="C45" s="18">
        <f>VLOOKUP(A45,'(2019-20)'!A:J,2,FALSE)+VLOOKUP(A45,'(2019-20)'!A:J,3,FALSE)+VLOOKUP(A45,'(2019-20)'!A:J,5,FALSE)+VLOOKUP(A45,'(2019-20)'!A:J,6,FALSE)+VLOOKUP(A45,'(2019-20)'!A:J,8,FALSE)</f>
        <v>48</v>
      </c>
      <c r="D45" s="33">
        <f t="shared" si="0"/>
        <v>-0.11111111111111116</v>
      </c>
      <c r="F45" s="18"/>
      <c r="G45" s="18"/>
      <c r="H45" s="33"/>
    </row>
    <row r="46" spans="1:8" x14ac:dyDescent="0.35">
      <c r="A46" t="s">
        <v>53</v>
      </c>
      <c r="B46" s="18">
        <f>VLOOKUP(A46,'(2018-19)'!A:J,2,FALSE)+VLOOKUP(A46,'(2018-19)'!A:J,3,FALSE)+VLOOKUP(A46,'(2018-19)'!A:J,5,FALSE)+VLOOKUP(A46,'(2018-19)'!A:J,6,FALSE)+VLOOKUP(A46,'(2018-19)'!A:J,8,FALSE)</f>
        <v>55</v>
      </c>
      <c r="C46" s="18">
        <f>VLOOKUP(A46,'(2019-20)'!A:J,2,FALSE)+VLOOKUP(A46,'(2019-20)'!A:J,3,FALSE)+VLOOKUP(A46,'(2019-20)'!A:J,5,FALSE)+VLOOKUP(A46,'(2019-20)'!A:J,6,FALSE)+VLOOKUP(A46,'(2019-20)'!A:J,8,FALSE)</f>
        <v>71</v>
      </c>
      <c r="D46" s="33">
        <f t="shared" si="0"/>
        <v>0.29090909090909101</v>
      </c>
      <c r="F46" s="18"/>
      <c r="G46" s="18"/>
      <c r="H46" s="33"/>
    </row>
    <row r="47" spans="1:8" x14ac:dyDescent="0.35">
      <c r="A47" t="s">
        <v>55</v>
      </c>
      <c r="B47" s="18">
        <f>VLOOKUP(A47,'(2018-19)'!A:J,2,FALSE)+VLOOKUP(A47,'(2018-19)'!A:J,3,FALSE)+VLOOKUP(A47,'(2018-19)'!A:J,5,FALSE)+VLOOKUP(A47,'(2018-19)'!A:J,6,FALSE)+VLOOKUP(A47,'(2018-19)'!A:J,8,FALSE)</f>
        <v>89</v>
      </c>
      <c r="C47" s="18">
        <f>VLOOKUP(A47,'(2019-20)'!A:J,2,FALSE)+VLOOKUP(A47,'(2019-20)'!A:J,3,FALSE)+VLOOKUP(A47,'(2019-20)'!A:J,5,FALSE)+VLOOKUP(A47,'(2019-20)'!A:J,6,FALSE)+VLOOKUP(A47,'(2019-20)'!A:J,8,FALSE)</f>
        <v>85</v>
      </c>
      <c r="D47" s="33">
        <f t="shared" si="0"/>
        <v>-4.49438202247191E-2</v>
      </c>
      <c r="F47" s="18"/>
      <c r="G47" s="18"/>
      <c r="H47" s="33"/>
    </row>
    <row r="48" spans="1:8" x14ac:dyDescent="0.35">
      <c r="A48" t="s">
        <v>57</v>
      </c>
      <c r="B48" s="18">
        <f>VLOOKUP(A48,'(2018-19)'!A:J,2,FALSE)+VLOOKUP(A48,'(2018-19)'!A:J,3,FALSE)+VLOOKUP(A48,'(2018-19)'!A:J,5,FALSE)+VLOOKUP(A48,'(2018-19)'!A:J,6,FALSE)+VLOOKUP(A48,'(2018-19)'!A:J,8,FALSE)</f>
        <v>90</v>
      </c>
      <c r="C48" s="18">
        <f>VLOOKUP(A48,'(2019-20)'!A:J,2,FALSE)+VLOOKUP(A48,'(2019-20)'!A:J,3,FALSE)+VLOOKUP(A48,'(2019-20)'!A:J,5,FALSE)+VLOOKUP(A48,'(2019-20)'!A:J,6,FALSE)+VLOOKUP(A48,'(2019-20)'!A:J,8,FALSE)</f>
        <v>104</v>
      </c>
      <c r="D48" s="33">
        <f t="shared" si="0"/>
        <v>0.15555555555555545</v>
      </c>
      <c r="F48" s="18"/>
      <c r="G48" s="18"/>
      <c r="H48" s="33"/>
    </row>
    <row r="49" spans="1:8" x14ac:dyDescent="0.35">
      <c r="A49" t="s">
        <v>29</v>
      </c>
      <c r="B49" s="18">
        <f>VLOOKUP(A49,'(2018-19)'!A:J,2,FALSE)+VLOOKUP(A49,'(2018-19)'!A:J,3,FALSE)+VLOOKUP(A49,'(2018-19)'!A:J,5,FALSE)+VLOOKUP(A49,'(2018-19)'!A:J,6,FALSE)+VLOOKUP(A49,'(2018-19)'!A:J,8,FALSE)</f>
        <v>495</v>
      </c>
      <c r="C49" s="18">
        <f>VLOOKUP(A49,'(2019-20)'!A:J,2,FALSE)+VLOOKUP(A49,'(2019-20)'!A:J,3,FALSE)+VLOOKUP(A49,'(2019-20)'!A:J,5,FALSE)+VLOOKUP(A49,'(2019-20)'!A:J,6,FALSE)+VLOOKUP(A49,'(2019-20)'!A:J,8,FALSE)</f>
        <v>433</v>
      </c>
      <c r="D49" s="33">
        <f t="shared" si="0"/>
        <v>-0.12525252525252528</v>
      </c>
      <c r="F49" s="18"/>
      <c r="G49" s="18"/>
      <c r="H49" s="3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6F0F-11ED-4C0B-9E97-67B39DC25110}">
  <sheetPr codeName="Sheet18">
    <tabColor rgb="FFFF0000"/>
  </sheetPr>
  <dimension ref="A1:E226"/>
  <sheetViews>
    <sheetView workbookViewId="0">
      <selection activeCell="C24" sqref="C24"/>
    </sheetView>
  </sheetViews>
  <sheetFormatPr defaultRowHeight="14.5" x14ac:dyDescent="0.35"/>
  <cols>
    <col min="2" max="2" width="22.7265625" bestFit="1" customWidth="1"/>
    <col min="3" max="3" width="14.453125" bestFit="1" customWidth="1"/>
    <col min="4" max="4" width="18" bestFit="1" customWidth="1"/>
  </cols>
  <sheetData>
    <row r="1" spans="1: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35">
      <c r="A2">
        <v>2019</v>
      </c>
      <c r="B2" t="s">
        <v>13</v>
      </c>
      <c r="C2" t="s">
        <v>82</v>
      </c>
      <c r="D2" t="s">
        <v>83</v>
      </c>
      <c r="E2">
        <v>40</v>
      </c>
    </row>
    <row r="3" spans="1:5" x14ac:dyDescent="0.35">
      <c r="A3">
        <v>2019</v>
      </c>
      <c r="B3" t="s">
        <v>14</v>
      </c>
      <c r="C3" t="s">
        <v>82</v>
      </c>
      <c r="D3" t="s">
        <v>83</v>
      </c>
      <c r="E3">
        <v>0</v>
      </c>
    </row>
    <row r="4" spans="1:5" x14ac:dyDescent="0.35">
      <c r="A4">
        <v>2019</v>
      </c>
      <c r="B4" t="s">
        <v>15</v>
      </c>
      <c r="C4" t="s">
        <v>82</v>
      </c>
      <c r="D4" t="s">
        <v>83</v>
      </c>
      <c r="E4">
        <v>17</v>
      </c>
    </row>
    <row r="5" spans="1:5" x14ac:dyDescent="0.35">
      <c r="A5">
        <v>2019</v>
      </c>
      <c r="B5" t="s">
        <v>16</v>
      </c>
      <c r="C5" t="s">
        <v>82</v>
      </c>
      <c r="D5" t="s">
        <v>83</v>
      </c>
      <c r="E5">
        <v>14</v>
      </c>
    </row>
    <row r="6" spans="1:5" x14ac:dyDescent="0.35">
      <c r="A6">
        <v>2019</v>
      </c>
      <c r="B6" t="s">
        <v>17</v>
      </c>
      <c r="C6" t="s">
        <v>82</v>
      </c>
      <c r="D6" t="s">
        <v>83</v>
      </c>
      <c r="E6">
        <v>12</v>
      </c>
    </row>
    <row r="7" spans="1:5" x14ac:dyDescent="0.35">
      <c r="A7">
        <v>2019</v>
      </c>
      <c r="B7" t="s">
        <v>18</v>
      </c>
      <c r="C7" t="s">
        <v>82</v>
      </c>
      <c r="D7" t="s">
        <v>83</v>
      </c>
      <c r="E7">
        <v>24</v>
      </c>
    </row>
    <row r="8" spans="1:5" x14ac:dyDescent="0.35">
      <c r="A8">
        <v>2019</v>
      </c>
      <c r="B8" t="s">
        <v>19</v>
      </c>
      <c r="C8" t="s">
        <v>82</v>
      </c>
      <c r="D8" t="s">
        <v>83</v>
      </c>
      <c r="E8">
        <v>6</v>
      </c>
    </row>
    <row r="9" spans="1:5" x14ac:dyDescent="0.35">
      <c r="A9">
        <v>2019</v>
      </c>
      <c r="B9" t="s">
        <v>20</v>
      </c>
      <c r="C9" t="s">
        <v>82</v>
      </c>
      <c r="D9" t="s">
        <v>83</v>
      </c>
      <c r="E9">
        <v>7</v>
      </c>
    </row>
    <row r="10" spans="1:5" x14ac:dyDescent="0.35">
      <c r="A10">
        <v>2019</v>
      </c>
      <c r="B10" t="s">
        <v>21</v>
      </c>
      <c r="C10" t="s">
        <v>82</v>
      </c>
      <c r="D10" t="s">
        <v>83</v>
      </c>
      <c r="E10">
        <v>19</v>
      </c>
    </row>
    <row r="11" spans="1:5" x14ac:dyDescent="0.35">
      <c r="A11">
        <v>2019</v>
      </c>
      <c r="B11" t="s">
        <v>22</v>
      </c>
      <c r="C11" t="s">
        <v>82</v>
      </c>
      <c r="D11" t="s">
        <v>83</v>
      </c>
      <c r="E11">
        <v>11</v>
      </c>
    </row>
    <row r="12" spans="1:5" x14ac:dyDescent="0.35">
      <c r="A12">
        <v>2019</v>
      </c>
      <c r="B12" t="s">
        <v>23</v>
      </c>
      <c r="C12" t="s">
        <v>82</v>
      </c>
      <c r="D12" t="s">
        <v>83</v>
      </c>
      <c r="E12">
        <v>59</v>
      </c>
    </row>
    <row r="13" spans="1:5" x14ac:dyDescent="0.35">
      <c r="A13">
        <v>2019</v>
      </c>
      <c r="B13" t="s">
        <v>25</v>
      </c>
      <c r="C13" t="s">
        <v>82</v>
      </c>
      <c r="D13" t="s">
        <v>83</v>
      </c>
      <c r="E13">
        <v>6</v>
      </c>
    </row>
    <row r="14" spans="1:5" x14ac:dyDescent="0.35">
      <c r="A14">
        <v>2019</v>
      </c>
      <c r="B14" t="s">
        <v>26</v>
      </c>
      <c r="C14" t="s">
        <v>82</v>
      </c>
      <c r="D14" t="s">
        <v>83</v>
      </c>
      <c r="E14">
        <v>9</v>
      </c>
    </row>
    <row r="15" spans="1:5" x14ac:dyDescent="0.35">
      <c r="A15">
        <v>2019</v>
      </c>
      <c r="B15" t="s">
        <v>27</v>
      </c>
      <c r="C15" t="s">
        <v>82</v>
      </c>
      <c r="D15" t="s">
        <v>83</v>
      </c>
      <c r="E15">
        <v>41</v>
      </c>
    </row>
    <row r="16" spans="1:5" x14ac:dyDescent="0.35">
      <c r="A16">
        <v>2019</v>
      </c>
      <c r="B16" t="s">
        <v>28</v>
      </c>
      <c r="C16" t="s">
        <v>82</v>
      </c>
      <c r="D16" t="s">
        <v>83</v>
      </c>
      <c r="E16">
        <v>14</v>
      </c>
    </row>
    <row r="17" spans="1:5" x14ac:dyDescent="0.35">
      <c r="A17">
        <v>2019</v>
      </c>
      <c r="B17" t="s">
        <v>29</v>
      </c>
      <c r="C17" t="s">
        <v>82</v>
      </c>
      <c r="D17" t="s">
        <v>83</v>
      </c>
      <c r="E17">
        <v>203</v>
      </c>
    </row>
    <row r="18" spans="1:5" x14ac:dyDescent="0.35">
      <c r="A18">
        <v>2019</v>
      </c>
      <c r="B18" t="s">
        <v>30</v>
      </c>
      <c r="C18" t="s">
        <v>82</v>
      </c>
      <c r="D18" t="s">
        <v>83</v>
      </c>
      <c r="E18">
        <v>23</v>
      </c>
    </row>
    <row r="19" spans="1:5" x14ac:dyDescent="0.35">
      <c r="A19">
        <v>2019</v>
      </c>
      <c r="B19" t="s">
        <v>31</v>
      </c>
      <c r="C19" t="s">
        <v>82</v>
      </c>
      <c r="D19" t="s">
        <v>83</v>
      </c>
      <c r="E19">
        <v>28</v>
      </c>
    </row>
    <row r="20" spans="1:5" x14ac:dyDescent="0.35">
      <c r="A20">
        <v>2019</v>
      </c>
      <c r="B20" t="s">
        <v>32</v>
      </c>
      <c r="C20" t="s">
        <v>82</v>
      </c>
      <c r="D20" t="s">
        <v>83</v>
      </c>
      <c r="E20">
        <v>9</v>
      </c>
    </row>
    <row r="21" spans="1:5" x14ac:dyDescent="0.35">
      <c r="A21">
        <v>2019</v>
      </c>
      <c r="B21" t="s">
        <v>33</v>
      </c>
      <c r="C21" t="s">
        <v>82</v>
      </c>
      <c r="D21" t="s">
        <v>83</v>
      </c>
      <c r="E21">
        <v>21</v>
      </c>
    </row>
    <row r="22" spans="1:5" x14ac:dyDescent="0.35">
      <c r="A22">
        <v>2019</v>
      </c>
      <c r="B22" t="s">
        <v>34</v>
      </c>
      <c r="C22" t="s">
        <v>82</v>
      </c>
      <c r="D22" t="s">
        <v>83</v>
      </c>
      <c r="E22">
        <v>14</v>
      </c>
    </row>
    <row r="23" spans="1:5" x14ac:dyDescent="0.35">
      <c r="A23">
        <v>2019</v>
      </c>
      <c r="B23" t="s">
        <v>76</v>
      </c>
      <c r="C23" t="s">
        <v>82</v>
      </c>
      <c r="D23" t="s">
        <v>83</v>
      </c>
      <c r="E23">
        <v>5</v>
      </c>
    </row>
    <row r="24" spans="1:5" x14ac:dyDescent="0.35">
      <c r="A24">
        <v>2019</v>
      </c>
      <c r="B24" t="s">
        <v>36</v>
      </c>
      <c r="C24" t="s">
        <v>82</v>
      </c>
      <c r="D24" t="s">
        <v>83</v>
      </c>
      <c r="E24">
        <v>0</v>
      </c>
    </row>
    <row r="25" spans="1:5" x14ac:dyDescent="0.35">
      <c r="A25">
        <v>2019</v>
      </c>
      <c r="B25" t="s">
        <v>37</v>
      </c>
      <c r="C25" t="s">
        <v>82</v>
      </c>
      <c r="D25" t="s">
        <v>83</v>
      </c>
      <c r="E25">
        <v>39</v>
      </c>
    </row>
    <row r="26" spans="1:5" x14ac:dyDescent="0.35">
      <c r="A26">
        <v>2019</v>
      </c>
      <c r="B26" t="s">
        <v>38</v>
      </c>
      <c r="C26" t="s">
        <v>82</v>
      </c>
      <c r="D26" t="s">
        <v>83</v>
      </c>
      <c r="E26">
        <v>16</v>
      </c>
    </row>
    <row r="27" spans="1:5" x14ac:dyDescent="0.35">
      <c r="A27">
        <v>2019</v>
      </c>
      <c r="B27" t="s">
        <v>39</v>
      </c>
      <c r="C27" t="s">
        <v>82</v>
      </c>
      <c r="D27" t="s">
        <v>83</v>
      </c>
      <c r="E27">
        <v>10</v>
      </c>
    </row>
    <row r="28" spans="1:5" x14ac:dyDescent="0.35">
      <c r="A28">
        <v>2019</v>
      </c>
      <c r="B28" t="s">
        <v>40</v>
      </c>
      <c r="C28" t="s">
        <v>82</v>
      </c>
      <c r="D28" t="s">
        <v>83</v>
      </c>
      <c r="E28">
        <v>6</v>
      </c>
    </row>
    <row r="29" spans="1:5" x14ac:dyDescent="0.35">
      <c r="A29">
        <v>2019</v>
      </c>
      <c r="B29" t="s">
        <v>41</v>
      </c>
      <c r="C29" t="s">
        <v>82</v>
      </c>
      <c r="D29" t="s">
        <v>83</v>
      </c>
      <c r="E29">
        <v>17</v>
      </c>
    </row>
    <row r="30" spans="1:5" x14ac:dyDescent="0.35">
      <c r="A30">
        <v>2019</v>
      </c>
      <c r="B30" t="s">
        <v>42</v>
      </c>
      <c r="C30" t="s">
        <v>82</v>
      </c>
      <c r="D30" t="s">
        <v>83</v>
      </c>
      <c r="E30">
        <v>42</v>
      </c>
    </row>
    <row r="31" spans="1:5" x14ac:dyDescent="0.35">
      <c r="A31">
        <v>2019</v>
      </c>
      <c r="B31" t="s">
        <v>43</v>
      </c>
      <c r="C31" t="s">
        <v>82</v>
      </c>
      <c r="D31" t="s">
        <v>83</v>
      </c>
      <c r="E31">
        <v>17</v>
      </c>
    </row>
    <row r="32" spans="1:5" x14ac:dyDescent="0.35">
      <c r="A32">
        <v>2019</v>
      </c>
      <c r="B32" t="s">
        <v>44</v>
      </c>
      <c r="C32" t="s">
        <v>82</v>
      </c>
      <c r="D32" t="s">
        <v>83</v>
      </c>
      <c r="E32">
        <v>0</v>
      </c>
    </row>
    <row r="33" spans="1:5" x14ac:dyDescent="0.35">
      <c r="A33">
        <v>2019</v>
      </c>
      <c r="B33" t="s">
        <v>45</v>
      </c>
      <c r="C33" t="s">
        <v>82</v>
      </c>
      <c r="D33" t="s">
        <v>83</v>
      </c>
      <c r="E33">
        <v>14</v>
      </c>
    </row>
    <row r="34" spans="1:5" x14ac:dyDescent="0.35">
      <c r="A34">
        <v>2019</v>
      </c>
      <c r="B34" t="s">
        <v>46</v>
      </c>
      <c r="C34" t="s">
        <v>82</v>
      </c>
      <c r="D34" t="s">
        <v>83</v>
      </c>
      <c r="E34">
        <v>22</v>
      </c>
    </row>
    <row r="35" spans="1:5" x14ac:dyDescent="0.35">
      <c r="A35">
        <v>2019</v>
      </c>
      <c r="B35" t="s">
        <v>47</v>
      </c>
      <c r="C35" t="s">
        <v>82</v>
      </c>
      <c r="D35" t="s">
        <v>83</v>
      </c>
      <c r="E35">
        <v>21</v>
      </c>
    </row>
    <row r="36" spans="1:5" x14ac:dyDescent="0.35">
      <c r="A36">
        <v>2019</v>
      </c>
      <c r="B36" t="s">
        <v>48</v>
      </c>
      <c r="C36" t="s">
        <v>82</v>
      </c>
      <c r="D36" t="s">
        <v>83</v>
      </c>
      <c r="E36">
        <v>16</v>
      </c>
    </row>
    <row r="37" spans="1:5" x14ac:dyDescent="0.35">
      <c r="A37">
        <v>2019</v>
      </c>
      <c r="B37" t="s">
        <v>49</v>
      </c>
      <c r="C37" t="s">
        <v>82</v>
      </c>
      <c r="D37" t="s">
        <v>83</v>
      </c>
      <c r="E37">
        <v>16</v>
      </c>
    </row>
    <row r="38" spans="1:5" x14ac:dyDescent="0.35">
      <c r="A38">
        <v>2019</v>
      </c>
      <c r="B38" t="s">
        <v>50</v>
      </c>
      <c r="C38" t="s">
        <v>82</v>
      </c>
      <c r="D38" t="s">
        <v>83</v>
      </c>
      <c r="E38">
        <v>25</v>
      </c>
    </row>
    <row r="39" spans="1:5" x14ac:dyDescent="0.35">
      <c r="A39">
        <v>2019</v>
      </c>
      <c r="B39" t="s">
        <v>51</v>
      </c>
      <c r="C39" t="s">
        <v>82</v>
      </c>
      <c r="D39" t="s">
        <v>83</v>
      </c>
      <c r="E39">
        <v>10</v>
      </c>
    </row>
    <row r="40" spans="1:5" x14ac:dyDescent="0.35">
      <c r="A40">
        <v>2019</v>
      </c>
      <c r="B40" t="s">
        <v>52</v>
      </c>
      <c r="C40" t="s">
        <v>82</v>
      </c>
      <c r="D40" t="s">
        <v>83</v>
      </c>
      <c r="E40">
        <v>17</v>
      </c>
    </row>
    <row r="41" spans="1:5" x14ac:dyDescent="0.35">
      <c r="A41">
        <v>2019</v>
      </c>
      <c r="B41" t="s">
        <v>53</v>
      </c>
      <c r="C41" t="s">
        <v>82</v>
      </c>
      <c r="D41" t="s">
        <v>83</v>
      </c>
      <c r="E41">
        <v>11</v>
      </c>
    </row>
    <row r="42" spans="1:5" x14ac:dyDescent="0.35">
      <c r="A42">
        <v>2019</v>
      </c>
      <c r="B42" t="s">
        <v>54</v>
      </c>
      <c r="C42" t="s">
        <v>82</v>
      </c>
      <c r="D42" t="s">
        <v>83</v>
      </c>
      <c r="E42">
        <v>5</v>
      </c>
    </row>
    <row r="43" spans="1:5" x14ac:dyDescent="0.35">
      <c r="A43">
        <v>2019</v>
      </c>
      <c r="B43" t="s">
        <v>55</v>
      </c>
      <c r="C43" t="s">
        <v>82</v>
      </c>
      <c r="D43" t="s">
        <v>83</v>
      </c>
      <c r="E43">
        <v>27</v>
      </c>
    </row>
    <row r="44" spans="1:5" x14ac:dyDescent="0.35">
      <c r="A44">
        <v>2019</v>
      </c>
      <c r="B44" t="s">
        <v>56</v>
      </c>
      <c r="C44" t="s">
        <v>82</v>
      </c>
      <c r="D44" t="s">
        <v>83</v>
      </c>
      <c r="E44">
        <v>11</v>
      </c>
    </row>
    <row r="45" spans="1:5" x14ac:dyDescent="0.35">
      <c r="A45">
        <v>2019</v>
      </c>
      <c r="B45" t="s">
        <v>57</v>
      </c>
      <c r="C45" t="s">
        <v>82</v>
      </c>
      <c r="D45" t="s">
        <v>83</v>
      </c>
      <c r="E45">
        <v>33</v>
      </c>
    </row>
    <row r="46" spans="1:5" x14ac:dyDescent="0.35">
      <c r="A46">
        <v>2019</v>
      </c>
      <c r="B46" t="s">
        <v>24</v>
      </c>
      <c r="C46" t="s">
        <v>82</v>
      </c>
      <c r="D46" t="s">
        <v>83</v>
      </c>
      <c r="E46">
        <v>13</v>
      </c>
    </row>
    <row r="47" spans="1:5" x14ac:dyDescent="0.35">
      <c r="A47">
        <v>2019</v>
      </c>
      <c r="B47" t="s">
        <v>13</v>
      </c>
      <c r="C47" t="s">
        <v>82</v>
      </c>
      <c r="D47" t="s">
        <v>84</v>
      </c>
      <c r="E47">
        <v>22</v>
      </c>
    </row>
    <row r="48" spans="1:5" x14ac:dyDescent="0.35">
      <c r="A48">
        <v>2019</v>
      </c>
      <c r="B48" t="s">
        <v>14</v>
      </c>
      <c r="C48" t="s">
        <v>82</v>
      </c>
      <c r="D48" t="s">
        <v>84</v>
      </c>
      <c r="E48">
        <v>32</v>
      </c>
    </row>
    <row r="49" spans="1:5" x14ac:dyDescent="0.35">
      <c r="A49">
        <v>2019</v>
      </c>
      <c r="B49" t="s">
        <v>15</v>
      </c>
      <c r="C49" t="s">
        <v>82</v>
      </c>
      <c r="D49" t="s">
        <v>84</v>
      </c>
      <c r="E49">
        <v>12</v>
      </c>
    </row>
    <row r="50" spans="1:5" x14ac:dyDescent="0.35">
      <c r="A50">
        <v>2019</v>
      </c>
      <c r="B50" t="s">
        <v>16</v>
      </c>
      <c r="C50" t="s">
        <v>82</v>
      </c>
      <c r="D50" t="s">
        <v>84</v>
      </c>
      <c r="E50">
        <v>18</v>
      </c>
    </row>
    <row r="51" spans="1:5" x14ac:dyDescent="0.35">
      <c r="A51">
        <v>2019</v>
      </c>
      <c r="B51" t="s">
        <v>17</v>
      </c>
      <c r="C51" t="s">
        <v>82</v>
      </c>
      <c r="D51" t="s">
        <v>84</v>
      </c>
      <c r="E51">
        <v>7</v>
      </c>
    </row>
    <row r="52" spans="1:5" x14ac:dyDescent="0.35">
      <c r="A52">
        <v>2019</v>
      </c>
      <c r="B52" t="s">
        <v>18</v>
      </c>
      <c r="C52" t="s">
        <v>82</v>
      </c>
      <c r="D52" t="s">
        <v>84</v>
      </c>
      <c r="E52">
        <v>43</v>
      </c>
    </row>
    <row r="53" spans="1:5" x14ac:dyDescent="0.35">
      <c r="A53">
        <v>2019</v>
      </c>
      <c r="B53" t="s">
        <v>19</v>
      </c>
      <c r="C53" t="s">
        <v>82</v>
      </c>
      <c r="D53" t="s">
        <v>84</v>
      </c>
      <c r="E53">
        <v>15</v>
      </c>
    </row>
    <row r="54" spans="1:5" x14ac:dyDescent="0.35">
      <c r="A54">
        <v>2019</v>
      </c>
      <c r="B54" t="s">
        <v>20</v>
      </c>
      <c r="C54" t="s">
        <v>82</v>
      </c>
      <c r="D54" t="s">
        <v>84</v>
      </c>
      <c r="E54">
        <v>4</v>
      </c>
    </row>
    <row r="55" spans="1:5" x14ac:dyDescent="0.35">
      <c r="A55">
        <v>2019</v>
      </c>
      <c r="B55" t="s">
        <v>21</v>
      </c>
      <c r="C55" t="s">
        <v>82</v>
      </c>
      <c r="D55" t="s">
        <v>84</v>
      </c>
      <c r="E55">
        <v>18</v>
      </c>
    </row>
    <row r="56" spans="1:5" x14ac:dyDescent="0.35">
      <c r="A56">
        <v>2019</v>
      </c>
      <c r="B56" t="s">
        <v>22</v>
      </c>
      <c r="C56" t="s">
        <v>82</v>
      </c>
      <c r="D56" t="s">
        <v>84</v>
      </c>
      <c r="E56">
        <v>18</v>
      </c>
    </row>
    <row r="57" spans="1:5" x14ac:dyDescent="0.35">
      <c r="A57">
        <v>2019</v>
      </c>
      <c r="B57" t="s">
        <v>23</v>
      </c>
      <c r="C57" t="s">
        <v>82</v>
      </c>
      <c r="D57" t="s">
        <v>84</v>
      </c>
      <c r="E57">
        <v>48</v>
      </c>
    </row>
    <row r="58" spans="1:5" x14ac:dyDescent="0.35">
      <c r="A58">
        <v>2019</v>
      </c>
      <c r="B58" t="s">
        <v>25</v>
      </c>
      <c r="C58" t="s">
        <v>82</v>
      </c>
      <c r="D58" t="s">
        <v>84</v>
      </c>
      <c r="E58">
        <v>13</v>
      </c>
    </row>
    <row r="59" spans="1:5" x14ac:dyDescent="0.35">
      <c r="A59">
        <v>2019</v>
      </c>
      <c r="B59" t="s">
        <v>26</v>
      </c>
      <c r="C59" t="s">
        <v>82</v>
      </c>
      <c r="D59" t="s">
        <v>84</v>
      </c>
      <c r="E59">
        <v>26</v>
      </c>
    </row>
    <row r="60" spans="1:5" x14ac:dyDescent="0.35">
      <c r="A60">
        <v>2019</v>
      </c>
      <c r="B60" t="s">
        <v>27</v>
      </c>
      <c r="C60" t="s">
        <v>82</v>
      </c>
      <c r="D60" t="s">
        <v>84</v>
      </c>
      <c r="E60">
        <v>45</v>
      </c>
    </row>
    <row r="61" spans="1:5" x14ac:dyDescent="0.35">
      <c r="A61">
        <v>2019</v>
      </c>
      <c r="B61" t="s">
        <v>28</v>
      </c>
      <c r="C61" t="s">
        <v>82</v>
      </c>
      <c r="D61" t="s">
        <v>84</v>
      </c>
      <c r="E61">
        <v>11</v>
      </c>
    </row>
    <row r="62" spans="1:5" x14ac:dyDescent="0.35">
      <c r="A62">
        <v>2019</v>
      </c>
      <c r="B62" t="s">
        <v>29</v>
      </c>
      <c r="C62" t="s">
        <v>82</v>
      </c>
      <c r="D62" t="s">
        <v>84</v>
      </c>
      <c r="E62">
        <v>266</v>
      </c>
    </row>
    <row r="63" spans="1:5" x14ac:dyDescent="0.35">
      <c r="A63">
        <v>2019</v>
      </c>
      <c r="B63" t="s">
        <v>30</v>
      </c>
      <c r="C63" t="s">
        <v>82</v>
      </c>
      <c r="D63" t="s">
        <v>84</v>
      </c>
      <c r="E63">
        <v>38</v>
      </c>
    </row>
    <row r="64" spans="1:5" x14ac:dyDescent="0.35">
      <c r="A64">
        <v>2019</v>
      </c>
      <c r="B64" t="s">
        <v>31</v>
      </c>
      <c r="C64" t="s">
        <v>82</v>
      </c>
      <c r="D64" t="s">
        <v>84</v>
      </c>
      <c r="E64">
        <v>38</v>
      </c>
    </row>
    <row r="65" spans="1:5" x14ac:dyDescent="0.35">
      <c r="A65">
        <v>2019</v>
      </c>
      <c r="B65" t="s">
        <v>32</v>
      </c>
      <c r="C65" t="s">
        <v>82</v>
      </c>
      <c r="D65" t="s">
        <v>84</v>
      </c>
      <c r="E65">
        <v>20</v>
      </c>
    </row>
    <row r="66" spans="1:5" x14ac:dyDescent="0.35">
      <c r="A66">
        <v>2019</v>
      </c>
      <c r="B66" t="s">
        <v>33</v>
      </c>
      <c r="C66" t="s">
        <v>82</v>
      </c>
      <c r="D66" t="s">
        <v>84</v>
      </c>
      <c r="E66">
        <v>23</v>
      </c>
    </row>
    <row r="67" spans="1:5" x14ac:dyDescent="0.35">
      <c r="A67">
        <v>2019</v>
      </c>
      <c r="B67" t="s">
        <v>34</v>
      </c>
      <c r="C67" t="s">
        <v>82</v>
      </c>
      <c r="D67" t="s">
        <v>84</v>
      </c>
      <c r="E67">
        <v>6</v>
      </c>
    </row>
    <row r="68" spans="1:5" x14ac:dyDescent="0.35">
      <c r="A68">
        <v>2019</v>
      </c>
      <c r="B68" t="s">
        <v>76</v>
      </c>
      <c r="C68" t="s">
        <v>82</v>
      </c>
      <c r="D68" t="s">
        <v>84</v>
      </c>
      <c r="E68">
        <v>4</v>
      </c>
    </row>
    <row r="69" spans="1:5" x14ac:dyDescent="0.35">
      <c r="A69">
        <v>2019</v>
      </c>
      <c r="B69" t="s">
        <v>36</v>
      </c>
      <c r="C69" t="s">
        <v>82</v>
      </c>
      <c r="D69" t="s">
        <v>84</v>
      </c>
      <c r="E69">
        <v>0</v>
      </c>
    </row>
    <row r="70" spans="1:5" x14ac:dyDescent="0.35">
      <c r="A70">
        <v>2019</v>
      </c>
      <c r="B70" t="s">
        <v>37</v>
      </c>
      <c r="C70" t="s">
        <v>82</v>
      </c>
      <c r="D70" t="s">
        <v>84</v>
      </c>
      <c r="E70">
        <v>41</v>
      </c>
    </row>
    <row r="71" spans="1:5" x14ac:dyDescent="0.35">
      <c r="A71">
        <v>2019</v>
      </c>
      <c r="B71" t="s">
        <v>38</v>
      </c>
      <c r="C71" t="s">
        <v>82</v>
      </c>
      <c r="D71" t="s">
        <v>84</v>
      </c>
      <c r="E71">
        <v>36</v>
      </c>
    </row>
    <row r="72" spans="1:5" x14ac:dyDescent="0.35">
      <c r="A72">
        <v>2019</v>
      </c>
      <c r="B72" t="s">
        <v>39</v>
      </c>
      <c r="C72" t="s">
        <v>82</v>
      </c>
      <c r="D72" t="s">
        <v>84</v>
      </c>
      <c r="E72">
        <v>16</v>
      </c>
    </row>
    <row r="73" spans="1:5" x14ac:dyDescent="0.35">
      <c r="A73">
        <v>2019</v>
      </c>
      <c r="B73" t="s">
        <v>40</v>
      </c>
      <c r="C73" t="s">
        <v>82</v>
      </c>
      <c r="D73" t="s">
        <v>84</v>
      </c>
      <c r="E73">
        <v>22</v>
      </c>
    </row>
    <row r="74" spans="1:5" x14ac:dyDescent="0.35">
      <c r="A74">
        <v>2019</v>
      </c>
      <c r="B74" t="s">
        <v>41</v>
      </c>
      <c r="C74" t="s">
        <v>82</v>
      </c>
      <c r="D74" t="s">
        <v>84</v>
      </c>
      <c r="E74">
        <v>44</v>
      </c>
    </row>
    <row r="75" spans="1:5" x14ac:dyDescent="0.35">
      <c r="A75">
        <v>2019</v>
      </c>
      <c r="B75" t="s">
        <v>42</v>
      </c>
      <c r="C75" t="s">
        <v>82</v>
      </c>
      <c r="D75" t="s">
        <v>84</v>
      </c>
      <c r="E75">
        <v>13</v>
      </c>
    </row>
    <row r="76" spans="1:5" x14ac:dyDescent="0.35">
      <c r="A76">
        <v>2019</v>
      </c>
      <c r="B76" t="s">
        <v>43</v>
      </c>
      <c r="C76" t="s">
        <v>82</v>
      </c>
      <c r="D76" t="s">
        <v>84</v>
      </c>
      <c r="E76">
        <v>15</v>
      </c>
    </row>
    <row r="77" spans="1:5" x14ac:dyDescent="0.35">
      <c r="A77">
        <v>2019</v>
      </c>
      <c r="B77" t="s">
        <v>44</v>
      </c>
      <c r="C77" t="s">
        <v>82</v>
      </c>
      <c r="D77" t="s">
        <v>84</v>
      </c>
      <c r="E77">
        <v>17</v>
      </c>
    </row>
    <row r="78" spans="1:5" x14ac:dyDescent="0.35">
      <c r="A78">
        <v>2019</v>
      </c>
      <c r="B78" t="s">
        <v>45</v>
      </c>
      <c r="C78" t="s">
        <v>82</v>
      </c>
      <c r="D78" t="s">
        <v>84</v>
      </c>
      <c r="E78">
        <v>7</v>
      </c>
    </row>
    <row r="79" spans="1:5" x14ac:dyDescent="0.35">
      <c r="A79">
        <v>2019</v>
      </c>
      <c r="B79" t="s">
        <v>46</v>
      </c>
      <c r="C79" t="s">
        <v>82</v>
      </c>
      <c r="D79" t="s">
        <v>84</v>
      </c>
      <c r="E79">
        <v>23</v>
      </c>
    </row>
    <row r="80" spans="1:5" x14ac:dyDescent="0.35">
      <c r="A80">
        <v>2019</v>
      </c>
      <c r="B80" t="s">
        <v>47</v>
      </c>
      <c r="C80" t="s">
        <v>82</v>
      </c>
      <c r="D80" t="s">
        <v>84</v>
      </c>
      <c r="E80">
        <v>24</v>
      </c>
    </row>
    <row r="81" spans="1:5" x14ac:dyDescent="0.35">
      <c r="A81">
        <v>2019</v>
      </c>
      <c r="B81" t="s">
        <v>48</v>
      </c>
      <c r="C81" t="s">
        <v>82</v>
      </c>
      <c r="D81" t="s">
        <v>84</v>
      </c>
      <c r="E81">
        <v>12</v>
      </c>
    </row>
    <row r="82" spans="1:5" x14ac:dyDescent="0.35">
      <c r="A82">
        <v>2019</v>
      </c>
      <c r="B82" t="s">
        <v>49</v>
      </c>
      <c r="C82" t="s">
        <v>82</v>
      </c>
      <c r="D82" t="s">
        <v>84</v>
      </c>
      <c r="E82">
        <v>22</v>
      </c>
    </row>
    <row r="83" spans="1:5" x14ac:dyDescent="0.35">
      <c r="A83">
        <v>2019</v>
      </c>
      <c r="B83" t="s">
        <v>50</v>
      </c>
      <c r="C83" t="s">
        <v>82</v>
      </c>
      <c r="D83" t="s">
        <v>84</v>
      </c>
      <c r="E83">
        <v>11</v>
      </c>
    </row>
    <row r="84" spans="1:5" x14ac:dyDescent="0.35">
      <c r="A84">
        <v>2019</v>
      </c>
      <c r="B84" t="s">
        <v>51</v>
      </c>
      <c r="C84" t="s">
        <v>82</v>
      </c>
      <c r="D84" t="s">
        <v>84</v>
      </c>
      <c r="E84">
        <v>10</v>
      </c>
    </row>
    <row r="85" spans="1:5" x14ac:dyDescent="0.35">
      <c r="A85">
        <v>2019</v>
      </c>
      <c r="B85" t="s">
        <v>52</v>
      </c>
      <c r="C85" t="s">
        <v>82</v>
      </c>
      <c r="D85" t="s">
        <v>84</v>
      </c>
      <c r="E85">
        <v>24</v>
      </c>
    </row>
    <row r="86" spans="1:5" x14ac:dyDescent="0.35">
      <c r="A86">
        <v>2019</v>
      </c>
      <c r="B86" t="s">
        <v>53</v>
      </c>
      <c r="C86" t="s">
        <v>82</v>
      </c>
      <c r="D86" t="s">
        <v>84</v>
      </c>
      <c r="E86">
        <v>27</v>
      </c>
    </row>
    <row r="87" spans="1:5" x14ac:dyDescent="0.35">
      <c r="A87">
        <v>2019</v>
      </c>
      <c r="B87" t="s">
        <v>54</v>
      </c>
      <c r="C87" t="s">
        <v>82</v>
      </c>
      <c r="D87" t="s">
        <v>84</v>
      </c>
      <c r="E87">
        <v>13</v>
      </c>
    </row>
    <row r="88" spans="1:5" x14ac:dyDescent="0.35">
      <c r="A88">
        <v>2019</v>
      </c>
      <c r="B88" t="s">
        <v>55</v>
      </c>
      <c r="C88" t="s">
        <v>82</v>
      </c>
      <c r="D88" t="s">
        <v>84</v>
      </c>
      <c r="E88">
        <v>43</v>
      </c>
    </row>
    <row r="89" spans="1:5" x14ac:dyDescent="0.35">
      <c r="A89">
        <v>2019</v>
      </c>
      <c r="B89" t="s">
        <v>56</v>
      </c>
      <c r="C89" t="s">
        <v>82</v>
      </c>
      <c r="D89" t="s">
        <v>84</v>
      </c>
      <c r="E89">
        <v>19</v>
      </c>
    </row>
    <row r="90" spans="1:5" x14ac:dyDescent="0.35">
      <c r="A90">
        <v>2019</v>
      </c>
      <c r="B90" t="s">
        <v>57</v>
      </c>
      <c r="C90" t="s">
        <v>82</v>
      </c>
      <c r="D90" t="s">
        <v>84</v>
      </c>
      <c r="E90">
        <v>31</v>
      </c>
    </row>
    <row r="91" spans="1:5" x14ac:dyDescent="0.35">
      <c r="A91">
        <v>2019</v>
      </c>
      <c r="B91" t="s">
        <v>24</v>
      </c>
      <c r="C91" t="s">
        <v>82</v>
      </c>
      <c r="D91" t="s">
        <v>84</v>
      </c>
      <c r="E91">
        <v>30</v>
      </c>
    </row>
    <row r="92" spans="1:5" x14ac:dyDescent="0.35">
      <c r="A92">
        <v>2019</v>
      </c>
      <c r="B92" t="s">
        <v>13</v>
      </c>
      <c r="C92" t="s">
        <v>85</v>
      </c>
      <c r="D92" t="s">
        <v>83</v>
      </c>
      <c r="E92">
        <v>5</v>
      </c>
    </row>
    <row r="93" spans="1:5" x14ac:dyDescent="0.35">
      <c r="A93">
        <v>2019</v>
      </c>
      <c r="B93" t="s">
        <v>14</v>
      </c>
      <c r="C93" t="s">
        <v>85</v>
      </c>
      <c r="D93" t="s">
        <v>83</v>
      </c>
      <c r="E93">
        <v>0</v>
      </c>
    </row>
    <row r="94" spans="1:5" x14ac:dyDescent="0.35">
      <c r="A94">
        <v>2019</v>
      </c>
      <c r="B94" t="s">
        <v>15</v>
      </c>
      <c r="C94" t="s">
        <v>85</v>
      </c>
      <c r="D94" t="s">
        <v>83</v>
      </c>
      <c r="E94">
        <v>2</v>
      </c>
    </row>
    <row r="95" spans="1:5" x14ac:dyDescent="0.35">
      <c r="A95">
        <v>2019</v>
      </c>
      <c r="B95" t="s">
        <v>16</v>
      </c>
      <c r="C95" t="s">
        <v>85</v>
      </c>
      <c r="D95" t="s">
        <v>83</v>
      </c>
      <c r="E95">
        <v>4</v>
      </c>
    </row>
    <row r="96" spans="1:5" x14ac:dyDescent="0.35">
      <c r="A96">
        <v>2019</v>
      </c>
      <c r="B96" t="s">
        <v>17</v>
      </c>
      <c r="C96" t="s">
        <v>85</v>
      </c>
      <c r="D96" t="s">
        <v>83</v>
      </c>
      <c r="E96">
        <v>1</v>
      </c>
    </row>
    <row r="97" spans="1:5" x14ac:dyDescent="0.35">
      <c r="A97">
        <v>2019</v>
      </c>
      <c r="B97" t="s">
        <v>18</v>
      </c>
      <c r="C97" t="s">
        <v>85</v>
      </c>
      <c r="D97" t="s">
        <v>83</v>
      </c>
      <c r="E97">
        <v>0</v>
      </c>
    </row>
    <row r="98" spans="1:5" x14ac:dyDescent="0.35">
      <c r="A98">
        <v>2019</v>
      </c>
      <c r="B98" t="s">
        <v>19</v>
      </c>
      <c r="C98" t="s">
        <v>85</v>
      </c>
      <c r="D98" t="s">
        <v>83</v>
      </c>
      <c r="E98">
        <v>2</v>
      </c>
    </row>
    <row r="99" spans="1:5" x14ac:dyDescent="0.35">
      <c r="A99">
        <v>2019</v>
      </c>
      <c r="B99" t="s">
        <v>20</v>
      </c>
      <c r="C99" t="s">
        <v>85</v>
      </c>
      <c r="D99" t="s">
        <v>83</v>
      </c>
      <c r="E99">
        <v>1</v>
      </c>
    </row>
    <row r="100" spans="1:5" x14ac:dyDescent="0.35">
      <c r="A100">
        <v>2019</v>
      </c>
      <c r="B100" t="s">
        <v>21</v>
      </c>
      <c r="C100" t="s">
        <v>85</v>
      </c>
      <c r="D100" t="s">
        <v>83</v>
      </c>
      <c r="E100">
        <v>1</v>
      </c>
    </row>
    <row r="101" spans="1:5" x14ac:dyDescent="0.35">
      <c r="A101">
        <v>2019</v>
      </c>
      <c r="B101" t="s">
        <v>22</v>
      </c>
      <c r="C101" t="s">
        <v>85</v>
      </c>
      <c r="D101" t="s">
        <v>83</v>
      </c>
      <c r="E101">
        <v>0</v>
      </c>
    </row>
    <row r="102" spans="1:5" x14ac:dyDescent="0.35">
      <c r="A102">
        <v>2019</v>
      </c>
      <c r="B102" t="s">
        <v>23</v>
      </c>
      <c r="C102" t="s">
        <v>85</v>
      </c>
      <c r="D102" t="s">
        <v>83</v>
      </c>
      <c r="E102">
        <v>1</v>
      </c>
    </row>
    <row r="103" spans="1:5" x14ac:dyDescent="0.35">
      <c r="A103">
        <v>2019</v>
      </c>
      <c r="B103" t="s">
        <v>25</v>
      </c>
      <c r="C103" t="s">
        <v>85</v>
      </c>
      <c r="D103" t="s">
        <v>83</v>
      </c>
      <c r="E103">
        <v>0</v>
      </c>
    </row>
    <row r="104" spans="1:5" x14ac:dyDescent="0.35">
      <c r="A104">
        <v>2019</v>
      </c>
      <c r="B104" t="s">
        <v>26</v>
      </c>
      <c r="C104" t="s">
        <v>85</v>
      </c>
      <c r="D104" t="s">
        <v>83</v>
      </c>
      <c r="E104">
        <v>2</v>
      </c>
    </row>
    <row r="105" spans="1:5" x14ac:dyDescent="0.35">
      <c r="A105">
        <v>2019</v>
      </c>
      <c r="B105" t="s">
        <v>27</v>
      </c>
      <c r="C105" t="s">
        <v>85</v>
      </c>
      <c r="D105" t="s">
        <v>83</v>
      </c>
      <c r="E105">
        <v>0</v>
      </c>
    </row>
    <row r="106" spans="1:5" x14ac:dyDescent="0.35">
      <c r="A106">
        <v>2019</v>
      </c>
      <c r="B106" t="s">
        <v>28</v>
      </c>
      <c r="C106" t="s">
        <v>85</v>
      </c>
      <c r="D106" t="s">
        <v>83</v>
      </c>
      <c r="E106">
        <v>2</v>
      </c>
    </row>
    <row r="107" spans="1:5" x14ac:dyDescent="0.35">
      <c r="A107">
        <v>2019</v>
      </c>
      <c r="B107" t="s">
        <v>29</v>
      </c>
      <c r="C107" t="s">
        <v>85</v>
      </c>
      <c r="D107" t="s">
        <v>83</v>
      </c>
      <c r="E107">
        <v>5</v>
      </c>
    </row>
    <row r="108" spans="1:5" x14ac:dyDescent="0.35">
      <c r="A108">
        <v>2019</v>
      </c>
      <c r="B108" t="s">
        <v>30</v>
      </c>
      <c r="C108" t="s">
        <v>85</v>
      </c>
      <c r="D108" t="s">
        <v>83</v>
      </c>
      <c r="E108">
        <v>1</v>
      </c>
    </row>
    <row r="109" spans="1:5" x14ac:dyDescent="0.35">
      <c r="A109">
        <v>2019</v>
      </c>
      <c r="B109" t="s">
        <v>31</v>
      </c>
      <c r="C109" t="s">
        <v>85</v>
      </c>
      <c r="D109" t="s">
        <v>83</v>
      </c>
      <c r="E109">
        <v>5</v>
      </c>
    </row>
    <row r="110" spans="1:5" x14ac:dyDescent="0.35">
      <c r="A110">
        <v>2019</v>
      </c>
      <c r="B110" t="s">
        <v>32</v>
      </c>
      <c r="C110" t="s">
        <v>85</v>
      </c>
      <c r="D110" t="s">
        <v>83</v>
      </c>
      <c r="E110">
        <v>0</v>
      </c>
    </row>
    <row r="111" spans="1:5" x14ac:dyDescent="0.35">
      <c r="A111">
        <v>2019</v>
      </c>
      <c r="B111" t="s">
        <v>33</v>
      </c>
      <c r="C111" t="s">
        <v>85</v>
      </c>
      <c r="D111" t="s">
        <v>83</v>
      </c>
      <c r="E111">
        <v>4</v>
      </c>
    </row>
    <row r="112" spans="1:5" x14ac:dyDescent="0.35">
      <c r="A112">
        <v>2019</v>
      </c>
      <c r="B112" t="s">
        <v>34</v>
      </c>
      <c r="C112" t="s">
        <v>85</v>
      </c>
      <c r="D112" t="s">
        <v>83</v>
      </c>
      <c r="E112">
        <v>2</v>
      </c>
    </row>
    <row r="113" spans="1:5" x14ac:dyDescent="0.35">
      <c r="A113">
        <v>2019</v>
      </c>
      <c r="B113" t="s">
        <v>76</v>
      </c>
      <c r="C113" t="s">
        <v>85</v>
      </c>
      <c r="D113" t="s">
        <v>83</v>
      </c>
      <c r="E113">
        <v>1</v>
      </c>
    </row>
    <row r="114" spans="1:5" x14ac:dyDescent="0.35">
      <c r="A114">
        <v>2019</v>
      </c>
      <c r="B114" t="s">
        <v>36</v>
      </c>
      <c r="C114" t="s">
        <v>85</v>
      </c>
      <c r="D114" t="s">
        <v>83</v>
      </c>
      <c r="E114">
        <v>0</v>
      </c>
    </row>
    <row r="115" spans="1:5" x14ac:dyDescent="0.35">
      <c r="A115">
        <v>2019</v>
      </c>
      <c r="B115" t="s">
        <v>37</v>
      </c>
      <c r="C115" t="s">
        <v>85</v>
      </c>
      <c r="D115" t="s">
        <v>83</v>
      </c>
      <c r="E115">
        <v>1</v>
      </c>
    </row>
    <row r="116" spans="1:5" x14ac:dyDescent="0.35">
      <c r="A116">
        <v>2019</v>
      </c>
      <c r="B116" t="s">
        <v>38</v>
      </c>
      <c r="C116" t="s">
        <v>85</v>
      </c>
      <c r="D116" t="s">
        <v>83</v>
      </c>
      <c r="E116">
        <v>0</v>
      </c>
    </row>
    <row r="117" spans="1:5" x14ac:dyDescent="0.35">
      <c r="A117">
        <v>2019</v>
      </c>
      <c r="B117" t="s">
        <v>39</v>
      </c>
      <c r="C117" t="s">
        <v>85</v>
      </c>
      <c r="D117" t="s">
        <v>83</v>
      </c>
      <c r="E117">
        <v>0</v>
      </c>
    </row>
    <row r="118" spans="1:5" x14ac:dyDescent="0.35">
      <c r="A118">
        <v>2019</v>
      </c>
      <c r="B118" t="s">
        <v>40</v>
      </c>
      <c r="C118" t="s">
        <v>85</v>
      </c>
      <c r="D118" t="s">
        <v>83</v>
      </c>
      <c r="E118">
        <v>2</v>
      </c>
    </row>
    <row r="119" spans="1:5" x14ac:dyDescent="0.35">
      <c r="A119">
        <v>2019</v>
      </c>
      <c r="B119" t="s">
        <v>41</v>
      </c>
      <c r="C119" t="s">
        <v>85</v>
      </c>
      <c r="D119" t="s">
        <v>83</v>
      </c>
      <c r="E119">
        <v>1</v>
      </c>
    </row>
    <row r="120" spans="1:5" x14ac:dyDescent="0.35">
      <c r="A120">
        <v>2019</v>
      </c>
      <c r="B120" t="s">
        <v>42</v>
      </c>
      <c r="C120" t="s">
        <v>85</v>
      </c>
      <c r="D120" t="s">
        <v>83</v>
      </c>
      <c r="E120">
        <v>4</v>
      </c>
    </row>
    <row r="121" spans="1:5" x14ac:dyDescent="0.35">
      <c r="A121">
        <v>2019</v>
      </c>
      <c r="B121" t="s">
        <v>43</v>
      </c>
      <c r="C121" t="s">
        <v>85</v>
      </c>
      <c r="D121" t="s">
        <v>83</v>
      </c>
      <c r="E121">
        <v>1</v>
      </c>
    </row>
    <row r="122" spans="1:5" x14ac:dyDescent="0.35">
      <c r="A122">
        <v>2019</v>
      </c>
      <c r="B122" t="s">
        <v>44</v>
      </c>
      <c r="C122" t="s">
        <v>85</v>
      </c>
      <c r="D122" t="s">
        <v>83</v>
      </c>
      <c r="E122">
        <v>0</v>
      </c>
    </row>
    <row r="123" spans="1:5" x14ac:dyDescent="0.35">
      <c r="A123">
        <v>2019</v>
      </c>
      <c r="B123" t="s">
        <v>45</v>
      </c>
      <c r="C123" t="s">
        <v>85</v>
      </c>
      <c r="D123" t="s">
        <v>83</v>
      </c>
      <c r="E123">
        <v>0</v>
      </c>
    </row>
    <row r="124" spans="1:5" x14ac:dyDescent="0.35">
      <c r="A124">
        <v>2019</v>
      </c>
      <c r="B124" t="s">
        <v>46</v>
      </c>
      <c r="C124" t="s">
        <v>85</v>
      </c>
      <c r="D124" t="s">
        <v>83</v>
      </c>
      <c r="E124">
        <v>1</v>
      </c>
    </row>
    <row r="125" spans="1:5" x14ac:dyDescent="0.35">
      <c r="A125">
        <v>2019</v>
      </c>
      <c r="B125" t="s">
        <v>47</v>
      </c>
      <c r="C125" t="s">
        <v>85</v>
      </c>
      <c r="D125" t="s">
        <v>83</v>
      </c>
      <c r="E125">
        <v>0</v>
      </c>
    </row>
    <row r="126" spans="1:5" x14ac:dyDescent="0.35">
      <c r="A126">
        <v>2019</v>
      </c>
      <c r="B126" t="s">
        <v>48</v>
      </c>
      <c r="C126" t="s">
        <v>85</v>
      </c>
      <c r="D126" t="s">
        <v>83</v>
      </c>
      <c r="E126">
        <v>1</v>
      </c>
    </row>
    <row r="127" spans="1:5" x14ac:dyDescent="0.35">
      <c r="A127">
        <v>2019</v>
      </c>
      <c r="B127" t="s">
        <v>49</v>
      </c>
      <c r="C127" t="s">
        <v>85</v>
      </c>
      <c r="D127" t="s">
        <v>83</v>
      </c>
      <c r="E127">
        <v>1</v>
      </c>
    </row>
    <row r="128" spans="1:5" x14ac:dyDescent="0.35">
      <c r="A128">
        <v>2019</v>
      </c>
      <c r="B128" t="s">
        <v>50</v>
      </c>
      <c r="C128" t="s">
        <v>85</v>
      </c>
      <c r="D128" t="s">
        <v>83</v>
      </c>
      <c r="E128">
        <v>6</v>
      </c>
    </row>
    <row r="129" spans="1:5" x14ac:dyDescent="0.35">
      <c r="A129">
        <v>2019</v>
      </c>
      <c r="B129" t="s">
        <v>51</v>
      </c>
      <c r="C129" t="s">
        <v>85</v>
      </c>
      <c r="D129" t="s">
        <v>83</v>
      </c>
      <c r="E129">
        <v>1</v>
      </c>
    </row>
    <row r="130" spans="1:5" x14ac:dyDescent="0.35">
      <c r="A130">
        <v>2019</v>
      </c>
      <c r="B130" t="s">
        <v>52</v>
      </c>
      <c r="C130" t="s">
        <v>85</v>
      </c>
      <c r="D130" t="s">
        <v>83</v>
      </c>
      <c r="E130">
        <v>0</v>
      </c>
    </row>
    <row r="131" spans="1:5" x14ac:dyDescent="0.35">
      <c r="A131">
        <v>2019</v>
      </c>
      <c r="B131" t="s">
        <v>53</v>
      </c>
      <c r="C131" t="s">
        <v>85</v>
      </c>
      <c r="D131" t="s">
        <v>83</v>
      </c>
      <c r="E131">
        <v>1</v>
      </c>
    </row>
    <row r="132" spans="1:5" x14ac:dyDescent="0.35">
      <c r="A132">
        <v>2019</v>
      </c>
      <c r="B132" t="s">
        <v>54</v>
      </c>
      <c r="C132" t="s">
        <v>85</v>
      </c>
      <c r="D132" t="s">
        <v>83</v>
      </c>
      <c r="E132">
        <v>0</v>
      </c>
    </row>
    <row r="133" spans="1:5" x14ac:dyDescent="0.35">
      <c r="A133">
        <v>2019</v>
      </c>
      <c r="B133" t="s">
        <v>55</v>
      </c>
      <c r="C133" t="s">
        <v>85</v>
      </c>
      <c r="D133" t="s">
        <v>83</v>
      </c>
      <c r="E133">
        <v>0</v>
      </c>
    </row>
    <row r="134" spans="1:5" x14ac:dyDescent="0.35">
      <c r="A134">
        <v>2019</v>
      </c>
      <c r="B134" t="s">
        <v>56</v>
      </c>
      <c r="C134" t="s">
        <v>85</v>
      </c>
      <c r="D134" t="s">
        <v>83</v>
      </c>
      <c r="E134">
        <v>1</v>
      </c>
    </row>
    <row r="135" spans="1:5" x14ac:dyDescent="0.35">
      <c r="A135">
        <v>2019</v>
      </c>
      <c r="B135" t="s">
        <v>57</v>
      </c>
      <c r="C135" t="s">
        <v>85</v>
      </c>
      <c r="D135" t="s">
        <v>83</v>
      </c>
      <c r="E135">
        <v>0</v>
      </c>
    </row>
    <row r="136" spans="1:5" x14ac:dyDescent="0.35">
      <c r="A136">
        <v>2019</v>
      </c>
      <c r="B136" t="s">
        <v>24</v>
      </c>
      <c r="C136" t="s">
        <v>85</v>
      </c>
      <c r="D136" t="s">
        <v>83</v>
      </c>
      <c r="E136">
        <v>2</v>
      </c>
    </row>
    <row r="137" spans="1:5" x14ac:dyDescent="0.35">
      <c r="A137">
        <v>2019</v>
      </c>
      <c r="B137" t="s">
        <v>13</v>
      </c>
      <c r="C137" t="s">
        <v>85</v>
      </c>
      <c r="D137" t="s">
        <v>84</v>
      </c>
      <c r="E137">
        <v>4</v>
      </c>
    </row>
    <row r="138" spans="1:5" x14ac:dyDescent="0.35">
      <c r="A138">
        <v>2019</v>
      </c>
      <c r="B138" t="s">
        <v>14</v>
      </c>
      <c r="C138" t="s">
        <v>85</v>
      </c>
      <c r="D138" t="s">
        <v>84</v>
      </c>
      <c r="E138">
        <v>10</v>
      </c>
    </row>
    <row r="139" spans="1:5" x14ac:dyDescent="0.35">
      <c r="A139">
        <v>2019</v>
      </c>
      <c r="B139" t="s">
        <v>15</v>
      </c>
      <c r="C139" t="s">
        <v>85</v>
      </c>
      <c r="D139" t="s">
        <v>84</v>
      </c>
      <c r="E139">
        <v>4</v>
      </c>
    </row>
    <row r="140" spans="1:5" x14ac:dyDescent="0.35">
      <c r="A140">
        <v>2019</v>
      </c>
      <c r="B140" t="s">
        <v>16</v>
      </c>
      <c r="C140" t="s">
        <v>85</v>
      </c>
      <c r="D140" t="s">
        <v>84</v>
      </c>
      <c r="E140">
        <v>7</v>
      </c>
    </row>
    <row r="141" spans="1:5" x14ac:dyDescent="0.35">
      <c r="A141">
        <v>2019</v>
      </c>
      <c r="B141" t="s">
        <v>17</v>
      </c>
      <c r="C141" t="s">
        <v>85</v>
      </c>
      <c r="D141" t="s">
        <v>84</v>
      </c>
      <c r="E141">
        <v>15</v>
      </c>
    </row>
    <row r="142" spans="1:5" x14ac:dyDescent="0.35">
      <c r="A142">
        <v>2019</v>
      </c>
      <c r="B142" t="s">
        <v>18</v>
      </c>
      <c r="C142" t="s">
        <v>85</v>
      </c>
      <c r="D142" t="s">
        <v>84</v>
      </c>
      <c r="E142">
        <v>27</v>
      </c>
    </row>
    <row r="143" spans="1:5" x14ac:dyDescent="0.35">
      <c r="A143">
        <v>2019</v>
      </c>
      <c r="B143" t="s">
        <v>19</v>
      </c>
      <c r="C143" t="s">
        <v>85</v>
      </c>
      <c r="D143" t="s">
        <v>84</v>
      </c>
      <c r="E143">
        <v>8</v>
      </c>
    </row>
    <row r="144" spans="1:5" x14ac:dyDescent="0.35">
      <c r="A144">
        <v>2019</v>
      </c>
      <c r="B144" t="s">
        <v>20</v>
      </c>
      <c r="C144" t="s">
        <v>85</v>
      </c>
      <c r="D144" t="s">
        <v>84</v>
      </c>
      <c r="E144">
        <v>19</v>
      </c>
    </row>
    <row r="145" spans="1:5" x14ac:dyDescent="0.35">
      <c r="A145">
        <v>2019</v>
      </c>
      <c r="B145" t="s">
        <v>21</v>
      </c>
      <c r="C145" t="s">
        <v>85</v>
      </c>
      <c r="D145" t="s">
        <v>84</v>
      </c>
      <c r="E145">
        <v>0</v>
      </c>
    </row>
    <row r="146" spans="1:5" x14ac:dyDescent="0.35">
      <c r="A146">
        <v>2019</v>
      </c>
      <c r="B146" t="s">
        <v>22</v>
      </c>
      <c r="C146" t="s">
        <v>85</v>
      </c>
      <c r="D146" t="s">
        <v>84</v>
      </c>
      <c r="E146">
        <v>35</v>
      </c>
    </row>
    <row r="147" spans="1:5" x14ac:dyDescent="0.35">
      <c r="A147">
        <v>2019</v>
      </c>
      <c r="B147" t="s">
        <v>23</v>
      </c>
      <c r="C147" t="s">
        <v>85</v>
      </c>
      <c r="D147" t="s">
        <v>84</v>
      </c>
      <c r="E147">
        <v>56</v>
      </c>
    </row>
    <row r="148" spans="1:5" x14ac:dyDescent="0.35">
      <c r="A148">
        <v>2019</v>
      </c>
      <c r="B148" t="s">
        <v>25</v>
      </c>
      <c r="C148" t="s">
        <v>85</v>
      </c>
      <c r="D148" t="s">
        <v>84</v>
      </c>
      <c r="E148">
        <v>6</v>
      </c>
    </row>
    <row r="149" spans="1:5" x14ac:dyDescent="0.35">
      <c r="A149">
        <v>2019</v>
      </c>
      <c r="B149" t="s">
        <v>26</v>
      </c>
      <c r="C149" t="s">
        <v>85</v>
      </c>
      <c r="D149" t="s">
        <v>84</v>
      </c>
      <c r="E149">
        <v>14</v>
      </c>
    </row>
    <row r="150" spans="1:5" x14ac:dyDescent="0.35">
      <c r="A150">
        <v>2019</v>
      </c>
      <c r="B150" t="s">
        <v>27</v>
      </c>
      <c r="C150" t="s">
        <v>85</v>
      </c>
      <c r="D150" t="s">
        <v>84</v>
      </c>
      <c r="E150">
        <v>39</v>
      </c>
    </row>
    <row r="151" spans="1:5" x14ac:dyDescent="0.35">
      <c r="A151">
        <v>2019</v>
      </c>
      <c r="B151" t="s">
        <v>28</v>
      </c>
      <c r="C151" t="s">
        <v>85</v>
      </c>
      <c r="D151" t="s">
        <v>84</v>
      </c>
      <c r="E151">
        <v>4</v>
      </c>
    </row>
    <row r="152" spans="1:5" x14ac:dyDescent="0.35">
      <c r="A152">
        <v>2019</v>
      </c>
      <c r="B152" t="s">
        <v>29</v>
      </c>
      <c r="C152" t="s">
        <v>85</v>
      </c>
      <c r="D152" t="s">
        <v>84</v>
      </c>
      <c r="E152">
        <v>20</v>
      </c>
    </row>
    <row r="153" spans="1:5" x14ac:dyDescent="0.35">
      <c r="A153">
        <v>2019</v>
      </c>
      <c r="B153" t="s">
        <v>30</v>
      </c>
      <c r="C153" t="s">
        <v>85</v>
      </c>
      <c r="D153" t="s">
        <v>84</v>
      </c>
      <c r="E153">
        <v>3</v>
      </c>
    </row>
    <row r="154" spans="1:5" x14ac:dyDescent="0.35">
      <c r="A154">
        <v>2019</v>
      </c>
      <c r="B154" t="s">
        <v>31</v>
      </c>
      <c r="C154" t="s">
        <v>85</v>
      </c>
      <c r="D154" t="s">
        <v>84</v>
      </c>
      <c r="E154">
        <v>32</v>
      </c>
    </row>
    <row r="155" spans="1:5" x14ac:dyDescent="0.35">
      <c r="A155">
        <v>2019</v>
      </c>
      <c r="B155" t="s">
        <v>32</v>
      </c>
      <c r="C155" t="s">
        <v>85</v>
      </c>
      <c r="D155" t="s">
        <v>84</v>
      </c>
      <c r="E155">
        <v>13</v>
      </c>
    </row>
    <row r="156" spans="1:5" x14ac:dyDescent="0.35">
      <c r="A156">
        <v>2019</v>
      </c>
      <c r="B156" t="s">
        <v>33</v>
      </c>
      <c r="C156" t="s">
        <v>85</v>
      </c>
      <c r="D156" t="s">
        <v>84</v>
      </c>
      <c r="E156">
        <v>14</v>
      </c>
    </row>
    <row r="157" spans="1:5" x14ac:dyDescent="0.35">
      <c r="A157">
        <v>2019</v>
      </c>
      <c r="B157" t="s">
        <v>34</v>
      </c>
      <c r="C157" t="s">
        <v>85</v>
      </c>
      <c r="D157" t="s">
        <v>84</v>
      </c>
      <c r="E157">
        <v>12</v>
      </c>
    </row>
    <row r="158" spans="1:5" x14ac:dyDescent="0.35">
      <c r="A158">
        <v>2019</v>
      </c>
      <c r="B158" t="s">
        <v>76</v>
      </c>
      <c r="C158" t="s">
        <v>85</v>
      </c>
      <c r="D158" t="s">
        <v>84</v>
      </c>
      <c r="E158">
        <v>3</v>
      </c>
    </row>
    <row r="159" spans="1:5" x14ac:dyDescent="0.35">
      <c r="A159">
        <v>2019</v>
      </c>
      <c r="B159" t="s">
        <v>36</v>
      </c>
      <c r="C159" t="s">
        <v>85</v>
      </c>
      <c r="D159" t="s">
        <v>84</v>
      </c>
      <c r="E159">
        <v>0</v>
      </c>
    </row>
    <row r="160" spans="1:5" x14ac:dyDescent="0.35">
      <c r="A160">
        <v>2019</v>
      </c>
      <c r="B160" t="s">
        <v>37</v>
      </c>
      <c r="C160" t="s">
        <v>85</v>
      </c>
      <c r="D160" t="s">
        <v>84</v>
      </c>
      <c r="E160">
        <v>30</v>
      </c>
    </row>
    <row r="161" spans="1:5" x14ac:dyDescent="0.35">
      <c r="A161">
        <v>2019</v>
      </c>
      <c r="B161" t="s">
        <v>38</v>
      </c>
      <c r="C161" t="s">
        <v>85</v>
      </c>
      <c r="D161" t="s">
        <v>84</v>
      </c>
      <c r="E161">
        <v>17</v>
      </c>
    </row>
    <row r="162" spans="1:5" x14ac:dyDescent="0.35">
      <c r="A162">
        <v>2019</v>
      </c>
      <c r="B162" t="s">
        <v>39</v>
      </c>
      <c r="C162" t="s">
        <v>85</v>
      </c>
      <c r="D162" t="s">
        <v>84</v>
      </c>
      <c r="E162">
        <v>1</v>
      </c>
    </row>
    <row r="163" spans="1:5" x14ac:dyDescent="0.35">
      <c r="A163">
        <v>2019</v>
      </c>
      <c r="B163" t="s">
        <v>40</v>
      </c>
      <c r="C163" t="s">
        <v>85</v>
      </c>
      <c r="D163" t="s">
        <v>84</v>
      </c>
      <c r="E163">
        <v>16</v>
      </c>
    </row>
    <row r="164" spans="1:5" x14ac:dyDescent="0.35">
      <c r="A164">
        <v>2019</v>
      </c>
      <c r="B164" t="s">
        <v>41</v>
      </c>
      <c r="C164" t="s">
        <v>85</v>
      </c>
      <c r="D164" t="s">
        <v>84</v>
      </c>
      <c r="E164">
        <v>27</v>
      </c>
    </row>
    <row r="165" spans="1:5" x14ac:dyDescent="0.35">
      <c r="A165">
        <v>2019</v>
      </c>
      <c r="B165" t="s">
        <v>42</v>
      </c>
      <c r="C165" t="s">
        <v>85</v>
      </c>
      <c r="D165" t="s">
        <v>84</v>
      </c>
      <c r="E165">
        <v>33</v>
      </c>
    </row>
    <row r="166" spans="1:5" x14ac:dyDescent="0.35">
      <c r="A166">
        <v>2019</v>
      </c>
      <c r="B166" t="s">
        <v>43</v>
      </c>
      <c r="C166" t="s">
        <v>85</v>
      </c>
      <c r="D166" t="s">
        <v>84</v>
      </c>
      <c r="E166">
        <v>14</v>
      </c>
    </row>
    <row r="167" spans="1:5" x14ac:dyDescent="0.35">
      <c r="A167">
        <v>2019</v>
      </c>
      <c r="B167" t="s">
        <v>44</v>
      </c>
      <c r="C167" t="s">
        <v>85</v>
      </c>
      <c r="D167" t="s">
        <v>84</v>
      </c>
      <c r="E167">
        <v>19</v>
      </c>
    </row>
    <row r="168" spans="1:5" x14ac:dyDescent="0.35">
      <c r="A168">
        <v>2019</v>
      </c>
      <c r="B168" t="s">
        <v>45</v>
      </c>
      <c r="C168" t="s">
        <v>85</v>
      </c>
      <c r="D168" t="s">
        <v>84</v>
      </c>
      <c r="E168">
        <v>9</v>
      </c>
    </row>
    <row r="169" spans="1:5" x14ac:dyDescent="0.35">
      <c r="A169">
        <v>2019</v>
      </c>
      <c r="B169" t="s">
        <v>46</v>
      </c>
      <c r="C169" t="s">
        <v>85</v>
      </c>
      <c r="D169" t="s">
        <v>84</v>
      </c>
      <c r="E169">
        <v>13</v>
      </c>
    </row>
    <row r="170" spans="1:5" x14ac:dyDescent="0.35">
      <c r="A170">
        <v>2019</v>
      </c>
      <c r="B170" t="s">
        <v>47</v>
      </c>
      <c r="C170" t="s">
        <v>85</v>
      </c>
      <c r="D170" t="s">
        <v>84</v>
      </c>
      <c r="E170">
        <v>13</v>
      </c>
    </row>
    <row r="171" spans="1:5" x14ac:dyDescent="0.35">
      <c r="A171">
        <v>2019</v>
      </c>
      <c r="B171" t="s">
        <v>48</v>
      </c>
      <c r="C171" t="s">
        <v>85</v>
      </c>
      <c r="D171" t="s">
        <v>84</v>
      </c>
      <c r="E171">
        <v>9</v>
      </c>
    </row>
    <row r="172" spans="1:5" x14ac:dyDescent="0.35">
      <c r="A172">
        <v>2019</v>
      </c>
      <c r="B172" t="s">
        <v>49</v>
      </c>
      <c r="C172" t="s">
        <v>85</v>
      </c>
      <c r="D172" t="s">
        <v>84</v>
      </c>
      <c r="E172">
        <v>15</v>
      </c>
    </row>
    <row r="173" spans="1:5" x14ac:dyDescent="0.35">
      <c r="A173">
        <v>2019</v>
      </c>
      <c r="B173" t="s">
        <v>50</v>
      </c>
      <c r="C173" t="s">
        <v>85</v>
      </c>
      <c r="D173" t="s">
        <v>84</v>
      </c>
      <c r="E173">
        <v>13</v>
      </c>
    </row>
    <row r="174" spans="1:5" x14ac:dyDescent="0.35">
      <c r="A174">
        <v>2019</v>
      </c>
      <c r="B174" t="s">
        <v>51</v>
      </c>
      <c r="C174" t="s">
        <v>85</v>
      </c>
      <c r="D174" t="s">
        <v>84</v>
      </c>
      <c r="E174">
        <v>3</v>
      </c>
    </row>
    <row r="175" spans="1:5" x14ac:dyDescent="0.35">
      <c r="A175">
        <v>2019</v>
      </c>
      <c r="B175" t="s">
        <v>52</v>
      </c>
      <c r="C175" t="s">
        <v>85</v>
      </c>
      <c r="D175" t="s">
        <v>84</v>
      </c>
      <c r="E175">
        <v>16</v>
      </c>
    </row>
    <row r="176" spans="1:5" x14ac:dyDescent="0.35">
      <c r="A176">
        <v>2019</v>
      </c>
      <c r="B176" t="s">
        <v>53</v>
      </c>
      <c r="C176" t="s">
        <v>85</v>
      </c>
      <c r="D176" t="s">
        <v>84</v>
      </c>
      <c r="E176">
        <v>15</v>
      </c>
    </row>
    <row r="177" spans="1:5" x14ac:dyDescent="0.35">
      <c r="A177">
        <v>2019</v>
      </c>
      <c r="B177" t="s">
        <v>54</v>
      </c>
      <c r="C177" t="s">
        <v>85</v>
      </c>
      <c r="D177" t="s">
        <v>84</v>
      </c>
      <c r="E177">
        <v>5</v>
      </c>
    </row>
    <row r="178" spans="1:5" x14ac:dyDescent="0.35">
      <c r="A178">
        <v>2019</v>
      </c>
      <c r="B178" t="s">
        <v>55</v>
      </c>
      <c r="C178" t="s">
        <v>85</v>
      </c>
      <c r="D178" t="s">
        <v>84</v>
      </c>
      <c r="E178">
        <v>18</v>
      </c>
    </row>
    <row r="179" spans="1:5" x14ac:dyDescent="0.35">
      <c r="A179">
        <v>2019</v>
      </c>
      <c r="B179" t="s">
        <v>56</v>
      </c>
      <c r="C179" t="s">
        <v>85</v>
      </c>
      <c r="D179" t="s">
        <v>84</v>
      </c>
      <c r="E179">
        <v>17</v>
      </c>
    </row>
    <row r="180" spans="1:5" x14ac:dyDescent="0.35">
      <c r="A180">
        <v>2019</v>
      </c>
      <c r="B180" t="s">
        <v>57</v>
      </c>
      <c r="C180" t="s">
        <v>85</v>
      </c>
      <c r="D180" t="s">
        <v>84</v>
      </c>
      <c r="E180">
        <v>23</v>
      </c>
    </row>
    <row r="181" spans="1:5" x14ac:dyDescent="0.35">
      <c r="A181">
        <v>2019</v>
      </c>
      <c r="B181" t="s">
        <v>24</v>
      </c>
      <c r="C181" t="s">
        <v>85</v>
      </c>
      <c r="D181" t="s">
        <v>84</v>
      </c>
      <c r="E181">
        <v>32</v>
      </c>
    </row>
    <row r="182" spans="1:5" x14ac:dyDescent="0.35">
      <c r="A182">
        <v>2019</v>
      </c>
      <c r="B182" t="s">
        <v>13</v>
      </c>
      <c r="C182" t="s">
        <v>86</v>
      </c>
      <c r="D182" t="s">
        <v>74</v>
      </c>
      <c r="E182">
        <v>23</v>
      </c>
    </row>
    <row r="183" spans="1:5" x14ac:dyDescent="0.35">
      <c r="A183">
        <v>2019</v>
      </c>
      <c r="B183" t="s">
        <v>14</v>
      </c>
      <c r="C183" t="s">
        <v>86</v>
      </c>
      <c r="D183" t="s">
        <v>74</v>
      </c>
      <c r="E183">
        <v>0</v>
      </c>
    </row>
    <row r="184" spans="1:5" x14ac:dyDescent="0.35">
      <c r="A184">
        <v>2019</v>
      </c>
      <c r="B184" t="s">
        <v>15</v>
      </c>
      <c r="C184" t="s">
        <v>86</v>
      </c>
      <c r="D184" t="s">
        <v>74</v>
      </c>
      <c r="E184">
        <v>0</v>
      </c>
    </row>
    <row r="185" spans="1:5" x14ac:dyDescent="0.35">
      <c r="A185">
        <v>2019</v>
      </c>
      <c r="B185" t="s">
        <v>16</v>
      </c>
      <c r="C185" t="s">
        <v>86</v>
      </c>
      <c r="D185" t="s">
        <v>74</v>
      </c>
      <c r="E185">
        <v>0</v>
      </c>
    </row>
    <row r="186" spans="1:5" x14ac:dyDescent="0.35">
      <c r="A186">
        <v>2019</v>
      </c>
      <c r="B186" t="s">
        <v>17</v>
      </c>
      <c r="C186" t="s">
        <v>86</v>
      </c>
      <c r="D186" t="s">
        <v>74</v>
      </c>
      <c r="E186">
        <v>0</v>
      </c>
    </row>
    <row r="187" spans="1:5" x14ac:dyDescent="0.35">
      <c r="A187">
        <v>2019</v>
      </c>
      <c r="B187" t="s">
        <v>18</v>
      </c>
      <c r="C187" t="s">
        <v>86</v>
      </c>
      <c r="D187" t="s">
        <v>74</v>
      </c>
      <c r="E187">
        <v>3</v>
      </c>
    </row>
    <row r="188" spans="1:5" x14ac:dyDescent="0.35">
      <c r="A188">
        <v>2019</v>
      </c>
      <c r="B188" t="s">
        <v>19</v>
      </c>
      <c r="C188" t="s">
        <v>86</v>
      </c>
      <c r="D188" t="s">
        <v>74</v>
      </c>
      <c r="E188">
        <v>1</v>
      </c>
    </row>
    <row r="189" spans="1:5" x14ac:dyDescent="0.35">
      <c r="A189">
        <v>2019</v>
      </c>
      <c r="B189" t="s">
        <v>20</v>
      </c>
      <c r="C189" t="s">
        <v>86</v>
      </c>
      <c r="D189" t="s">
        <v>74</v>
      </c>
      <c r="E189">
        <v>1</v>
      </c>
    </row>
    <row r="190" spans="1:5" x14ac:dyDescent="0.35">
      <c r="A190">
        <v>2019</v>
      </c>
      <c r="B190" t="s">
        <v>21</v>
      </c>
      <c r="C190" t="s">
        <v>86</v>
      </c>
      <c r="D190" t="s">
        <v>74</v>
      </c>
      <c r="E190">
        <v>0</v>
      </c>
    </row>
    <row r="191" spans="1:5" x14ac:dyDescent="0.35">
      <c r="A191">
        <v>2019</v>
      </c>
      <c r="B191" t="s">
        <v>22</v>
      </c>
      <c r="C191" t="s">
        <v>86</v>
      </c>
      <c r="D191" t="s">
        <v>74</v>
      </c>
      <c r="E191">
        <v>1</v>
      </c>
    </row>
    <row r="192" spans="1:5" x14ac:dyDescent="0.35">
      <c r="A192">
        <v>2019</v>
      </c>
      <c r="B192" t="s">
        <v>23</v>
      </c>
      <c r="C192" t="s">
        <v>86</v>
      </c>
      <c r="D192" t="s">
        <v>74</v>
      </c>
      <c r="E192">
        <v>7</v>
      </c>
    </row>
    <row r="193" spans="1:5" x14ac:dyDescent="0.35">
      <c r="A193">
        <v>2019</v>
      </c>
      <c r="B193" t="s">
        <v>25</v>
      </c>
      <c r="C193" t="s">
        <v>86</v>
      </c>
      <c r="D193" t="s">
        <v>74</v>
      </c>
      <c r="E193">
        <v>0</v>
      </c>
    </row>
    <row r="194" spans="1:5" x14ac:dyDescent="0.35">
      <c r="A194">
        <v>2019</v>
      </c>
      <c r="B194" t="s">
        <v>26</v>
      </c>
      <c r="C194" t="s">
        <v>86</v>
      </c>
      <c r="D194" t="s">
        <v>74</v>
      </c>
      <c r="E194">
        <v>2</v>
      </c>
    </row>
    <row r="195" spans="1:5" x14ac:dyDescent="0.35">
      <c r="A195">
        <v>2019</v>
      </c>
      <c r="B195" t="s">
        <v>27</v>
      </c>
      <c r="C195" t="s">
        <v>86</v>
      </c>
      <c r="D195" t="s">
        <v>74</v>
      </c>
      <c r="E195">
        <v>2</v>
      </c>
    </row>
    <row r="196" spans="1:5" x14ac:dyDescent="0.35">
      <c r="A196">
        <v>2019</v>
      </c>
      <c r="B196" t="s">
        <v>28</v>
      </c>
      <c r="C196" t="s">
        <v>86</v>
      </c>
      <c r="D196" t="s">
        <v>74</v>
      </c>
      <c r="E196">
        <v>0</v>
      </c>
    </row>
    <row r="197" spans="1:5" x14ac:dyDescent="0.35">
      <c r="A197">
        <v>2019</v>
      </c>
      <c r="B197" t="s">
        <v>29</v>
      </c>
      <c r="C197" t="s">
        <v>86</v>
      </c>
      <c r="D197" t="s">
        <v>74</v>
      </c>
      <c r="E197">
        <v>1</v>
      </c>
    </row>
    <row r="198" spans="1:5" x14ac:dyDescent="0.35">
      <c r="A198">
        <v>2019</v>
      </c>
      <c r="B198" t="s">
        <v>30</v>
      </c>
      <c r="C198" t="s">
        <v>86</v>
      </c>
      <c r="D198" t="s">
        <v>74</v>
      </c>
      <c r="E198">
        <v>0</v>
      </c>
    </row>
    <row r="199" spans="1:5" x14ac:dyDescent="0.35">
      <c r="A199">
        <v>2019</v>
      </c>
      <c r="B199" t="s">
        <v>31</v>
      </c>
      <c r="C199" t="s">
        <v>86</v>
      </c>
      <c r="D199" t="s">
        <v>74</v>
      </c>
      <c r="E199">
        <v>0</v>
      </c>
    </row>
    <row r="200" spans="1:5" x14ac:dyDescent="0.35">
      <c r="A200">
        <v>2019</v>
      </c>
      <c r="B200" t="s">
        <v>32</v>
      </c>
      <c r="C200" t="s">
        <v>86</v>
      </c>
      <c r="D200" t="s">
        <v>74</v>
      </c>
      <c r="E200">
        <v>2</v>
      </c>
    </row>
    <row r="201" spans="1:5" x14ac:dyDescent="0.35">
      <c r="A201">
        <v>2019</v>
      </c>
      <c r="B201" t="s">
        <v>33</v>
      </c>
      <c r="C201" t="s">
        <v>86</v>
      </c>
      <c r="D201" t="s">
        <v>74</v>
      </c>
      <c r="E201">
        <v>0</v>
      </c>
    </row>
    <row r="202" spans="1:5" x14ac:dyDescent="0.35">
      <c r="A202">
        <v>2019</v>
      </c>
      <c r="B202" t="s">
        <v>34</v>
      </c>
      <c r="C202" t="s">
        <v>86</v>
      </c>
      <c r="D202" t="s">
        <v>74</v>
      </c>
      <c r="E202">
        <v>0</v>
      </c>
    </row>
    <row r="203" spans="1:5" x14ac:dyDescent="0.35">
      <c r="A203">
        <v>2019</v>
      </c>
      <c r="B203" t="s">
        <v>76</v>
      </c>
      <c r="C203" t="s">
        <v>86</v>
      </c>
      <c r="D203" t="s">
        <v>74</v>
      </c>
      <c r="E203">
        <v>0</v>
      </c>
    </row>
    <row r="204" spans="1:5" x14ac:dyDescent="0.35">
      <c r="A204">
        <v>2019</v>
      </c>
      <c r="B204" t="s">
        <v>36</v>
      </c>
      <c r="C204" t="s">
        <v>86</v>
      </c>
      <c r="D204" t="s">
        <v>74</v>
      </c>
      <c r="E204">
        <v>0</v>
      </c>
    </row>
    <row r="205" spans="1:5" x14ac:dyDescent="0.35">
      <c r="A205">
        <v>2019</v>
      </c>
      <c r="B205" t="s">
        <v>37</v>
      </c>
      <c r="C205" t="s">
        <v>86</v>
      </c>
      <c r="D205" t="s">
        <v>74</v>
      </c>
      <c r="E205">
        <v>0</v>
      </c>
    </row>
    <row r="206" spans="1:5" x14ac:dyDescent="0.35">
      <c r="A206">
        <v>2019</v>
      </c>
      <c r="B206" t="s">
        <v>38</v>
      </c>
      <c r="C206" t="s">
        <v>86</v>
      </c>
      <c r="D206" t="s">
        <v>74</v>
      </c>
      <c r="E206">
        <v>5</v>
      </c>
    </row>
    <row r="207" spans="1:5" x14ac:dyDescent="0.35">
      <c r="A207">
        <v>2019</v>
      </c>
      <c r="B207" t="s">
        <v>39</v>
      </c>
      <c r="C207" t="s">
        <v>86</v>
      </c>
      <c r="D207" t="s">
        <v>74</v>
      </c>
      <c r="E207">
        <v>1</v>
      </c>
    </row>
    <row r="208" spans="1:5" x14ac:dyDescent="0.35">
      <c r="A208">
        <v>2019</v>
      </c>
      <c r="B208" t="s">
        <v>40</v>
      </c>
      <c r="C208" t="s">
        <v>86</v>
      </c>
      <c r="D208" t="s">
        <v>74</v>
      </c>
      <c r="E208">
        <v>3</v>
      </c>
    </row>
    <row r="209" spans="1:5" x14ac:dyDescent="0.35">
      <c r="A209">
        <v>2019</v>
      </c>
      <c r="B209" t="s">
        <v>41</v>
      </c>
      <c r="C209" t="s">
        <v>86</v>
      </c>
      <c r="D209" t="s">
        <v>74</v>
      </c>
      <c r="E209">
        <v>0</v>
      </c>
    </row>
    <row r="210" spans="1:5" x14ac:dyDescent="0.35">
      <c r="A210">
        <v>2019</v>
      </c>
      <c r="B210" t="s">
        <v>42</v>
      </c>
      <c r="C210" t="s">
        <v>86</v>
      </c>
      <c r="D210" t="s">
        <v>74</v>
      </c>
      <c r="E210">
        <v>0</v>
      </c>
    </row>
    <row r="211" spans="1:5" x14ac:dyDescent="0.35">
      <c r="A211">
        <v>2019</v>
      </c>
      <c r="B211" t="s">
        <v>43</v>
      </c>
      <c r="C211" t="s">
        <v>86</v>
      </c>
      <c r="D211" t="s">
        <v>74</v>
      </c>
      <c r="E211">
        <v>0</v>
      </c>
    </row>
    <row r="212" spans="1:5" x14ac:dyDescent="0.35">
      <c r="A212">
        <v>2019</v>
      </c>
      <c r="B212" t="s">
        <v>44</v>
      </c>
      <c r="C212" t="s">
        <v>86</v>
      </c>
      <c r="D212" t="s">
        <v>74</v>
      </c>
      <c r="E212">
        <v>4</v>
      </c>
    </row>
    <row r="213" spans="1:5" x14ac:dyDescent="0.35">
      <c r="A213">
        <v>2019</v>
      </c>
      <c r="B213" t="s">
        <v>45</v>
      </c>
      <c r="C213" t="s">
        <v>86</v>
      </c>
      <c r="D213" t="s">
        <v>74</v>
      </c>
      <c r="E213">
        <v>1</v>
      </c>
    </row>
    <row r="214" spans="1:5" x14ac:dyDescent="0.35">
      <c r="A214">
        <v>2019</v>
      </c>
      <c r="B214" t="s">
        <v>46</v>
      </c>
      <c r="C214" t="s">
        <v>86</v>
      </c>
      <c r="D214" t="s">
        <v>74</v>
      </c>
      <c r="E214">
        <v>2</v>
      </c>
    </row>
    <row r="215" spans="1:5" x14ac:dyDescent="0.35">
      <c r="A215">
        <v>2019</v>
      </c>
      <c r="B215" t="s">
        <v>47</v>
      </c>
      <c r="C215" t="s">
        <v>86</v>
      </c>
      <c r="D215" t="s">
        <v>74</v>
      </c>
      <c r="E215">
        <v>0</v>
      </c>
    </row>
    <row r="216" spans="1:5" x14ac:dyDescent="0.35">
      <c r="A216">
        <v>2019</v>
      </c>
      <c r="B216" t="s">
        <v>48</v>
      </c>
      <c r="C216" t="s">
        <v>86</v>
      </c>
      <c r="D216" t="s">
        <v>74</v>
      </c>
      <c r="E216">
        <v>1</v>
      </c>
    </row>
    <row r="217" spans="1:5" x14ac:dyDescent="0.35">
      <c r="A217">
        <v>2019</v>
      </c>
      <c r="B217" t="s">
        <v>49</v>
      </c>
      <c r="C217" t="s">
        <v>86</v>
      </c>
      <c r="D217" t="s">
        <v>74</v>
      </c>
      <c r="E217">
        <v>0</v>
      </c>
    </row>
    <row r="218" spans="1:5" x14ac:dyDescent="0.35">
      <c r="A218">
        <v>2019</v>
      </c>
      <c r="B218" t="s">
        <v>50</v>
      </c>
      <c r="C218" t="s">
        <v>86</v>
      </c>
      <c r="D218" t="s">
        <v>74</v>
      </c>
      <c r="E218">
        <v>1</v>
      </c>
    </row>
    <row r="219" spans="1:5" x14ac:dyDescent="0.35">
      <c r="A219">
        <v>2019</v>
      </c>
      <c r="B219" t="s">
        <v>51</v>
      </c>
      <c r="C219" t="s">
        <v>86</v>
      </c>
      <c r="D219" t="s">
        <v>74</v>
      </c>
      <c r="E219">
        <v>2</v>
      </c>
    </row>
    <row r="220" spans="1:5" x14ac:dyDescent="0.35">
      <c r="A220">
        <v>2019</v>
      </c>
      <c r="B220" t="s">
        <v>52</v>
      </c>
      <c r="C220" t="s">
        <v>86</v>
      </c>
      <c r="D220" t="s">
        <v>74</v>
      </c>
      <c r="E220">
        <v>0</v>
      </c>
    </row>
    <row r="221" spans="1:5" x14ac:dyDescent="0.35">
      <c r="A221">
        <v>2019</v>
      </c>
      <c r="B221" t="s">
        <v>53</v>
      </c>
      <c r="C221" t="s">
        <v>86</v>
      </c>
      <c r="D221" t="s">
        <v>74</v>
      </c>
      <c r="E221">
        <v>1</v>
      </c>
    </row>
    <row r="222" spans="1:5" x14ac:dyDescent="0.35">
      <c r="A222">
        <v>2019</v>
      </c>
      <c r="B222" t="s">
        <v>54</v>
      </c>
      <c r="C222" t="s">
        <v>86</v>
      </c>
      <c r="D222" t="s">
        <v>74</v>
      </c>
      <c r="E222">
        <v>0</v>
      </c>
    </row>
    <row r="223" spans="1:5" x14ac:dyDescent="0.35">
      <c r="A223">
        <v>2019</v>
      </c>
      <c r="B223" t="s">
        <v>55</v>
      </c>
      <c r="C223" t="s">
        <v>86</v>
      </c>
      <c r="D223" t="s">
        <v>74</v>
      </c>
      <c r="E223">
        <v>1</v>
      </c>
    </row>
    <row r="224" spans="1:5" x14ac:dyDescent="0.35">
      <c r="A224">
        <v>2019</v>
      </c>
      <c r="B224" t="s">
        <v>56</v>
      </c>
      <c r="C224" t="s">
        <v>86</v>
      </c>
      <c r="D224" t="s">
        <v>74</v>
      </c>
      <c r="E224">
        <v>0</v>
      </c>
    </row>
    <row r="225" spans="1:5" x14ac:dyDescent="0.35">
      <c r="A225">
        <v>2019</v>
      </c>
      <c r="B225" t="s">
        <v>57</v>
      </c>
      <c r="C225" t="s">
        <v>86</v>
      </c>
      <c r="D225" t="s">
        <v>74</v>
      </c>
      <c r="E225">
        <v>3</v>
      </c>
    </row>
    <row r="226" spans="1:5" x14ac:dyDescent="0.35">
      <c r="A226">
        <v>2019</v>
      </c>
      <c r="B226" t="s">
        <v>24</v>
      </c>
      <c r="C226" t="s">
        <v>86</v>
      </c>
      <c r="D226" t="s">
        <v>74</v>
      </c>
      <c r="E226">
        <v>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0A4F-E9D8-4F6B-9B66-4D1A4EC8253D}">
  <sheetPr codeName="Sheet12">
    <tabColor rgb="FFFF0000"/>
  </sheetPr>
  <dimension ref="B2:R53"/>
  <sheetViews>
    <sheetView workbookViewId="0">
      <selection activeCell="C24" sqref="C24"/>
    </sheetView>
  </sheetViews>
  <sheetFormatPr defaultRowHeight="14.5" x14ac:dyDescent="0.35"/>
  <sheetData>
    <row r="2" spans="2:18" x14ac:dyDescent="0.35">
      <c r="B2" s="28" t="s">
        <v>87</v>
      </c>
      <c r="C2" t="s">
        <v>88</v>
      </c>
    </row>
    <row r="3" spans="2:18" x14ac:dyDescent="0.35">
      <c r="B3" s="29" t="s">
        <v>89</v>
      </c>
      <c r="C3" t="s">
        <v>90</v>
      </c>
    </row>
    <row r="4" spans="2:18" x14ac:dyDescent="0.35">
      <c r="B4" s="29"/>
    </row>
    <row r="6" spans="2:18" x14ac:dyDescent="0.35">
      <c r="B6" s="30" t="s">
        <v>91</v>
      </c>
      <c r="D6" s="30" t="s">
        <v>77</v>
      </c>
      <c r="F6" s="30" t="s">
        <v>92</v>
      </c>
      <c r="H6" s="31">
        <f>MAX(H8:H52)</f>
        <v>45</v>
      </c>
      <c r="I6" s="30" t="s">
        <v>93</v>
      </c>
      <c r="K6" s="30" t="s">
        <v>94</v>
      </c>
    </row>
    <row r="7" spans="2:18" x14ac:dyDescent="0.35">
      <c r="B7" s="35" t="s">
        <v>95</v>
      </c>
      <c r="D7" s="32" t="s">
        <v>96</v>
      </c>
      <c r="F7" s="32" t="s">
        <v>97</v>
      </c>
      <c r="H7" s="31">
        <v>41</v>
      </c>
      <c r="I7" s="28" t="str">
        <f>VLOOKUP(H7,H8:I54,2,FALSE)</f>
        <v>Warwickshire</v>
      </c>
      <c r="K7" s="32" t="str">
        <f>CONCATENATE("_",D7,".xlsx")</f>
        <v>_2019_20.xlsx</v>
      </c>
    </row>
    <row r="8" spans="2:18" x14ac:dyDescent="0.35">
      <c r="D8" s="36" t="str">
        <f>CONCATENATE(LEFT(D7,4),"-",RIGHT(D7,2))</f>
        <v>2019-20</v>
      </c>
      <c r="H8" s="34">
        <v>1</v>
      </c>
      <c r="I8" s="29" t="s">
        <v>13</v>
      </c>
    </row>
    <row r="9" spans="2:18" x14ac:dyDescent="0.35">
      <c r="D9" s="36" t="str">
        <f>CONCATENATE(LEFT(D7,2),RIGHT(D7,2))</f>
        <v>2020</v>
      </c>
      <c r="H9" s="34">
        <v>2</v>
      </c>
      <c r="I9" s="29" t="s">
        <v>14</v>
      </c>
    </row>
    <row r="10" spans="2:18" x14ac:dyDescent="0.35">
      <c r="H10" s="34">
        <v>3</v>
      </c>
      <c r="I10" s="29" t="s">
        <v>15</v>
      </c>
    </row>
    <row r="11" spans="2:18" x14ac:dyDescent="0.35">
      <c r="H11" s="34">
        <v>4</v>
      </c>
      <c r="I11" s="29" t="s">
        <v>16</v>
      </c>
    </row>
    <row r="12" spans="2:18" x14ac:dyDescent="0.35">
      <c r="H12" s="34">
        <v>5</v>
      </c>
      <c r="I12" s="29" t="s">
        <v>17</v>
      </c>
    </row>
    <row r="13" spans="2:18" x14ac:dyDescent="0.35">
      <c r="H13" s="34">
        <v>6</v>
      </c>
      <c r="I13" s="29" t="s">
        <v>18</v>
      </c>
      <c r="M13" s="30" t="s">
        <v>98</v>
      </c>
      <c r="O13" s="31">
        <f>MAX(O15)</f>
        <v>1</v>
      </c>
      <c r="P13" s="30" t="s">
        <v>99</v>
      </c>
      <c r="Q13" s="37" t="s">
        <v>100</v>
      </c>
      <c r="R13" s="37" t="s">
        <v>101</v>
      </c>
    </row>
    <row r="14" spans="2:18" x14ac:dyDescent="0.35">
      <c r="H14" s="34">
        <v>7</v>
      </c>
      <c r="I14" s="29" t="s">
        <v>19</v>
      </c>
      <c r="M14" s="32" t="s">
        <v>102</v>
      </c>
      <c r="O14" s="31">
        <v>2</v>
      </c>
      <c r="P14" s="28" t="e">
        <f>VLOOKUP(O14,O15:P15,2,FALSE)</f>
        <v>#N/A</v>
      </c>
      <c r="Q14" s="36" t="e">
        <f>VLOOKUP(P14,P15:Q15,2,FALSE)</f>
        <v>#N/A</v>
      </c>
      <c r="R14" s="36" t="e">
        <f>VLOOKUP(Q14,Q15:R15,2,FALSE)</f>
        <v>#N/A</v>
      </c>
    </row>
    <row r="15" spans="2:18" x14ac:dyDescent="0.35">
      <c r="H15" s="34">
        <v>8</v>
      </c>
      <c r="I15" s="29" t="s">
        <v>20</v>
      </c>
      <c r="O15">
        <v>1</v>
      </c>
      <c r="P15" s="29" t="s">
        <v>103</v>
      </c>
      <c r="Q15" s="34" t="s">
        <v>82</v>
      </c>
      <c r="R15" s="34" t="s">
        <v>83</v>
      </c>
    </row>
    <row r="16" spans="2:18" x14ac:dyDescent="0.35">
      <c r="H16" s="34">
        <v>9</v>
      </c>
      <c r="I16" s="29" t="s">
        <v>21</v>
      </c>
      <c r="P16" s="29"/>
      <c r="Q16" s="34"/>
    </row>
    <row r="17" spans="8:18" x14ac:dyDescent="0.35">
      <c r="H17" s="34">
        <v>10</v>
      </c>
      <c r="I17" s="29" t="s">
        <v>22</v>
      </c>
      <c r="P17" s="29"/>
      <c r="Q17" s="34"/>
    </row>
    <row r="18" spans="8:18" x14ac:dyDescent="0.35">
      <c r="H18" s="34">
        <v>11</v>
      </c>
      <c r="I18" s="29" t="s">
        <v>23</v>
      </c>
      <c r="P18" s="29"/>
      <c r="Q18" s="34"/>
    </row>
    <row r="19" spans="8:18" x14ac:dyDescent="0.35">
      <c r="H19" s="34">
        <v>12</v>
      </c>
      <c r="I19" s="29" t="s">
        <v>25</v>
      </c>
      <c r="P19" s="29"/>
    </row>
    <row r="20" spans="8:18" x14ac:dyDescent="0.35">
      <c r="H20" s="34">
        <v>13</v>
      </c>
      <c r="I20" s="29" t="s">
        <v>26</v>
      </c>
      <c r="M20" s="30" t="s">
        <v>98</v>
      </c>
      <c r="N20" s="34"/>
      <c r="O20" s="38">
        <f>MAX(O22)</f>
        <v>1</v>
      </c>
      <c r="P20" s="37" t="s">
        <v>104</v>
      </c>
      <c r="Q20" s="37" t="s">
        <v>105</v>
      </c>
      <c r="R20" s="37" t="s">
        <v>106</v>
      </c>
    </row>
    <row r="21" spans="8:18" x14ac:dyDescent="0.35">
      <c r="H21" s="34">
        <v>14</v>
      </c>
      <c r="I21" s="29" t="s">
        <v>27</v>
      </c>
      <c r="M21" s="32" t="s">
        <v>102</v>
      </c>
      <c r="N21" s="34"/>
      <c r="O21" s="38">
        <v>2</v>
      </c>
      <c r="P21" s="36" t="e">
        <f>VLOOKUP(O21,O22:P22,2,FALSE)</f>
        <v>#N/A</v>
      </c>
      <c r="Q21" s="36" t="e">
        <f>VLOOKUP(P21,P22:Q22,2,FALSE)</f>
        <v>#N/A</v>
      </c>
      <c r="R21" s="36" t="e">
        <f>VLOOKUP(Q21,Q22:R22,2,FALSE)</f>
        <v>#N/A</v>
      </c>
    </row>
    <row r="22" spans="8:18" x14ac:dyDescent="0.35">
      <c r="H22" s="34">
        <v>15</v>
      </c>
      <c r="I22" s="29" t="s">
        <v>28</v>
      </c>
      <c r="M22" s="39"/>
      <c r="N22" s="34"/>
      <c r="O22">
        <v>1</v>
      </c>
      <c r="P22" s="29" t="s">
        <v>107</v>
      </c>
      <c r="Q22" s="34" t="s">
        <v>82</v>
      </c>
      <c r="R22" s="34" t="s">
        <v>84</v>
      </c>
    </row>
    <row r="23" spans="8:18" x14ac:dyDescent="0.35">
      <c r="H23" s="34">
        <v>16</v>
      </c>
      <c r="I23" s="29" t="s">
        <v>29</v>
      </c>
      <c r="M23" s="39"/>
      <c r="N23" s="34"/>
      <c r="O23" s="34"/>
      <c r="P23" s="39"/>
      <c r="Q23" s="34"/>
      <c r="R23" s="34"/>
    </row>
    <row r="24" spans="8:18" x14ac:dyDescent="0.35">
      <c r="H24" s="34">
        <v>17</v>
      </c>
      <c r="I24" s="29" t="s">
        <v>30</v>
      </c>
      <c r="M24" s="39"/>
      <c r="N24" s="34"/>
      <c r="O24" s="34"/>
      <c r="P24" s="39"/>
      <c r="Q24" s="34"/>
      <c r="R24" s="34"/>
    </row>
    <row r="25" spans="8:18" x14ac:dyDescent="0.35">
      <c r="H25" s="34">
        <v>18</v>
      </c>
      <c r="I25" s="29" t="s">
        <v>31</v>
      </c>
      <c r="M25" s="39"/>
      <c r="N25" s="34"/>
      <c r="O25" s="34"/>
      <c r="P25" s="39"/>
      <c r="Q25" s="34"/>
      <c r="R25" s="34"/>
    </row>
    <row r="26" spans="8:18" x14ac:dyDescent="0.35">
      <c r="H26" s="34">
        <v>19</v>
      </c>
      <c r="I26" s="29" t="s">
        <v>32</v>
      </c>
      <c r="M26" s="34"/>
      <c r="N26" s="34"/>
      <c r="O26" s="34"/>
      <c r="P26" s="34"/>
      <c r="Q26" s="34"/>
      <c r="R26" s="34"/>
    </row>
    <row r="27" spans="8:18" x14ac:dyDescent="0.35">
      <c r="H27" s="34">
        <v>20</v>
      </c>
      <c r="I27" s="29" t="s">
        <v>33</v>
      </c>
      <c r="M27" s="30" t="s">
        <v>98</v>
      </c>
      <c r="N27" s="34"/>
      <c r="O27" s="38">
        <f>MAX(O29)</f>
        <v>1</v>
      </c>
      <c r="P27" s="37" t="s">
        <v>108</v>
      </c>
      <c r="Q27" s="37" t="s">
        <v>109</v>
      </c>
      <c r="R27" s="37" t="s">
        <v>110</v>
      </c>
    </row>
    <row r="28" spans="8:18" x14ac:dyDescent="0.35">
      <c r="H28" s="34">
        <v>21</v>
      </c>
      <c r="I28" s="29" t="s">
        <v>34</v>
      </c>
      <c r="M28" s="32" t="s">
        <v>102</v>
      </c>
      <c r="N28" s="34"/>
      <c r="O28" s="38">
        <v>2</v>
      </c>
      <c r="P28" s="36" t="e">
        <f>VLOOKUP(O28,O29:P29,2,FALSE)</f>
        <v>#N/A</v>
      </c>
      <c r="Q28" s="36" t="e">
        <f>VLOOKUP(P28,P29:Q29,2,FALSE)</f>
        <v>#N/A</v>
      </c>
      <c r="R28" s="36" t="e">
        <f>VLOOKUP(Q28,Q29:R29,2,FALSE)</f>
        <v>#N/A</v>
      </c>
    </row>
    <row r="29" spans="8:18" x14ac:dyDescent="0.35">
      <c r="H29" s="34">
        <v>22</v>
      </c>
      <c r="I29" s="29" t="s">
        <v>76</v>
      </c>
      <c r="M29" s="39"/>
      <c r="N29" s="34"/>
      <c r="O29" s="34">
        <v>1</v>
      </c>
      <c r="P29" s="39" t="s">
        <v>111</v>
      </c>
      <c r="Q29" s="34" t="s">
        <v>85</v>
      </c>
      <c r="R29" s="34" t="s">
        <v>83</v>
      </c>
    </row>
    <row r="30" spans="8:18" x14ac:dyDescent="0.35">
      <c r="H30" s="34">
        <v>23</v>
      </c>
      <c r="I30" s="29" t="s">
        <v>36</v>
      </c>
      <c r="M30" s="39"/>
      <c r="N30" s="34"/>
      <c r="O30" s="34"/>
      <c r="P30" s="39"/>
      <c r="Q30" s="34"/>
      <c r="R30" s="34"/>
    </row>
    <row r="31" spans="8:18" x14ac:dyDescent="0.35">
      <c r="H31" s="34">
        <v>24</v>
      </c>
      <c r="I31" s="29" t="s">
        <v>37</v>
      </c>
      <c r="M31" s="39"/>
      <c r="N31" s="34"/>
      <c r="O31" s="34"/>
      <c r="P31" s="39"/>
      <c r="Q31" s="34"/>
      <c r="R31" s="34"/>
    </row>
    <row r="32" spans="8:18" x14ac:dyDescent="0.35">
      <c r="H32" s="34">
        <v>25</v>
      </c>
      <c r="I32" s="29" t="s">
        <v>38</v>
      </c>
      <c r="M32" s="39"/>
      <c r="N32" s="34"/>
      <c r="O32" s="34"/>
      <c r="P32" s="39"/>
      <c r="Q32" s="34"/>
      <c r="R32" s="34"/>
    </row>
    <row r="33" spans="8:18" x14ac:dyDescent="0.35">
      <c r="H33" s="34">
        <v>26</v>
      </c>
      <c r="I33" s="29" t="s">
        <v>39</v>
      </c>
      <c r="M33" s="39"/>
      <c r="N33" s="34"/>
      <c r="O33" s="34"/>
      <c r="P33" s="39"/>
      <c r="Q33" s="34"/>
      <c r="R33" s="34"/>
    </row>
    <row r="34" spans="8:18" x14ac:dyDescent="0.35">
      <c r="H34" s="34">
        <v>27</v>
      </c>
      <c r="I34" s="29" t="s">
        <v>40</v>
      </c>
      <c r="M34" s="30" t="s">
        <v>98</v>
      </c>
      <c r="N34" s="34"/>
      <c r="O34" s="38">
        <f>MAX(O36)</f>
        <v>1</v>
      </c>
      <c r="P34" s="37" t="s">
        <v>112</v>
      </c>
      <c r="Q34" s="37" t="s">
        <v>113</v>
      </c>
      <c r="R34" s="37" t="s">
        <v>114</v>
      </c>
    </row>
    <row r="35" spans="8:18" x14ac:dyDescent="0.35">
      <c r="H35" s="34">
        <v>28</v>
      </c>
      <c r="I35" s="29" t="s">
        <v>41</v>
      </c>
      <c r="M35" s="32" t="s">
        <v>102</v>
      </c>
      <c r="N35" s="34"/>
      <c r="O35" s="38">
        <v>2</v>
      </c>
      <c r="P35" s="36" t="e">
        <f>VLOOKUP(O35,O36:P36,2,FALSE)</f>
        <v>#N/A</v>
      </c>
      <c r="Q35" s="36" t="e">
        <f>VLOOKUP(P35,P36:Q36,2,FALSE)</f>
        <v>#N/A</v>
      </c>
      <c r="R35" s="36" t="e">
        <f>VLOOKUP(Q35,Q36:R36,2,FALSE)</f>
        <v>#N/A</v>
      </c>
    </row>
    <row r="36" spans="8:18" x14ac:dyDescent="0.35">
      <c r="H36" s="34">
        <v>29</v>
      </c>
      <c r="I36" s="29" t="s">
        <v>42</v>
      </c>
      <c r="M36" s="39"/>
      <c r="N36" s="34"/>
      <c r="O36" s="34">
        <v>1</v>
      </c>
      <c r="P36" s="39" t="s">
        <v>115</v>
      </c>
      <c r="Q36" s="34" t="s">
        <v>85</v>
      </c>
      <c r="R36" s="34" t="s">
        <v>84</v>
      </c>
    </row>
    <row r="37" spans="8:18" x14ac:dyDescent="0.35">
      <c r="H37" s="34">
        <v>30</v>
      </c>
      <c r="I37" s="29" t="s">
        <v>43</v>
      </c>
      <c r="M37" s="39"/>
      <c r="N37" s="34"/>
      <c r="O37" s="34"/>
      <c r="P37" s="39"/>
      <c r="Q37" s="34"/>
      <c r="R37" s="34"/>
    </row>
    <row r="38" spans="8:18" x14ac:dyDescent="0.35">
      <c r="H38" s="34">
        <v>31</v>
      </c>
      <c r="I38" s="29" t="s">
        <v>44</v>
      </c>
      <c r="M38" s="39"/>
      <c r="N38" s="34"/>
      <c r="O38" s="34"/>
      <c r="P38" s="39"/>
      <c r="Q38" s="34"/>
      <c r="R38" s="34"/>
    </row>
    <row r="39" spans="8:18" x14ac:dyDescent="0.35">
      <c r="H39" s="34">
        <v>32</v>
      </c>
      <c r="I39" s="29" t="s">
        <v>45</v>
      </c>
      <c r="M39" s="39"/>
      <c r="N39" s="34"/>
      <c r="O39" s="34"/>
      <c r="P39" s="39"/>
      <c r="Q39" s="34"/>
      <c r="R39" s="34"/>
    </row>
    <row r="40" spans="8:18" x14ac:dyDescent="0.35">
      <c r="H40" s="34">
        <v>33</v>
      </c>
      <c r="I40" s="29" t="s">
        <v>46</v>
      </c>
      <c r="M40" s="39"/>
      <c r="N40" s="39"/>
      <c r="O40" s="39"/>
      <c r="P40" s="39"/>
      <c r="Q40" s="39"/>
      <c r="R40" s="39"/>
    </row>
    <row r="41" spans="8:18" x14ac:dyDescent="0.35">
      <c r="H41" s="34">
        <v>34</v>
      </c>
      <c r="I41" s="29" t="s">
        <v>47</v>
      </c>
      <c r="M41" s="30" t="s">
        <v>98</v>
      </c>
      <c r="N41" s="34"/>
      <c r="O41" s="38">
        <f>MAX(O43)</f>
        <v>1</v>
      </c>
      <c r="P41" s="37" t="s">
        <v>116</v>
      </c>
      <c r="Q41" s="37" t="s">
        <v>117</v>
      </c>
      <c r="R41" s="37" t="s">
        <v>118</v>
      </c>
    </row>
    <row r="42" spans="8:18" x14ac:dyDescent="0.35">
      <c r="H42" s="34">
        <v>35</v>
      </c>
      <c r="I42" s="29" t="s">
        <v>48</v>
      </c>
      <c r="M42" s="32" t="s">
        <v>102</v>
      </c>
      <c r="N42" s="34"/>
      <c r="O42" s="38">
        <v>1</v>
      </c>
      <c r="P42" s="36" t="str">
        <f>VLOOKUP(O42,O43:P43,2,FALSE)</f>
        <v>F10</v>
      </c>
      <c r="Q42" s="36" t="str">
        <f>VLOOKUP(P42,P43:Q43,2,FALSE)</f>
        <v>Other vehicles</v>
      </c>
      <c r="R42" s="36" t="str">
        <f>VLOOKUP(Q42,Q43:R43,2,FALSE)</f>
        <v>On or off blue light</v>
      </c>
    </row>
    <row r="43" spans="8:18" x14ac:dyDescent="0.35">
      <c r="H43" s="34">
        <v>36</v>
      </c>
      <c r="I43" s="29" t="s">
        <v>49</v>
      </c>
      <c r="M43" s="39"/>
      <c r="N43" s="34"/>
      <c r="O43" s="34">
        <v>1</v>
      </c>
      <c r="P43" s="39" t="s">
        <v>119</v>
      </c>
      <c r="Q43" s="34" t="s">
        <v>86</v>
      </c>
      <c r="R43" s="34" t="s">
        <v>74</v>
      </c>
    </row>
    <row r="44" spans="8:18" x14ac:dyDescent="0.35">
      <c r="H44" s="34">
        <v>37</v>
      </c>
      <c r="I44" s="29" t="s">
        <v>50</v>
      </c>
      <c r="M44" s="39"/>
      <c r="N44" s="34"/>
      <c r="O44" s="34"/>
      <c r="P44" s="39"/>
      <c r="Q44" s="34"/>
      <c r="R44" s="34"/>
    </row>
    <row r="45" spans="8:18" x14ac:dyDescent="0.35">
      <c r="H45" s="34">
        <v>38</v>
      </c>
      <c r="I45" s="29" t="s">
        <v>51</v>
      </c>
      <c r="M45" s="39"/>
      <c r="N45" s="34"/>
      <c r="O45" s="34"/>
      <c r="P45" s="39"/>
      <c r="Q45" s="34"/>
      <c r="R45" s="34"/>
    </row>
    <row r="46" spans="8:18" x14ac:dyDescent="0.35">
      <c r="H46" s="34">
        <v>39</v>
      </c>
      <c r="I46" s="29" t="s">
        <v>52</v>
      </c>
      <c r="M46" s="39"/>
      <c r="N46" s="34"/>
      <c r="O46" s="34"/>
      <c r="P46" s="39"/>
      <c r="Q46" s="34"/>
      <c r="R46" s="34"/>
    </row>
    <row r="47" spans="8:18" x14ac:dyDescent="0.35">
      <c r="H47" s="34">
        <v>40</v>
      </c>
      <c r="I47" s="29" t="s">
        <v>53</v>
      </c>
    </row>
    <row r="48" spans="8:18" x14ac:dyDescent="0.35">
      <c r="H48" s="34">
        <v>41</v>
      </c>
      <c r="I48" s="29" t="s">
        <v>54</v>
      </c>
    </row>
    <row r="49" spans="8:9" x14ac:dyDescent="0.35">
      <c r="H49" s="34">
        <v>42</v>
      </c>
      <c r="I49" s="29" t="s">
        <v>55</v>
      </c>
    </row>
    <row r="50" spans="8:9" x14ac:dyDescent="0.35">
      <c r="H50" s="34">
        <v>43</v>
      </c>
      <c r="I50" s="29" t="s">
        <v>56</v>
      </c>
    </row>
    <row r="51" spans="8:9" x14ac:dyDescent="0.35">
      <c r="H51" s="34">
        <v>44</v>
      </c>
      <c r="I51" s="29" t="s">
        <v>57</v>
      </c>
    </row>
    <row r="52" spans="8:9" x14ac:dyDescent="0.35">
      <c r="H52" s="34">
        <v>45</v>
      </c>
      <c r="I52" s="29" t="s">
        <v>24</v>
      </c>
    </row>
    <row r="53" spans="8:9" x14ac:dyDescent="0.35">
      <c r="H53" s="34"/>
      <c r="I53" s="29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1A81-3CDF-4AC5-8EFC-F7ECD351306D}">
  <sheetPr codeName="Sheet16"/>
  <dimension ref="B1:J24"/>
  <sheetViews>
    <sheetView workbookViewId="0">
      <selection activeCell="C24" sqref="C24"/>
    </sheetView>
  </sheetViews>
  <sheetFormatPr defaultRowHeight="14.5" x14ac:dyDescent="0.35"/>
  <cols>
    <col min="2" max="2" width="80.7265625" customWidth="1"/>
    <col min="4" max="4" width="6.26953125" bestFit="1" customWidth="1"/>
    <col min="5" max="5" width="2.26953125" hidden="1" customWidth="1"/>
    <col min="6" max="6" width="8.453125" hidden="1" customWidth="1"/>
    <col min="7" max="7" width="4" hidden="1" customWidth="1"/>
    <col min="8" max="8" width="116.7265625" bestFit="1" customWidth="1"/>
  </cols>
  <sheetData>
    <row r="1" spans="2:10" x14ac:dyDescent="0.35">
      <c r="B1" t="s">
        <v>120</v>
      </c>
      <c r="C1" t="s">
        <v>121</v>
      </c>
      <c r="D1" t="s">
        <v>122</v>
      </c>
      <c r="F1" t="s">
        <v>123</v>
      </c>
      <c r="G1" t="s">
        <v>124</v>
      </c>
    </row>
    <row r="2" spans="2:10" x14ac:dyDescent="0.35">
      <c r="F2" t="s">
        <v>125</v>
      </c>
      <c r="G2" t="s">
        <v>126</v>
      </c>
    </row>
    <row r="3" spans="2:10" x14ac:dyDescent="0.35">
      <c r="B3" s="42" t="s">
        <v>127</v>
      </c>
      <c r="C3" s="42" t="s">
        <v>128</v>
      </c>
      <c r="D3" s="42" t="s">
        <v>129</v>
      </c>
      <c r="E3" s="42"/>
      <c r="F3" s="42" t="s">
        <v>130</v>
      </c>
      <c r="G3" s="42"/>
      <c r="H3" s="42" t="s">
        <v>131</v>
      </c>
    </row>
    <row r="4" spans="2:10" x14ac:dyDescent="0.35">
      <c r="B4" t="s">
        <v>132</v>
      </c>
      <c r="C4" t="s">
        <v>123</v>
      </c>
      <c r="D4" t="s">
        <v>124</v>
      </c>
      <c r="E4">
        <f t="shared" ref="E4:E20" si="0">IF(D4="No",0,1)</f>
        <v>0</v>
      </c>
      <c r="F4" t="s">
        <v>133</v>
      </c>
    </row>
    <row r="5" spans="2:10" x14ac:dyDescent="0.35">
      <c r="B5" t="s">
        <v>134</v>
      </c>
      <c r="C5" t="s">
        <v>123</v>
      </c>
      <c r="D5" t="s">
        <v>124</v>
      </c>
      <c r="E5">
        <f t="shared" ref="E5:E6" si="1">IF(D5="No",0,1)</f>
        <v>0</v>
      </c>
      <c r="F5" t="s">
        <v>135</v>
      </c>
    </row>
    <row r="6" spans="2:10" x14ac:dyDescent="0.35">
      <c r="B6" t="s">
        <v>136</v>
      </c>
      <c r="C6" t="s">
        <v>123</v>
      </c>
      <c r="D6" t="s">
        <v>124</v>
      </c>
      <c r="E6">
        <f t="shared" si="1"/>
        <v>0</v>
      </c>
      <c r="F6" t="s">
        <v>122</v>
      </c>
    </row>
    <row r="7" spans="2:10" x14ac:dyDescent="0.35">
      <c r="B7" t="s">
        <v>137</v>
      </c>
      <c r="C7" t="s">
        <v>123</v>
      </c>
      <c r="D7" t="s">
        <v>124</v>
      </c>
      <c r="E7">
        <f t="shared" si="0"/>
        <v>0</v>
      </c>
      <c r="F7" t="s">
        <v>135</v>
      </c>
    </row>
    <row r="8" spans="2:10" x14ac:dyDescent="0.35">
      <c r="B8" t="s">
        <v>138</v>
      </c>
      <c r="C8" t="s">
        <v>123</v>
      </c>
      <c r="D8" t="s">
        <v>124</v>
      </c>
      <c r="E8">
        <f t="shared" si="0"/>
        <v>0</v>
      </c>
      <c r="F8" t="s">
        <v>122</v>
      </c>
    </row>
    <row r="9" spans="2:10" x14ac:dyDescent="0.35">
      <c r="B9" t="s">
        <v>139</v>
      </c>
      <c r="C9" t="s">
        <v>123</v>
      </c>
      <c r="D9" t="s">
        <v>124</v>
      </c>
      <c r="E9">
        <f t="shared" si="0"/>
        <v>0</v>
      </c>
    </row>
    <row r="10" spans="2:10" x14ac:dyDescent="0.35">
      <c r="B10" t="s">
        <v>140</v>
      </c>
      <c r="C10" t="s">
        <v>123</v>
      </c>
      <c r="D10" t="s">
        <v>124</v>
      </c>
      <c r="E10">
        <f t="shared" si="0"/>
        <v>0</v>
      </c>
    </row>
    <row r="11" spans="2:10" x14ac:dyDescent="0.35">
      <c r="B11" t="s">
        <v>141</v>
      </c>
      <c r="C11" t="s">
        <v>123</v>
      </c>
      <c r="D11" t="s">
        <v>124</v>
      </c>
      <c r="E11">
        <f t="shared" si="0"/>
        <v>0</v>
      </c>
      <c r="H11" t="s">
        <v>142</v>
      </c>
    </row>
    <row r="12" spans="2:10" x14ac:dyDescent="0.35">
      <c r="B12" t="s">
        <v>143</v>
      </c>
      <c r="C12" t="s">
        <v>123</v>
      </c>
      <c r="D12" t="s">
        <v>124</v>
      </c>
      <c r="E12">
        <f t="shared" si="0"/>
        <v>0</v>
      </c>
    </row>
    <row r="13" spans="2:10" x14ac:dyDescent="0.35">
      <c r="B13" t="s">
        <v>144</v>
      </c>
      <c r="C13" t="s">
        <v>123</v>
      </c>
      <c r="D13" t="s">
        <v>124</v>
      </c>
      <c r="E13">
        <f t="shared" si="0"/>
        <v>0</v>
      </c>
    </row>
    <row r="14" spans="2:10" x14ac:dyDescent="0.35">
      <c r="B14" t="s">
        <v>145</v>
      </c>
      <c r="C14" t="s">
        <v>123</v>
      </c>
      <c r="D14" t="s">
        <v>124</v>
      </c>
      <c r="E14">
        <f t="shared" si="0"/>
        <v>0</v>
      </c>
      <c r="H14" s="43" t="s">
        <v>146</v>
      </c>
    </row>
    <row r="15" spans="2:10" x14ac:dyDescent="0.35">
      <c r="B15" t="s">
        <v>147</v>
      </c>
      <c r="C15" t="s">
        <v>123</v>
      </c>
      <c r="D15" t="s">
        <v>124</v>
      </c>
      <c r="E15">
        <f t="shared" si="0"/>
        <v>0</v>
      </c>
      <c r="H15" s="90"/>
      <c r="I15" s="90"/>
      <c r="J15" s="90"/>
    </row>
    <row r="16" spans="2:10" x14ac:dyDescent="0.35">
      <c r="B16" t="s">
        <v>148</v>
      </c>
      <c r="C16" t="s">
        <v>123</v>
      </c>
      <c r="D16" t="s">
        <v>124</v>
      </c>
      <c r="E16">
        <f t="shared" si="0"/>
        <v>0</v>
      </c>
      <c r="H16" t="s">
        <v>149</v>
      </c>
    </row>
    <row r="17" spans="2:5" x14ac:dyDescent="0.35">
      <c r="B17" t="s">
        <v>150</v>
      </c>
      <c r="C17" t="s">
        <v>123</v>
      </c>
      <c r="D17" t="s">
        <v>124</v>
      </c>
      <c r="E17">
        <f t="shared" si="0"/>
        <v>0</v>
      </c>
    </row>
    <row r="18" spans="2:5" x14ac:dyDescent="0.35">
      <c r="B18" t="s">
        <v>151</v>
      </c>
      <c r="C18" t="s">
        <v>123</v>
      </c>
      <c r="D18" t="s">
        <v>124</v>
      </c>
      <c r="E18">
        <f t="shared" si="0"/>
        <v>0</v>
      </c>
    </row>
    <row r="19" spans="2:5" x14ac:dyDescent="0.35">
      <c r="B19" t="s">
        <v>152</v>
      </c>
      <c r="C19" t="s">
        <v>122</v>
      </c>
      <c r="D19" t="s">
        <v>153</v>
      </c>
      <c r="E19">
        <f t="shared" si="0"/>
        <v>1</v>
      </c>
    </row>
    <row r="20" spans="2:5" x14ac:dyDescent="0.35">
      <c r="B20" t="s">
        <v>154</v>
      </c>
      <c r="C20" t="s">
        <v>123</v>
      </c>
      <c r="D20" t="s">
        <v>124</v>
      </c>
      <c r="E20">
        <f t="shared" si="0"/>
        <v>0</v>
      </c>
    </row>
    <row r="24" spans="2:5" x14ac:dyDescent="0.35">
      <c r="B24" t="s">
        <v>155</v>
      </c>
      <c r="C24" s="44">
        <f>SUM(E4:E20)</f>
        <v>1</v>
      </c>
    </row>
  </sheetData>
  <mergeCells count="1">
    <mergeCell ref="H15:J15"/>
  </mergeCells>
  <conditionalFormatting sqref="D4 D24 D7:D21">
    <cfRule type="containsText" dxfId="10" priority="20" operator="containsText" text="Yes">
      <formula>NOT(ISERROR(SEARCH("Yes",D4)))</formula>
    </cfRule>
    <cfRule type="containsText" dxfId="9" priority="21" operator="containsText" text="No">
      <formula>NOT(ISERROR(SEARCH("No",D4)))</formula>
    </cfRule>
  </conditionalFormatting>
  <conditionalFormatting sqref="C4 C7:C19">
    <cfRule type="notContainsBlanks" dxfId="8" priority="22">
      <formula>LEN(TRIM(C4))&gt;0</formula>
    </cfRule>
  </conditionalFormatting>
  <conditionalFormatting sqref="C21">
    <cfRule type="notContainsBlanks" dxfId="7" priority="19">
      <formula>LEN(TRIM(C21))&gt;0</formula>
    </cfRule>
  </conditionalFormatting>
  <conditionalFormatting sqref="C24">
    <cfRule type="cellIs" dxfId="6" priority="15" operator="greaterThan">
      <formula>0</formula>
    </cfRule>
    <cfRule type="cellIs" dxfId="5" priority="16" operator="lessThan">
      <formula>1</formula>
    </cfRule>
  </conditionalFormatting>
  <conditionalFormatting sqref="D1">
    <cfRule type="notContainsBlanks" dxfId="4" priority="5">
      <formula>LEN(TRIM(D1))&gt;0</formula>
    </cfRule>
  </conditionalFormatting>
  <conditionalFormatting sqref="D5:D6">
    <cfRule type="containsText" dxfId="3" priority="2" operator="containsText" text="Yes">
      <formula>NOT(ISERROR(SEARCH("Yes",D5)))</formula>
    </cfRule>
    <cfRule type="containsText" dxfId="2" priority="3" operator="containsText" text="No">
      <formula>NOT(ISERROR(SEARCH("No",D5)))</formula>
    </cfRule>
  </conditionalFormatting>
  <conditionalFormatting sqref="C5:C6">
    <cfRule type="notContainsBlanks" dxfId="1" priority="4">
      <formula>LEN(TRIM(C5))&gt;0</formula>
    </cfRule>
  </conditionalFormatting>
  <conditionalFormatting sqref="C20">
    <cfRule type="notContainsBlanks" dxfId="0" priority="1">
      <formula>LEN(TRIM(C20))&gt;0</formula>
    </cfRule>
  </conditionalFormatting>
  <dataValidations count="4">
    <dataValidation type="list" allowBlank="1" showInputMessage="1" showErrorMessage="1" sqref="C21" xr:uid="{8A8EBADD-83C1-424B-92A0-726F6D3ECDC5}">
      <formula1>$P$1:$P$10</formula1>
    </dataValidation>
    <dataValidation type="list" allowBlank="1" showInputMessage="1" showErrorMessage="1" sqref="D4:D20" xr:uid="{B5A03798-4880-49C4-BA95-406F15834F8A}">
      <formula1>$G$1:$G$2</formula1>
    </dataValidation>
    <dataValidation type="list" allowBlank="1" showInputMessage="1" showErrorMessage="1" sqref="D1 C4:C20" xr:uid="{AF02E5B2-29F2-460F-B478-7A568C6A5E63}">
      <formula1>$F$1:$F$8</formula1>
    </dataValidation>
    <dataValidation type="list" allowBlank="1" showInputMessage="1" showErrorMessage="1" sqref="D21 D24" xr:uid="{4ED66955-CB12-45BF-9BFA-3351FDEE6B70}">
      <formula1>$Q$1:$Q$2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9F25-E9A7-425F-BEC1-668C6A823503}">
  <sheetPr codeName="Sheet9">
    <tabColor rgb="FFFF0000"/>
  </sheetPr>
  <dimension ref="A4:H58"/>
  <sheetViews>
    <sheetView workbookViewId="0">
      <selection activeCell="C24" sqref="C24"/>
    </sheetView>
  </sheetViews>
  <sheetFormatPr defaultRowHeight="14.5" x14ac:dyDescent="0.35"/>
  <cols>
    <col min="1" max="1" width="21" bestFit="1" customWidth="1"/>
  </cols>
  <sheetData>
    <row r="4" spans="1:8" x14ac:dyDescent="0.35">
      <c r="A4" s="14" t="str">
        <f>FIRE1402!A3</f>
        <v>2020-21</v>
      </c>
    </row>
    <row r="6" spans="1:8" x14ac:dyDescent="0.35">
      <c r="B6" t="s">
        <v>1</v>
      </c>
      <c r="E6" t="s">
        <v>2</v>
      </c>
      <c r="H6" t="s">
        <v>3</v>
      </c>
    </row>
    <row r="7" spans="1:8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8" x14ac:dyDescent="0.35">
      <c r="A8" t="s">
        <v>7</v>
      </c>
      <c r="B8">
        <f ca="1">INDIRECT("'("&amp;$A$4&amp;")'!b8")</f>
        <v>707</v>
      </c>
      <c r="C8">
        <f ca="1">INDIRECT("'("&amp;$A$4&amp;")'!c8")</f>
        <v>930</v>
      </c>
      <c r="E8">
        <f ca="1">INDIRECT("'("&amp;$A$4&amp;")'!e8")</f>
        <v>50</v>
      </c>
      <c r="F8">
        <f ca="1">INDIRECT("'("&amp;$A$4&amp;")'!f8")</f>
        <v>434</v>
      </c>
      <c r="H8">
        <f ca="1">INDIRECT("'("&amp;$A$4&amp;")'!h8")</f>
        <v>116</v>
      </c>
    </row>
    <row r="9" spans="1:8" x14ac:dyDescent="0.35">
      <c r="A9" t="s">
        <v>8</v>
      </c>
      <c r="B9">
        <f ca="1">INDIRECT("'("&amp;$A$4&amp;")'!b9")</f>
        <v>449</v>
      </c>
      <c r="C9">
        <f ca="1">INDIRECT("'("&amp;$A$4&amp;")'!c9")</f>
        <v>652</v>
      </c>
      <c r="E9">
        <f ca="1">INDIRECT("'("&amp;$A$4&amp;")'!e9")</f>
        <v>26</v>
      </c>
      <c r="F9">
        <f ca="1">INDIRECT("'("&amp;$A$4&amp;")'!f9")</f>
        <v>336</v>
      </c>
      <c r="H9">
        <f ca="1">INDIRECT("'("&amp;$A$4&amp;")'!h9")</f>
        <v>41</v>
      </c>
    </row>
    <row r="10" spans="1:8" x14ac:dyDescent="0.35">
      <c r="A10" t="s">
        <v>9</v>
      </c>
      <c r="B10">
        <f ca="1">INDIRECT("'("&amp;$A$4&amp;")'!b10")</f>
        <v>258</v>
      </c>
      <c r="C10">
        <f ca="1">INDIRECT("'("&amp;$A$4&amp;")'!c10")</f>
        <v>278</v>
      </c>
      <c r="E10">
        <f ca="1">INDIRECT("'("&amp;$A$4&amp;")'!e10")</f>
        <v>24</v>
      </c>
      <c r="F10">
        <f ca="1">INDIRECT("'("&amp;$A$4&amp;")'!f10")</f>
        <v>98</v>
      </c>
      <c r="H10">
        <f ca="1">INDIRECT("'("&amp;$A$4&amp;")'!h10")</f>
        <v>75</v>
      </c>
    </row>
    <row r="11" spans="1:8" x14ac:dyDescent="0.35">
      <c r="A11" t="s">
        <v>10</v>
      </c>
      <c r="B11">
        <f ca="1">INDIRECT("'("&amp;$A$4&amp;")'!b11")</f>
        <v>361</v>
      </c>
      <c r="C11">
        <f ca="1">INDIRECT("'("&amp;$A$4&amp;")'!c11")</f>
        <v>431</v>
      </c>
      <c r="E11">
        <f ca="1">INDIRECT("'("&amp;$A$4&amp;")'!e11")</f>
        <v>35</v>
      </c>
      <c r="F11">
        <f ca="1">INDIRECT("'("&amp;$A$4&amp;")'!f11")</f>
        <v>155</v>
      </c>
      <c r="H11">
        <f ca="1">INDIRECT("'("&amp;$A$4&amp;")'!h11")</f>
        <v>82</v>
      </c>
    </row>
    <row r="12" spans="1:8" x14ac:dyDescent="0.35">
      <c r="A12" t="s">
        <v>11</v>
      </c>
      <c r="B12">
        <f ca="1">INDIRECT("'("&amp;$A$4&amp;")'!b12")</f>
        <v>178</v>
      </c>
      <c r="C12">
        <f ca="1">INDIRECT("'("&amp;$A$4&amp;")'!c12")</f>
        <v>356</v>
      </c>
      <c r="E12">
        <f ca="1">INDIRECT("'("&amp;$A$4&amp;")'!e12")</f>
        <v>8</v>
      </c>
      <c r="F12">
        <f ca="1">INDIRECT("'("&amp;$A$4&amp;")'!f12")</f>
        <v>182</v>
      </c>
      <c r="H12">
        <f ca="1">INDIRECT("'("&amp;$A$4&amp;")'!h12")</f>
        <v>8</v>
      </c>
    </row>
    <row r="13" spans="1:8" x14ac:dyDescent="0.35">
      <c r="A13" t="s">
        <v>12</v>
      </c>
      <c r="B13">
        <f ca="1">INDIRECT("'("&amp;$A$4&amp;")'!b13")</f>
        <v>168</v>
      </c>
      <c r="C13">
        <f ca="1">INDIRECT("'("&amp;$A$4&amp;")'!c13")</f>
        <v>143</v>
      </c>
      <c r="E13">
        <f ca="1">INDIRECT("'("&amp;$A$4&amp;")'!e13")</f>
        <v>7</v>
      </c>
      <c r="F13">
        <f ca="1">INDIRECT("'("&amp;$A$4&amp;")'!f13")</f>
        <v>97</v>
      </c>
      <c r="H13">
        <f ca="1">INDIRECT("'("&amp;$A$4&amp;")'!h13")</f>
        <v>26</v>
      </c>
    </row>
    <row r="14" spans="1:8" ht="35.15" customHeight="1" x14ac:dyDescent="0.35">
      <c r="A14" t="s">
        <v>13</v>
      </c>
      <c r="B14">
        <f ca="1">INDIRECT("'("&amp;$A$4&amp;")'!b14")</f>
        <v>8</v>
      </c>
      <c r="C14">
        <f ca="1">INDIRECT("'("&amp;$A$4&amp;")'!c14")</f>
        <v>15</v>
      </c>
      <c r="E14">
        <f ca="1">INDIRECT("'("&amp;$A$4&amp;")'!e14")</f>
        <v>0</v>
      </c>
      <c r="F14">
        <f ca="1">INDIRECT("'("&amp;$A$4&amp;")'!f14")</f>
        <v>2</v>
      </c>
      <c r="H14">
        <f ca="1">INDIRECT("'("&amp;$A$4&amp;")'!h14")</f>
        <v>0</v>
      </c>
    </row>
    <row r="15" spans="1:8" x14ac:dyDescent="0.35">
      <c r="A15" t="s">
        <v>14</v>
      </c>
      <c r="B15">
        <f ca="1">INDIRECT("'("&amp;$A$4&amp;")'!b15")</f>
        <v>0</v>
      </c>
      <c r="C15">
        <f ca="1">INDIRECT("'("&amp;$A$4&amp;")'!c15")</f>
        <v>18</v>
      </c>
      <c r="E15">
        <f ca="1">INDIRECT("'("&amp;$A$4&amp;")'!e15")</f>
        <v>0</v>
      </c>
      <c r="F15">
        <f ca="1">INDIRECT("'("&amp;$A$4&amp;")'!f15")</f>
        <v>8</v>
      </c>
      <c r="H15">
        <f ca="1">INDIRECT("'("&amp;$A$4&amp;")'!h15")</f>
        <v>0</v>
      </c>
    </row>
    <row r="16" spans="1:8" x14ac:dyDescent="0.35">
      <c r="A16" t="s">
        <v>15</v>
      </c>
      <c r="B16">
        <f ca="1">INDIRECT("'("&amp;$A$4&amp;")'!b16")</f>
        <v>7</v>
      </c>
      <c r="C16">
        <f ca="1">INDIRECT("'("&amp;$A$4&amp;")'!c16")</f>
        <v>15</v>
      </c>
      <c r="E16">
        <f ca="1">INDIRECT("'("&amp;$A$4&amp;")'!e16")</f>
        <v>0</v>
      </c>
      <c r="F16">
        <f ca="1">INDIRECT("'("&amp;$A$4&amp;")'!f16")</f>
        <v>2</v>
      </c>
      <c r="H16">
        <f ca="1">INDIRECT("'("&amp;$A$4&amp;")'!h16")</f>
        <v>0</v>
      </c>
    </row>
    <row r="17" spans="1:8" x14ac:dyDescent="0.35">
      <c r="A17" t="s">
        <v>16</v>
      </c>
      <c r="B17">
        <f ca="1">INDIRECT("'("&amp;$A$4&amp;")'!b17")</f>
        <v>9</v>
      </c>
      <c r="C17">
        <f ca="1">INDIRECT("'("&amp;$A$4&amp;")'!c17")</f>
        <v>5</v>
      </c>
      <c r="E17">
        <f ca="1">INDIRECT("'("&amp;$A$4&amp;")'!e17")</f>
        <v>0</v>
      </c>
      <c r="F17">
        <f ca="1">INDIRECT("'("&amp;$A$4&amp;")'!f17")</f>
        <v>2</v>
      </c>
      <c r="H17">
        <f ca="1">INDIRECT("'("&amp;$A$4&amp;")'!h17")</f>
        <v>0</v>
      </c>
    </row>
    <row r="18" spans="1:8" x14ac:dyDescent="0.35">
      <c r="A18" t="s">
        <v>17</v>
      </c>
      <c r="B18">
        <f ca="1">INDIRECT("'("&amp;$A$4&amp;")'!b18")</f>
        <v>6</v>
      </c>
      <c r="C18">
        <f ca="1">INDIRECT("'("&amp;$A$4&amp;")'!c18")</f>
        <v>9</v>
      </c>
      <c r="E18">
        <f ca="1">INDIRECT("'("&amp;$A$4&amp;")'!e18")</f>
        <v>0</v>
      </c>
      <c r="F18">
        <f ca="1">INDIRECT("'("&amp;$A$4&amp;")'!f18")</f>
        <v>8</v>
      </c>
      <c r="H18">
        <f ca="1">INDIRECT("'("&amp;$A$4&amp;")'!h18")</f>
        <v>0</v>
      </c>
    </row>
    <row r="19" spans="1:8" x14ac:dyDescent="0.35">
      <c r="A19" t="s">
        <v>18</v>
      </c>
      <c r="B19">
        <f ca="1">INDIRECT("'("&amp;$A$4&amp;")'!b19")</f>
        <v>13</v>
      </c>
      <c r="C19">
        <f ca="1">INDIRECT("'("&amp;$A$4&amp;")'!c19")</f>
        <v>18</v>
      </c>
      <c r="E19">
        <f ca="1">INDIRECT("'("&amp;$A$4&amp;")'!e19")</f>
        <v>0</v>
      </c>
      <c r="F19">
        <f ca="1">INDIRECT("'("&amp;$A$4&amp;")'!f19")</f>
        <v>16</v>
      </c>
      <c r="H19">
        <f ca="1">INDIRECT("'("&amp;$A$4&amp;")'!h19")</f>
        <v>0</v>
      </c>
    </row>
    <row r="20" spans="1:8" x14ac:dyDescent="0.35">
      <c r="A20" t="s">
        <v>19</v>
      </c>
      <c r="B20">
        <f ca="1">INDIRECT("'("&amp;$A$4&amp;")'!b20")</f>
        <v>10</v>
      </c>
      <c r="C20">
        <f ca="1">INDIRECT("'("&amp;$A$4&amp;")'!c20")</f>
        <v>11</v>
      </c>
      <c r="E20">
        <f ca="1">INDIRECT("'("&amp;$A$4&amp;")'!e20")</f>
        <v>1</v>
      </c>
      <c r="F20">
        <f ca="1">INDIRECT("'("&amp;$A$4&amp;")'!f20")</f>
        <v>3</v>
      </c>
      <c r="H20">
        <f ca="1">INDIRECT("'("&amp;$A$4&amp;")'!h20")</f>
        <v>5</v>
      </c>
    </row>
    <row r="21" spans="1:8" x14ac:dyDescent="0.35">
      <c r="A21" t="s">
        <v>20</v>
      </c>
      <c r="B21">
        <f ca="1">INDIRECT("'("&amp;$A$4&amp;")'!b21")</f>
        <v>5</v>
      </c>
      <c r="C21">
        <f ca="1">INDIRECT("'("&amp;$A$4&amp;")'!c21")</f>
        <v>6</v>
      </c>
      <c r="E21">
        <f ca="1">INDIRECT("'("&amp;$A$4&amp;")'!e21")</f>
        <v>0</v>
      </c>
      <c r="F21">
        <f ca="1">INDIRECT("'("&amp;$A$4&amp;")'!f21")</f>
        <v>2</v>
      </c>
      <c r="H21">
        <f ca="1">INDIRECT("'("&amp;$A$4&amp;")'!h21")</f>
        <v>0</v>
      </c>
    </row>
    <row r="22" spans="1:8" x14ac:dyDescent="0.35">
      <c r="A22" t="s">
        <v>21</v>
      </c>
      <c r="B22">
        <f ca="1">INDIRECT("'("&amp;$A$4&amp;")'!b22")</f>
        <v>7</v>
      </c>
      <c r="C22">
        <f ca="1">INDIRECT("'("&amp;$A$4&amp;")'!c22")</f>
        <v>13</v>
      </c>
      <c r="E22">
        <f ca="1">INDIRECT("'("&amp;$A$4&amp;")'!e22")</f>
        <v>0</v>
      </c>
      <c r="F22">
        <f ca="1">INDIRECT("'("&amp;$A$4&amp;")'!f22")</f>
        <v>4</v>
      </c>
      <c r="H22">
        <f ca="1">INDIRECT("'("&amp;$A$4&amp;")'!h22")</f>
        <v>0</v>
      </c>
    </row>
    <row r="23" spans="1:8" x14ac:dyDescent="0.35">
      <c r="A23" t="s">
        <v>22</v>
      </c>
      <c r="B23">
        <f ca="1">INDIRECT("'("&amp;$A$4&amp;")'!b23")</f>
        <v>13</v>
      </c>
      <c r="C23">
        <f ca="1">INDIRECT("'("&amp;$A$4&amp;")'!c23")</f>
        <v>35</v>
      </c>
      <c r="E23">
        <f ca="1">INDIRECT("'("&amp;$A$4&amp;")'!e23")</f>
        <v>1</v>
      </c>
      <c r="F23">
        <f ca="1">INDIRECT("'("&amp;$A$4&amp;")'!f23")</f>
        <v>24</v>
      </c>
      <c r="H23">
        <f ca="1">INDIRECT("'("&amp;$A$4&amp;")'!h23")</f>
        <v>1</v>
      </c>
    </row>
    <row r="24" spans="1:8" x14ac:dyDescent="0.35">
      <c r="A24" t="s">
        <v>23</v>
      </c>
      <c r="B24">
        <f ca="1">INDIRECT("'("&amp;$A$4&amp;")'!b24")</f>
        <v>42</v>
      </c>
      <c r="C24">
        <f ca="1">INDIRECT("'("&amp;$A$4&amp;")'!c24")</f>
        <v>26</v>
      </c>
      <c r="E24">
        <f ca="1">INDIRECT("'("&amp;$A$4&amp;")'!e24")</f>
        <v>1</v>
      </c>
      <c r="F24">
        <f ca="1">INDIRECT("'("&amp;$A$4&amp;")'!f24")</f>
        <v>31</v>
      </c>
      <c r="H24">
        <f ca="1">INDIRECT("'("&amp;$A$4&amp;")'!h24")</f>
        <v>13</v>
      </c>
    </row>
    <row r="25" spans="1:8" x14ac:dyDescent="0.35">
      <c r="A25" t="s">
        <v>24</v>
      </c>
      <c r="B25">
        <f ca="1">INDIRECT("'("&amp;$A$4&amp;")'!b25")</f>
        <v>18</v>
      </c>
      <c r="C25">
        <f ca="1">INDIRECT("'("&amp;$A$4&amp;")'!c25")</f>
        <v>46</v>
      </c>
      <c r="E25">
        <f ca="1">INDIRECT("'("&amp;$A$4&amp;")'!e25")</f>
        <v>2</v>
      </c>
      <c r="F25">
        <f ca="1">INDIRECT("'("&amp;$A$4&amp;")'!f25")</f>
        <v>16</v>
      </c>
      <c r="H25">
        <f ca="1">INDIRECT("'("&amp;$A$4&amp;")'!h25")</f>
        <v>0</v>
      </c>
    </row>
    <row r="26" spans="1:8" x14ac:dyDescent="0.35">
      <c r="A26" t="s">
        <v>25</v>
      </c>
      <c r="B26">
        <f ca="1">INDIRECT("'("&amp;$A$4&amp;")'!b26")</f>
        <v>7</v>
      </c>
      <c r="C26">
        <f ca="1">INDIRECT("'("&amp;$A$4&amp;")'!c26")</f>
        <v>9</v>
      </c>
      <c r="E26">
        <f ca="1">INDIRECT("'("&amp;$A$4&amp;")'!e26")</f>
        <v>0</v>
      </c>
      <c r="F26">
        <f ca="1">INDIRECT("'("&amp;$A$4&amp;")'!f26")</f>
        <v>5</v>
      </c>
      <c r="H26">
        <f ca="1">INDIRECT("'("&amp;$A$4&amp;")'!h26")</f>
        <v>0</v>
      </c>
    </row>
    <row r="27" spans="1:8" x14ac:dyDescent="0.35">
      <c r="A27" t="s">
        <v>26</v>
      </c>
      <c r="B27">
        <f ca="1">INDIRECT("'("&amp;$A$4&amp;")'!b27")</f>
        <v>14</v>
      </c>
      <c r="C27">
        <f ca="1">INDIRECT("'("&amp;$A$4&amp;")'!c27")</f>
        <v>8</v>
      </c>
      <c r="E27">
        <f ca="1">INDIRECT("'("&amp;$A$4&amp;")'!e27")</f>
        <v>1</v>
      </c>
      <c r="F27">
        <f ca="1">INDIRECT("'("&amp;$A$4&amp;")'!f27")</f>
        <v>7</v>
      </c>
      <c r="H27">
        <f ca="1">INDIRECT("'("&amp;$A$4&amp;")'!h27")</f>
        <v>0</v>
      </c>
    </row>
    <row r="28" spans="1:8" x14ac:dyDescent="0.35">
      <c r="A28" t="s">
        <v>27</v>
      </c>
      <c r="B28">
        <f ca="1">INDIRECT("'("&amp;$A$4&amp;")'!b28")</f>
        <v>26</v>
      </c>
      <c r="C28">
        <f ca="1">INDIRECT("'("&amp;$A$4&amp;")'!c28")</f>
        <v>39</v>
      </c>
      <c r="E28">
        <f ca="1">INDIRECT("'("&amp;$A$4&amp;")'!e28")</f>
        <v>0</v>
      </c>
      <c r="F28">
        <f ca="1">INDIRECT("'("&amp;$A$4&amp;")'!f28")</f>
        <v>13</v>
      </c>
      <c r="H28">
        <f ca="1">INDIRECT("'("&amp;$A$4&amp;")'!h28")</f>
        <v>0</v>
      </c>
    </row>
    <row r="29" spans="1:8" x14ac:dyDescent="0.35">
      <c r="A29" t="s">
        <v>28</v>
      </c>
      <c r="B29">
        <f ca="1">INDIRECT("'("&amp;$A$4&amp;")'!b29")</f>
        <v>4</v>
      </c>
      <c r="C29">
        <f ca="1">INDIRECT("'("&amp;$A$4&amp;")'!c29")</f>
        <v>16</v>
      </c>
      <c r="E29">
        <f ca="1">INDIRECT("'("&amp;$A$4&amp;")'!e29")</f>
        <v>0</v>
      </c>
      <c r="F29">
        <f ca="1">INDIRECT("'("&amp;$A$4&amp;")'!f29")</f>
        <v>5</v>
      </c>
      <c r="H29">
        <f ca="1">INDIRECT("'("&amp;$A$4&amp;")'!h29")</f>
        <v>0</v>
      </c>
    </row>
    <row r="30" spans="1:8" x14ac:dyDescent="0.35">
      <c r="A30" t="s">
        <v>29</v>
      </c>
      <c r="B30">
        <f ca="1">INDIRECT("'("&amp;$A$4&amp;")'!b30")</f>
        <v>149</v>
      </c>
      <c r="C30">
        <f ca="1">INDIRECT("'("&amp;$A$4&amp;")'!c30")</f>
        <v>115</v>
      </c>
      <c r="E30">
        <f ca="1">INDIRECT("'("&amp;$A$4&amp;")'!e30")</f>
        <v>18</v>
      </c>
      <c r="F30">
        <f ca="1">INDIRECT("'("&amp;$A$4&amp;")'!f30")</f>
        <v>43</v>
      </c>
      <c r="H30">
        <f ca="1">INDIRECT("'("&amp;$A$4&amp;")'!h30")</f>
        <v>69</v>
      </c>
    </row>
    <row r="31" spans="1:8" x14ac:dyDescent="0.35">
      <c r="A31" t="s">
        <v>30</v>
      </c>
      <c r="B31">
        <f ca="1">INDIRECT("'("&amp;$A$4&amp;")'!b31")</f>
        <v>20</v>
      </c>
      <c r="C31">
        <f ca="1">INDIRECT("'("&amp;$A$4&amp;")'!c31")</f>
        <v>27</v>
      </c>
      <c r="E31">
        <f ca="1">INDIRECT("'("&amp;$A$4&amp;")'!e31")</f>
        <v>2</v>
      </c>
      <c r="F31">
        <f ca="1">INDIRECT("'("&amp;$A$4&amp;")'!f31")</f>
        <v>1</v>
      </c>
      <c r="H31">
        <f ca="1">INDIRECT("'("&amp;$A$4&amp;")'!h31")</f>
        <v>1</v>
      </c>
    </row>
    <row r="32" spans="1:8" x14ac:dyDescent="0.35">
      <c r="A32" t="s">
        <v>31</v>
      </c>
      <c r="B32">
        <f ca="1">INDIRECT("'("&amp;$A$4&amp;")'!b32")</f>
        <v>23</v>
      </c>
      <c r="C32">
        <f ca="1">INDIRECT("'("&amp;$A$4&amp;")'!c32")</f>
        <v>26</v>
      </c>
      <c r="E32">
        <f ca="1">INDIRECT("'("&amp;$A$4&amp;")'!e32")</f>
        <v>3</v>
      </c>
      <c r="F32">
        <f ca="1">INDIRECT("'("&amp;$A$4&amp;")'!f32")</f>
        <v>17</v>
      </c>
      <c r="H32">
        <f ca="1">INDIRECT("'("&amp;$A$4&amp;")'!h32")</f>
        <v>0</v>
      </c>
    </row>
    <row r="33" spans="1:8" x14ac:dyDescent="0.35">
      <c r="A33" t="s">
        <v>32</v>
      </c>
      <c r="B33">
        <f ca="1">INDIRECT("'("&amp;$A$4&amp;")'!b33")</f>
        <v>4</v>
      </c>
      <c r="C33">
        <f ca="1">INDIRECT("'("&amp;$A$4&amp;")'!c33")</f>
        <v>23</v>
      </c>
      <c r="E33">
        <f ca="1">INDIRECT("'("&amp;$A$4&amp;")'!e33")</f>
        <v>0</v>
      </c>
      <c r="F33">
        <f ca="1">INDIRECT("'("&amp;$A$4&amp;")'!f33")</f>
        <v>11</v>
      </c>
      <c r="H33">
        <f ca="1">INDIRECT("'("&amp;$A$4&amp;")'!h33")</f>
        <v>0</v>
      </c>
    </row>
    <row r="34" spans="1:8" x14ac:dyDescent="0.35">
      <c r="A34" t="s">
        <v>33</v>
      </c>
      <c r="B34">
        <f ca="1">INDIRECT("'("&amp;$A$4&amp;")'!b34")</f>
        <v>16</v>
      </c>
      <c r="C34">
        <f ca="1">INDIRECT("'("&amp;$A$4&amp;")'!c34")</f>
        <v>14</v>
      </c>
      <c r="E34">
        <f ca="1">INDIRECT("'("&amp;$A$4&amp;")'!e34")</f>
        <v>4</v>
      </c>
      <c r="F34">
        <f ca="1">INDIRECT("'("&amp;$A$4&amp;")'!f34")</f>
        <v>11</v>
      </c>
      <c r="H34">
        <f ca="1">INDIRECT("'("&amp;$A$4&amp;")'!h34")</f>
        <v>0</v>
      </c>
    </row>
    <row r="35" spans="1:8" x14ac:dyDescent="0.35">
      <c r="A35" t="s">
        <v>34</v>
      </c>
      <c r="B35">
        <f ca="1">INDIRECT("'("&amp;$A$4&amp;")'!b35")</f>
        <v>5</v>
      </c>
      <c r="C35">
        <f ca="1">INDIRECT("'("&amp;$A$4&amp;")'!c35")</f>
        <v>19</v>
      </c>
      <c r="E35">
        <f ca="1">INDIRECT("'("&amp;$A$4&amp;")'!e35")</f>
        <v>0</v>
      </c>
      <c r="F35">
        <f ca="1">INDIRECT("'("&amp;$A$4&amp;")'!f35")</f>
        <v>14</v>
      </c>
      <c r="H35">
        <f ca="1">INDIRECT("'("&amp;$A$4&amp;")'!h35")</f>
        <v>4</v>
      </c>
    </row>
    <row r="36" spans="1:8" x14ac:dyDescent="0.35">
      <c r="A36" t="s">
        <v>35</v>
      </c>
      <c r="B36">
        <f ca="1">INDIRECT("'("&amp;$A$4&amp;")'!b36")</f>
        <v>1</v>
      </c>
      <c r="C36">
        <f ca="1">INDIRECT("'("&amp;$A$4&amp;")'!c36")</f>
        <v>3</v>
      </c>
      <c r="E36">
        <f ca="1">INDIRECT("'("&amp;$A$4&amp;")'!e36")</f>
        <v>0</v>
      </c>
      <c r="F36">
        <f ca="1">INDIRECT("'("&amp;$A$4&amp;")'!f36")</f>
        <v>1</v>
      </c>
      <c r="H36">
        <f ca="1">INDIRECT("'("&amp;$A$4&amp;")'!h36")</f>
        <v>0</v>
      </c>
    </row>
    <row r="37" spans="1:8" x14ac:dyDescent="0.35">
      <c r="A37" t="s">
        <v>36</v>
      </c>
      <c r="B37">
        <f ca="1">INDIRECT("'("&amp;$A$4&amp;")'!b37")</f>
        <v>0</v>
      </c>
      <c r="C37">
        <f ca="1">INDIRECT("'("&amp;$A$4&amp;")'!c37")</f>
        <v>0</v>
      </c>
      <c r="E37">
        <f ca="1">INDIRECT("'("&amp;$A$4&amp;")'!e37")</f>
        <v>0</v>
      </c>
      <c r="F37">
        <f ca="1">INDIRECT("'("&amp;$A$4&amp;")'!f37")</f>
        <v>0</v>
      </c>
      <c r="H37">
        <f ca="1">INDIRECT("'("&amp;$A$4&amp;")'!h37")</f>
        <v>0</v>
      </c>
    </row>
    <row r="38" spans="1:8" x14ac:dyDescent="0.35">
      <c r="A38" t="s">
        <v>37</v>
      </c>
      <c r="B38">
        <f ca="1">INDIRECT("'("&amp;$A$4&amp;")'!b38")</f>
        <v>19</v>
      </c>
      <c r="C38">
        <f ca="1">INDIRECT("'("&amp;$A$4&amp;")'!c38")</f>
        <v>55</v>
      </c>
      <c r="E38">
        <f ca="1">INDIRECT("'("&amp;$A$4&amp;")'!e38")</f>
        <v>1</v>
      </c>
      <c r="F38">
        <f ca="1">INDIRECT("'("&amp;$A$4&amp;")'!f38")</f>
        <v>32</v>
      </c>
      <c r="H38">
        <f ca="1">INDIRECT("'("&amp;$A$4&amp;")'!h38")</f>
        <v>0</v>
      </c>
    </row>
    <row r="39" spans="1:8" x14ac:dyDescent="0.35">
      <c r="A39" t="s">
        <v>38</v>
      </c>
      <c r="B39">
        <f ca="1">INDIRECT("'("&amp;$A$4&amp;")'!b39")</f>
        <v>25</v>
      </c>
      <c r="C39">
        <f ca="1">INDIRECT("'("&amp;$A$4&amp;")'!c39")</f>
        <v>31</v>
      </c>
      <c r="E39">
        <f ca="1">INDIRECT("'("&amp;$A$4&amp;")'!e39")</f>
        <v>2</v>
      </c>
      <c r="F39">
        <f ca="1">INDIRECT("'("&amp;$A$4&amp;")'!f39")</f>
        <v>8</v>
      </c>
      <c r="H39">
        <f ca="1">INDIRECT("'("&amp;$A$4&amp;")'!h39")</f>
        <v>1</v>
      </c>
    </row>
    <row r="40" spans="1:8" x14ac:dyDescent="0.35">
      <c r="A40" t="s">
        <v>39</v>
      </c>
      <c r="B40">
        <f ca="1">INDIRECT("'("&amp;$A$4&amp;")'!b40")</f>
        <v>16</v>
      </c>
      <c r="C40">
        <f ca="1">INDIRECT("'("&amp;$A$4&amp;")'!c40")</f>
        <v>19</v>
      </c>
      <c r="E40">
        <f ca="1">INDIRECT("'("&amp;$A$4&amp;")'!e40")</f>
        <v>1</v>
      </c>
      <c r="F40">
        <f ca="1">INDIRECT("'("&amp;$A$4&amp;")'!f40")</f>
        <v>4</v>
      </c>
      <c r="H40">
        <f ca="1">INDIRECT("'("&amp;$A$4&amp;")'!h40")</f>
        <v>1</v>
      </c>
    </row>
    <row r="41" spans="1:8" x14ac:dyDescent="0.35">
      <c r="A41" t="s">
        <v>40</v>
      </c>
      <c r="B41">
        <f ca="1">INDIRECT("'("&amp;$A$4&amp;")'!b41")</f>
        <v>7</v>
      </c>
      <c r="C41">
        <f ca="1">INDIRECT("'("&amp;$A$4&amp;")'!c41")</f>
        <v>14</v>
      </c>
      <c r="E41">
        <f ca="1">INDIRECT("'("&amp;$A$4&amp;")'!e41")</f>
        <v>0</v>
      </c>
      <c r="F41">
        <f ca="1">INDIRECT("'("&amp;$A$4&amp;")'!f41")</f>
        <v>6</v>
      </c>
      <c r="H41">
        <f ca="1">INDIRECT("'("&amp;$A$4&amp;")'!h41")</f>
        <v>0</v>
      </c>
    </row>
    <row r="42" spans="1:8" x14ac:dyDescent="0.35">
      <c r="A42" t="s">
        <v>41</v>
      </c>
      <c r="B42">
        <f ca="1">INDIRECT("'("&amp;$A$4&amp;")'!b42")</f>
        <v>13</v>
      </c>
      <c r="C42">
        <f ca="1">INDIRECT("'("&amp;$A$4&amp;")'!c42")</f>
        <v>47</v>
      </c>
      <c r="E42">
        <f ca="1">INDIRECT("'("&amp;$A$4&amp;")'!e42")</f>
        <v>0</v>
      </c>
      <c r="F42">
        <f ca="1">INDIRECT("'("&amp;$A$4&amp;")'!f42")</f>
        <v>13</v>
      </c>
      <c r="H42">
        <f ca="1">INDIRECT("'("&amp;$A$4&amp;")'!h42")</f>
        <v>0</v>
      </c>
    </row>
    <row r="43" spans="1:8" x14ac:dyDescent="0.35">
      <c r="A43" t="s">
        <v>42</v>
      </c>
      <c r="B43">
        <f ca="1">INDIRECT("'("&amp;$A$4&amp;")'!b43")</f>
        <v>34</v>
      </c>
      <c r="C43">
        <f ca="1">INDIRECT("'("&amp;$A$4&amp;")'!c43")</f>
        <v>10</v>
      </c>
      <c r="E43">
        <f ca="1">INDIRECT("'("&amp;$A$4&amp;")'!e43")</f>
        <v>2</v>
      </c>
      <c r="F43">
        <f ca="1">INDIRECT("'("&amp;$A$4&amp;")'!f43")</f>
        <v>9</v>
      </c>
      <c r="H43">
        <f ca="1">INDIRECT("'("&amp;$A$4&amp;")'!h43")</f>
        <v>2</v>
      </c>
    </row>
    <row r="44" spans="1:8" x14ac:dyDescent="0.35">
      <c r="A44" t="s">
        <v>43</v>
      </c>
      <c r="B44">
        <f ca="1">INDIRECT("'("&amp;$A$4&amp;")'!b44")</f>
        <v>20</v>
      </c>
      <c r="C44">
        <f ca="1">INDIRECT("'("&amp;$A$4&amp;")'!c44")</f>
        <v>13</v>
      </c>
      <c r="E44">
        <f ca="1">INDIRECT("'("&amp;$A$4&amp;")'!e44")</f>
        <v>1</v>
      </c>
      <c r="F44">
        <f ca="1">INDIRECT("'("&amp;$A$4&amp;")'!f44")</f>
        <v>11</v>
      </c>
      <c r="H44">
        <f ca="1">INDIRECT("'("&amp;$A$4&amp;")'!h44")</f>
        <v>3</v>
      </c>
    </row>
    <row r="45" spans="1:8" x14ac:dyDescent="0.35">
      <c r="A45" t="s">
        <v>44</v>
      </c>
      <c r="B45">
        <f ca="1">INDIRECT("'("&amp;$A$4&amp;")'!b45")</f>
        <v>13</v>
      </c>
      <c r="C45">
        <f ca="1">INDIRECT("'("&amp;$A$4&amp;")'!c45")</f>
        <v>11</v>
      </c>
      <c r="E45">
        <f ca="1">INDIRECT("'("&amp;$A$4&amp;")'!e45")</f>
        <v>1</v>
      </c>
      <c r="F45">
        <f ca="1">INDIRECT("'("&amp;$A$4&amp;")'!f45")</f>
        <v>5</v>
      </c>
      <c r="H45">
        <f ca="1">INDIRECT("'("&amp;$A$4&amp;")'!h45")</f>
        <v>1</v>
      </c>
    </row>
    <row r="46" spans="1:8" x14ac:dyDescent="0.35">
      <c r="A46" t="s">
        <v>45</v>
      </c>
      <c r="B46">
        <f ca="1">INDIRECT("'("&amp;$A$4&amp;")'!b46")</f>
        <v>9</v>
      </c>
      <c r="C46">
        <f ca="1">INDIRECT("'("&amp;$A$4&amp;")'!c46")</f>
        <v>14</v>
      </c>
      <c r="E46">
        <f ca="1">INDIRECT("'("&amp;$A$4&amp;")'!e46")</f>
        <v>0</v>
      </c>
      <c r="F46">
        <f ca="1">INDIRECT("'("&amp;$A$4&amp;")'!f46")</f>
        <v>8</v>
      </c>
      <c r="H46">
        <f ca="1">INDIRECT("'("&amp;$A$4&amp;")'!h46")</f>
        <v>0</v>
      </c>
    </row>
    <row r="47" spans="1:8" x14ac:dyDescent="0.35">
      <c r="A47" t="s">
        <v>46</v>
      </c>
      <c r="B47">
        <f ca="1">INDIRECT("'("&amp;$A$4&amp;")'!b47")</f>
        <v>8</v>
      </c>
      <c r="C47">
        <f ca="1">INDIRECT("'("&amp;$A$4&amp;")'!c47")</f>
        <v>23</v>
      </c>
      <c r="E47">
        <f ca="1">INDIRECT("'("&amp;$A$4&amp;")'!e47")</f>
        <v>0</v>
      </c>
      <c r="F47">
        <f ca="1">INDIRECT("'("&amp;$A$4&amp;")'!f47")</f>
        <v>4</v>
      </c>
      <c r="H47">
        <f ca="1">INDIRECT("'("&amp;$A$4&amp;")'!h47")</f>
        <v>0</v>
      </c>
    </row>
    <row r="48" spans="1:8" x14ac:dyDescent="0.35">
      <c r="A48" t="s">
        <v>47</v>
      </c>
      <c r="B48">
        <f ca="1">INDIRECT("'("&amp;$A$4&amp;")'!b48")</f>
        <v>10</v>
      </c>
      <c r="C48">
        <f ca="1">INDIRECT("'("&amp;$A$4&amp;")'!c48")</f>
        <v>11</v>
      </c>
      <c r="E48">
        <f ca="1">INDIRECT("'("&amp;$A$4&amp;")'!e48")</f>
        <v>1</v>
      </c>
      <c r="F48">
        <f ca="1">INDIRECT("'("&amp;$A$4&amp;")'!f48")</f>
        <v>3</v>
      </c>
      <c r="H48">
        <f ca="1">INDIRECT("'("&amp;$A$4&amp;")'!h48")</f>
        <v>5</v>
      </c>
    </row>
    <row r="49" spans="1:8" x14ac:dyDescent="0.35">
      <c r="A49" t="s">
        <v>48</v>
      </c>
      <c r="B49">
        <f ca="1">INDIRECT("'("&amp;$A$4&amp;")'!b49")</f>
        <v>17</v>
      </c>
      <c r="C49">
        <f ca="1">INDIRECT("'("&amp;$A$4&amp;")'!c49")</f>
        <v>9</v>
      </c>
      <c r="E49">
        <f ca="1">INDIRECT("'("&amp;$A$4&amp;")'!e49")</f>
        <v>2</v>
      </c>
      <c r="F49">
        <f ca="1">INDIRECT("'("&amp;$A$4&amp;")'!f49")</f>
        <v>6</v>
      </c>
      <c r="H49">
        <f ca="1">INDIRECT("'("&amp;$A$4&amp;")'!h49")</f>
        <v>2</v>
      </c>
    </row>
    <row r="50" spans="1:8" x14ac:dyDescent="0.35">
      <c r="A50" t="s">
        <v>49</v>
      </c>
      <c r="B50">
        <f ca="1">INDIRECT("'("&amp;$A$4&amp;")'!b50")</f>
        <v>16</v>
      </c>
      <c r="C50">
        <f ca="1">INDIRECT("'("&amp;$A$4&amp;")'!c50")</f>
        <v>18</v>
      </c>
      <c r="E50">
        <f ca="1">INDIRECT("'("&amp;$A$4&amp;")'!e50")</f>
        <v>0</v>
      </c>
      <c r="F50">
        <f ca="1">INDIRECT("'("&amp;$A$4&amp;")'!f50")</f>
        <v>5</v>
      </c>
      <c r="H50">
        <f ca="1">INDIRECT("'("&amp;$A$4&amp;")'!h50")</f>
        <v>0</v>
      </c>
    </row>
    <row r="51" spans="1:8" x14ac:dyDescent="0.35">
      <c r="A51" t="s">
        <v>50</v>
      </c>
      <c r="B51">
        <f ca="1">INDIRECT("'("&amp;$A$4&amp;")'!b51")</f>
        <v>7</v>
      </c>
      <c r="C51">
        <f ca="1">INDIRECT("'("&amp;$A$4&amp;")'!c51")</f>
        <v>21</v>
      </c>
      <c r="E51">
        <f ca="1">INDIRECT("'("&amp;$A$4&amp;")'!e51")</f>
        <v>0</v>
      </c>
      <c r="F51">
        <f ca="1">INDIRECT("'("&amp;$A$4&amp;")'!f51")</f>
        <v>5</v>
      </c>
      <c r="H51">
        <f ca="1">INDIRECT("'("&amp;$A$4&amp;")'!h51")</f>
        <v>1</v>
      </c>
    </row>
    <row r="52" spans="1:8" x14ac:dyDescent="0.35">
      <c r="A52" t="s">
        <v>51</v>
      </c>
      <c r="B52">
        <f ca="1">INDIRECT("'("&amp;$A$4&amp;")'!b52")</f>
        <v>3</v>
      </c>
      <c r="C52">
        <f ca="1">INDIRECT("'("&amp;$A$4&amp;")'!c52")</f>
        <v>6</v>
      </c>
      <c r="E52">
        <f ca="1">INDIRECT("'("&amp;$A$4&amp;")'!e52")</f>
        <v>0</v>
      </c>
      <c r="F52">
        <f ca="1">INDIRECT("'("&amp;$A$4&amp;")'!f52")</f>
        <v>3</v>
      </c>
      <c r="H52">
        <f ca="1">INDIRECT("'("&amp;$A$4&amp;")'!h52")</f>
        <v>1</v>
      </c>
    </row>
    <row r="53" spans="1:8" x14ac:dyDescent="0.35">
      <c r="A53" t="s">
        <v>52</v>
      </c>
      <c r="B53">
        <f ca="1">INDIRECT("'("&amp;$A$4&amp;")'!b53")</f>
        <v>6</v>
      </c>
      <c r="C53">
        <f ca="1">INDIRECT("'("&amp;$A$4&amp;")'!c53")</f>
        <v>18</v>
      </c>
      <c r="E53">
        <f ca="1">INDIRECT("'("&amp;$A$4&amp;")'!e53")</f>
        <v>1</v>
      </c>
      <c r="F53">
        <f ca="1">INDIRECT("'("&amp;$A$4&amp;")'!f53")</f>
        <v>10</v>
      </c>
      <c r="H53">
        <f ca="1">INDIRECT("'("&amp;$A$4&amp;")'!h53")</f>
        <v>1</v>
      </c>
    </row>
    <row r="54" spans="1:8" x14ac:dyDescent="0.35">
      <c r="A54" t="s">
        <v>53</v>
      </c>
      <c r="B54">
        <f ca="1">INDIRECT("'("&amp;$A$4&amp;")'!b54")</f>
        <v>5</v>
      </c>
      <c r="C54">
        <f ca="1">INDIRECT("'("&amp;$A$4&amp;")'!c54")</f>
        <v>17</v>
      </c>
      <c r="E54">
        <f ca="1">INDIRECT("'("&amp;$A$4&amp;")'!e54")</f>
        <v>1</v>
      </c>
      <c r="F54">
        <f ca="1">INDIRECT("'("&amp;$A$4&amp;")'!f54")</f>
        <v>11</v>
      </c>
      <c r="H54">
        <f ca="1">INDIRECT("'("&amp;$A$4&amp;")'!h54")</f>
        <v>1</v>
      </c>
    </row>
    <row r="55" spans="1:8" x14ac:dyDescent="0.35">
      <c r="A55" t="s">
        <v>54</v>
      </c>
      <c r="B55">
        <f ca="1">INDIRECT("'("&amp;$A$4&amp;")'!b55")</f>
        <v>11</v>
      </c>
      <c r="C55">
        <f ca="1">INDIRECT("'("&amp;$A$4&amp;")'!c55")</f>
        <v>8</v>
      </c>
      <c r="E55">
        <f ca="1">INDIRECT("'("&amp;$A$4&amp;")'!e55")</f>
        <v>1</v>
      </c>
      <c r="F55">
        <f ca="1">INDIRECT("'("&amp;$A$4&amp;")'!f55")</f>
        <v>3</v>
      </c>
      <c r="H55">
        <f ca="1">INDIRECT("'("&amp;$A$4&amp;")'!h55")</f>
        <v>0</v>
      </c>
    </row>
    <row r="56" spans="1:8" x14ac:dyDescent="0.35">
      <c r="A56" t="s">
        <v>55</v>
      </c>
      <c r="B56">
        <f ca="1">INDIRECT("'("&amp;$A$4&amp;")'!b56")</f>
        <v>28</v>
      </c>
      <c r="C56">
        <f ca="1">INDIRECT("'("&amp;$A$4&amp;")'!c56")</f>
        <v>34</v>
      </c>
      <c r="E56">
        <f ca="1">INDIRECT("'("&amp;$A$4&amp;")'!e56")</f>
        <v>0</v>
      </c>
      <c r="F56">
        <f ca="1">INDIRECT("'("&amp;$A$4&amp;")'!f56")</f>
        <v>11</v>
      </c>
      <c r="H56">
        <f ca="1">INDIRECT("'("&amp;$A$4&amp;")'!h56")</f>
        <v>1</v>
      </c>
    </row>
    <row r="57" spans="1:8" x14ac:dyDescent="0.35">
      <c r="A57" t="s">
        <v>56</v>
      </c>
      <c r="B57">
        <f ca="1">INDIRECT("'("&amp;$A$4&amp;")'!b57")</f>
        <v>6</v>
      </c>
      <c r="C57">
        <f ca="1">INDIRECT("'("&amp;$A$4&amp;")'!c57")</f>
        <v>15</v>
      </c>
      <c r="E57">
        <f ca="1">INDIRECT("'("&amp;$A$4&amp;")'!e57")</f>
        <v>0</v>
      </c>
      <c r="F57">
        <f ca="1">INDIRECT("'("&amp;$A$4&amp;")'!f57")</f>
        <v>17</v>
      </c>
      <c r="H57">
        <f ca="1">INDIRECT("'("&amp;$A$4&amp;")'!h57")</f>
        <v>0</v>
      </c>
    </row>
    <row r="58" spans="1:8" x14ac:dyDescent="0.35">
      <c r="A58" t="s">
        <v>57</v>
      </c>
      <c r="B58">
        <f ca="1">INDIRECT("'("&amp;$A$4&amp;")'!b58")</f>
        <v>27</v>
      </c>
      <c r="C58">
        <f ca="1">INDIRECT("'("&amp;$A$4&amp;")'!c58")</f>
        <v>20</v>
      </c>
      <c r="E58">
        <f ca="1">INDIRECT("'("&amp;$A$4&amp;")'!e58")</f>
        <v>3</v>
      </c>
      <c r="F58">
        <f ca="1">INDIRECT("'("&amp;$A$4&amp;")'!f58")</f>
        <v>14</v>
      </c>
      <c r="H58">
        <f ca="1">INDIRECT("'("&amp;$A$4&amp;")'!h58")</f>
        <v>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9421-99BB-438F-873C-BCC316FBB3FB}">
  <dimension ref="A1:K14"/>
  <sheetViews>
    <sheetView tabSelected="1" workbookViewId="0"/>
  </sheetViews>
  <sheetFormatPr defaultRowHeight="12.5" x14ac:dyDescent="0.25"/>
  <cols>
    <col min="1" max="1" width="74" style="49" bestFit="1" customWidth="1"/>
    <col min="2" max="255" width="9.453125" style="49" customWidth="1"/>
    <col min="256" max="256" width="2.7265625" style="49" customWidth="1"/>
    <col min="257" max="257" width="74" style="49" bestFit="1" customWidth="1"/>
    <col min="258" max="511" width="9.453125" style="49" customWidth="1"/>
    <col min="512" max="512" width="2.7265625" style="49" customWidth="1"/>
    <col min="513" max="513" width="74" style="49" bestFit="1" customWidth="1"/>
    <col min="514" max="767" width="9.453125" style="49" customWidth="1"/>
    <col min="768" max="768" width="2.7265625" style="49" customWidth="1"/>
    <col min="769" max="769" width="74" style="49" bestFit="1" customWidth="1"/>
    <col min="770" max="1023" width="9.453125" style="49" customWidth="1"/>
    <col min="1024" max="1024" width="2.7265625" style="49" customWidth="1"/>
    <col min="1025" max="1025" width="74" style="49" bestFit="1" customWidth="1"/>
    <col min="1026" max="1279" width="9.453125" style="49" customWidth="1"/>
    <col min="1280" max="1280" width="2.7265625" style="49" customWidth="1"/>
    <col min="1281" max="1281" width="74" style="49" bestFit="1" customWidth="1"/>
    <col min="1282" max="1535" width="9.453125" style="49" customWidth="1"/>
    <col min="1536" max="1536" width="2.7265625" style="49" customWidth="1"/>
    <col min="1537" max="1537" width="74" style="49" bestFit="1" customWidth="1"/>
    <col min="1538" max="1791" width="9.453125" style="49" customWidth="1"/>
    <col min="1792" max="1792" width="2.7265625" style="49" customWidth="1"/>
    <col min="1793" max="1793" width="74" style="49" bestFit="1" customWidth="1"/>
    <col min="1794" max="2047" width="9.453125" style="49" customWidth="1"/>
    <col min="2048" max="2048" width="2.7265625" style="49" customWidth="1"/>
    <col min="2049" max="2049" width="74" style="49" bestFit="1" customWidth="1"/>
    <col min="2050" max="2303" width="9.453125" style="49" customWidth="1"/>
    <col min="2304" max="2304" width="2.7265625" style="49" customWidth="1"/>
    <col min="2305" max="2305" width="74" style="49" bestFit="1" customWidth="1"/>
    <col min="2306" max="2559" width="9.453125" style="49" customWidth="1"/>
    <col min="2560" max="2560" width="2.7265625" style="49" customWidth="1"/>
    <col min="2561" max="2561" width="74" style="49" bestFit="1" customWidth="1"/>
    <col min="2562" max="2815" width="9.453125" style="49" customWidth="1"/>
    <col min="2816" max="2816" width="2.7265625" style="49" customWidth="1"/>
    <col min="2817" max="2817" width="74" style="49" bestFit="1" customWidth="1"/>
    <col min="2818" max="3071" width="9.453125" style="49" customWidth="1"/>
    <col min="3072" max="3072" width="2.7265625" style="49" customWidth="1"/>
    <col min="3073" max="3073" width="74" style="49" bestFit="1" customWidth="1"/>
    <col min="3074" max="3327" width="9.453125" style="49" customWidth="1"/>
    <col min="3328" max="3328" width="2.7265625" style="49" customWidth="1"/>
    <col min="3329" max="3329" width="74" style="49" bestFit="1" customWidth="1"/>
    <col min="3330" max="3583" width="9.453125" style="49" customWidth="1"/>
    <col min="3584" max="3584" width="2.7265625" style="49" customWidth="1"/>
    <col min="3585" max="3585" width="74" style="49" bestFit="1" customWidth="1"/>
    <col min="3586" max="3839" width="9.453125" style="49" customWidth="1"/>
    <col min="3840" max="3840" width="2.7265625" style="49" customWidth="1"/>
    <col min="3841" max="3841" width="74" style="49" bestFit="1" customWidth="1"/>
    <col min="3842" max="4095" width="9.453125" style="49" customWidth="1"/>
    <col min="4096" max="4096" width="2.7265625" style="49" customWidth="1"/>
    <col min="4097" max="4097" width="74" style="49" bestFit="1" customWidth="1"/>
    <col min="4098" max="4351" width="9.453125" style="49" customWidth="1"/>
    <col min="4352" max="4352" width="2.7265625" style="49" customWidth="1"/>
    <col min="4353" max="4353" width="74" style="49" bestFit="1" customWidth="1"/>
    <col min="4354" max="4607" width="9.453125" style="49" customWidth="1"/>
    <col min="4608" max="4608" width="2.7265625" style="49" customWidth="1"/>
    <col min="4609" max="4609" width="74" style="49" bestFit="1" customWidth="1"/>
    <col min="4610" max="4863" width="9.453125" style="49" customWidth="1"/>
    <col min="4864" max="4864" width="2.7265625" style="49" customWidth="1"/>
    <col min="4865" max="4865" width="74" style="49" bestFit="1" customWidth="1"/>
    <col min="4866" max="5119" width="9.453125" style="49" customWidth="1"/>
    <col min="5120" max="5120" width="2.7265625" style="49" customWidth="1"/>
    <col min="5121" max="5121" width="74" style="49" bestFit="1" customWidth="1"/>
    <col min="5122" max="5375" width="9.453125" style="49" customWidth="1"/>
    <col min="5376" max="5376" width="2.7265625" style="49" customWidth="1"/>
    <col min="5377" max="5377" width="74" style="49" bestFit="1" customWidth="1"/>
    <col min="5378" max="5631" width="9.453125" style="49" customWidth="1"/>
    <col min="5632" max="5632" width="2.7265625" style="49" customWidth="1"/>
    <col min="5633" max="5633" width="74" style="49" bestFit="1" customWidth="1"/>
    <col min="5634" max="5887" width="9.453125" style="49" customWidth="1"/>
    <col min="5888" max="5888" width="2.7265625" style="49" customWidth="1"/>
    <col min="5889" max="5889" width="74" style="49" bestFit="1" customWidth="1"/>
    <col min="5890" max="6143" width="9.453125" style="49" customWidth="1"/>
    <col min="6144" max="6144" width="2.7265625" style="49" customWidth="1"/>
    <col min="6145" max="6145" width="74" style="49" bestFit="1" customWidth="1"/>
    <col min="6146" max="6399" width="9.453125" style="49" customWidth="1"/>
    <col min="6400" max="6400" width="2.7265625" style="49" customWidth="1"/>
    <col min="6401" max="6401" width="74" style="49" bestFit="1" customWidth="1"/>
    <col min="6402" max="6655" width="9.453125" style="49" customWidth="1"/>
    <col min="6656" max="6656" width="2.7265625" style="49" customWidth="1"/>
    <col min="6657" max="6657" width="74" style="49" bestFit="1" customWidth="1"/>
    <col min="6658" max="6911" width="9.453125" style="49" customWidth="1"/>
    <col min="6912" max="6912" width="2.7265625" style="49" customWidth="1"/>
    <col min="6913" max="6913" width="74" style="49" bestFit="1" customWidth="1"/>
    <col min="6914" max="7167" width="9.453125" style="49" customWidth="1"/>
    <col min="7168" max="7168" width="2.7265625" style="49" customWidth="1"/>
    <col min="7169" max="7169" width="74" style="49" bestFit="1" customWidth="1"/>
    <col min="7170" max="7423" width="9.453125" style="49" customWidth="1"/>
    <col min="7424" max="7424" width="2.7265625" style="49" customWidth="1"/>
    <col min="7425" max="7425" width="74" style="49" bestFit="1" customWidth="1"/>
    <col min="7426" max="7679" width="9.453125" style="49" customWidth="1"/>
    <col min="7680" max="7680" width="2.7265625" style="49" customWidth="1"/>
    <col min="7681" max="7681" width="74" style="49" bestFit="1" customWidth="1"/>
    <col min="7682" max="7935" width="9.453125" style="49" customWidth="1"/>
    <col min="7936" max="7936" width="2.7265625" style="49" customWidth="1"/>
    <col min="7937" max="7937" width="74" style="49" bestFit="1" customWidth="1"/>
    <col min="7938" max="8191" width="9.453125" style="49" customWidth="1"/>
    <col min="8192" max="8192" width="2.7265625" style="49" customWidth="1"/>
    <col min="8193" max="8193" width="74" style="49" bestFit="1" customWidth="1"/>
    <col min="8194" max="8447" width="9.453125" style="49" customWidth="1"/>
    <col min="8448" max="8448" width="2.7265625" style="49" customWidth="1"/>
    <col min="8449" max="8449" width="74" style="49" bestFit="1" customWidth="1"/>
    <col min="8450" max="8703" width="9.453125" style="49" customWidth="1"/>
    <col min="8704" max="8704" width="2.7265625" style="49" customWidth="1"/>
    <col min="8705" max="8705" width="74" style="49" bestFit="1" customWidth="1"/>
    <col min="8706" max="8959" width="9.453125" style="49" customWidth="1"/>
    <col min="8960" max="8960" width="2.7265625" style="49" customWidth="1"/>
    <col min="8961" max="8961" width="74" style="49" bestFit="1" customWidth="1"/>
    <col min="8962" max="9215" width="9.453125" style="49" customWidth="1"/>
    <col min="9216" max="9216" width="2.7265625" style="49" customWidth="1"/>
    <col min="9217" max="9217" width="74" style="49" bestFit="1" customWidth="1"/>
    <col min="9218" max="9471" width="9.453125" style="49" customWidth="1"/>
    <col min="9472" max="9472" width="2.7265625" style="49" customWidth="1"/>
    <col min="9473" max="9473" width="74" style="49" bestFit="1" customWidth="1"/>
    <col min="9474" max="9727" width="9.453125" style="49" customWidth="1"/>
    <col min="9728" max="9728" width="2.7265625" style="49" customWidth="1"/>
    <col min="9729" max="9729" width="74" style="49" bestFit="1" customWidth="1"/>
    <col min="9730" max="9983" width="9.453125" style="49" customWidth="1"/>
    <col min="9984" max="9984" width="2.7265625" style="49" customWidth="1"/>
    <col min="9985" max="9985" width="74" style="49" bestFit="1" customWidth="1"/>
    <col min="9986" max="10239" width="9.453125" style="49" customWidth="1"/>
    <col min="10240" max="10240" width="2.7265625" style="49" customWidth="1"/>
    <col min="10241" max="10241" width="74" style="49" bestFit="1" customWidth="1"/>
    <col min="10242" max="10495" width="9.453125" style="49" customWidth="1"/>
    <col min="10496" max="10496" width="2.7265625" style="49" customWidth="1"/>
    <col min="10497" max="10497" width="74" style="49" bestFit="1" customWidth="1"/>
    <col min="10498" max="10751" width="9.453125" style="49" customWidth="1"/>
    <col min="10752" max="10752" width="2.7265625" style="49" customWidth="1"/>
    <col min="10753" max="10753" width="74" style="49" bestFit="1" customWidth="1"/>
    <col min="10754" max="11007" width="9.453125" style="49" customWidth="1"/>
    <col min="11008" max="11008" width="2.7265625" style="49" customWidth="1"/>
    <col min="11009" max="11009" width="74" style="49" bestFit="1" customWidth="1"/>
    <col min="11010" max="11263" width="9.453125" style="49" customWidth="1"/>
    <col min="11264" max="11264" width="2.7265625" style="49" customWidth="1"/>
    <col min="11265" max="11265" width="74" style="49" bestFit="1" customWidth="1"/>
    <col min="11266" max="11519" width="9.453125" style="49" customWidth="1"/>
    <col min="11520" max="11520" width="2.7265625" style="49" customWidth="1"/>
    <col min="11521" max="11521" width="74" style="49" bestFit="1" customWidth="1"/>
    <col min="11522" max="11775" width="9.453125" style="49" customWidth="1"/>
    <col min="11776" max="11776" width="2.7265625" style="49" customWidth="1"/>
    <col min="11777" max="11777" width="74" style="49" bestFit="1" customWidth="1"/>
    <col min="11778" max="12031" width="9.453125" style="49" customWidth="1"/>
    <col min="12032" max="12032" width="2.7265625" style="49" customWidth="1"/>
    <col min="12033" max="12033" width="74" style="49" bestFit="1" customWidth="1"/>
    <col min="12034" max="12287" width="9.453125" style="49" customWidth="1"/>
    <col min="12288" max="12288" width="2.7265625" style="49" customWidth="1"/>
    <col min="12289" max="12289" width="74" style="49" bestFit="1" customWidth="1"/>
    <col min="12290" max="12543" width="9.453125" style="49" customWidth="1"/>
    <col min="12544" max="12544" width="2.7265625" style="49" customWidth="1"/>
    <col min="12545" max="12545" width="74" style="49" bestFit="1" customWidth="1"/>
    <col min="12546" max="12799" width="9.453125" style="49" customWidth="1"/>
    <col min="12800" max="12800" width="2.7265625" style="49" customWidth="1"/>
    <col min="12801" max="12801" width="74" style="49" bestFit="1" customWidth="1"/>
    <col min="12802" max="13055" width="9.453125" style="49" customWidth="1"/>
    <col min="13056" max="13056" width="2.7265625" style="49" customWidth="1"/>
    <col min="13057" max="13057" width="74" style="49" bestFit="1" customWidth="1"/>
    <col min="13058" max="13311" width="9.453125" style="49" customWidth="1"/>
    <col min="13312" max="13312" width="2.7265625" style="49" customWidth="1"/>
    <col min="13313" max="13313" width="74" style="49" bestFit="1" customWidth="1"/>
    <col min="13314" max="13567" width="9.453125" style="49" customWidth="1"/>
    <col min="13568" max="13568" width="2.7265625" style="49" customWidth="1"/>
    <col min="13569" max="13569" width="74" style="49" bestFit="1" customWidth="1"/>
    <col min="13570" max="13823" width="9.453125" style="49" customWidth="1"/>
    <col min="13824" max="13824" width="2.7265625" style="49" customWidth="1"/>
    <col min="13825" max="13825" width="74" style="49" bestFit="1" customWidth="1"/>
    <col min="13826" max="14079" width="9.453125" style="49" customWidth="1"/>
    <col min="14080" max="14080" width="2.7265625" style="49" customWidth="1"/>
    <col min="14081" max="14081" width="74" style="49" bestFit="1" customWidth="1"/>
    <col min="14082" max="14335" width="9.453125" style="49" customWidth="1"/>
    <col min="14336" max="14336" width="2.7265625" style="49" customWidth="1"/>
    <col min="14337" max="14337" width="74" style="49" bestFit="1" customWidth="1"/>
    <col min="14338" max="14591" width="9.453125" style="49" customWidth="1"/>
    <col min="14592" max="14592" width="2.7265625" style="49" customWidth="1"/>
    <col min="14593" max="14593" width="74" style="49" bestFit="1" customWidth="1"/>
    <col min="14594" max="14847" width="9.453125" style="49" customWidth="1"/>
    <col min="14848" max="14848" width="2.7265625" style="49" customWidth="1"/>
    <col min="14849" max="14849" width="74" style="49" bestFit="1" customWidth="1"/>
    <col min="14850" max="15103" width="9.453125" style="49" customWidth="1"/>
    <col min="15104" max="15104" width="2.7265625" style="49" customWidth="1"/>
    <col min="15105" max="15105" width="74" style="49" bestFit="1" customWidth="1"/>
    <col min="15106" max="15359" width="9.453125" style="49" customWidth="1"/>
    <col min="15360" max="15360" width="2.7265625" style="49" customWidth="1"/>
    <col min="15361" max="15361" width="74" style="49" bestFit="1" customWidth="1"/>
    <col min="15362" max="15615" width="9.453125" style="49" customWidth="1"/>
    <col min="15616" max="15616" width="2.7265625" style="49" customWidth="1"/>
    <col min="15617" max="15617" width="74" style="49" bestFit="1" customWidth="1"/>
    <col min="15618" max="15871" width="9.453125" style="49" customWidth="1"/>
    <col min="15872" max="15872" width="2.7265625" style="49" customWidth="1"/>
    <col min="15873" max="15873" width="74" style="49" bestFit="1" customWidth="1"/>
    <col min="15874" max="16127" width="9.453125" style="49" customWidth="1"/>
    <col min="16128" max="16128" width="2.7265625" style="49" customWidth="1"/>
    <col min="16129" max="16129" width="74" style="49" bestFit="1" customWidth="1"/>
    <col min="16130" max="16384" width="9.453125" style="49" customWidth="1"/>
  </cols>
  <sheetData>
    <row r="1" spans="1:11" ht="84" customHeight="1" x14ac:dyDescent="0.25"/>
    <row r="2" spans="1:11" ht="27.5" x14ac:dyDescent="0.55000000000000004">
      <c r="A2" s="50" t="s">
        <v>156</v>
      </c>
    </row>
    <row r="3" spans="1:11" ht="22.5" x14ac:dyDescent="0.25">
      <c r="A3" s="51" t="s">
        <v>157</v>
      </c>
    </row>
    <row r="4" spans="1:11" ht="45" customHeight="1" x14ac:dyDescent="0.35">
      <c r="A4" s="52" t="s">
        <v>158</v>
      </c>
      <c r="C4" s="53"/>
      <c r="K4" s="54"/>
    </row>
    <row r="5" spans="1:11" ht="32.25" customHeight="1" x14ac:dyDescent="0.35">
      <c r="A5" s="55" t="s">
        <v>159</v>
      </c>
      <c r="B5" s="55"/>
    </row>
    <row r="6" spans="1:11" ht="15.5" x14ac:dyDescent="0.35">
      <c r="A6" s="56" t="s">
        <v>160</v>
      </c>
      <c r="B6" s="55"/>
    </row>
    <row r="7" spans="1:11" ht="15.5" x14ac:dyDescent="0.35">
      <c r="A7" s="57" t="s">
        <v>161</v>
      </c>
      <c r="B7" s="58"/>
    </row>
    <row r="8" spans="1:11" ht="28.5" customHeight="1" x14ac:dyDescent="0.35">
      <c r="A8" s="84" t="s">
        <v>225</v>
      </c>
      <c r="B8" s="57"/>
    </row>
    <row r="9" spans="1:11" ht="15.5" x14ac:dyDescent="0.35">
      <c r="A9" s="84" t="s">
        <v>162</v>
      </c>
      <c r="B9" s="57"/>
    </row>
    <row r="10" spans="1:11" ht="30" customHeight="1" x14ac:dyDescent="0.35">
      <c r="A10" s="55" t="s">
        <v>163</v>
      </c>
    </row>
    <row r="11" spans="1:11" ht="15.5" x14ac:dyDescent="0.35">
      <c r="A11" s="59" t="s">
        <v>164</v>
      </c>
    </row>
    <row r="12" spans="1:11" ht="26.25" customHeight="1" x14ac:dyDescent="0.35">
      <c r="A12" s="55" t="s">
        <v>165</v>
      </c>
    </row>
    <row r="13" spans="1:11" ht="15.5" x14ac:dyDescent="0.35">
      <c r="A13" s="55" t="s">
        <v>166</v>
      </c>
    </row>
    <row r="14" spans="1:11" ht="15.5" x14ac:dyDescent="0.35">
      <c r="A14" s="60" t="s">
        <v>167</v>
      </c>
    </row>
  </sheetData>
  <hyperlinks>
    <hyperlink ref="A6" r:id="rId1" xr:uid="{82F7E588-A0BA-4A2E-9E78-BB07B56D283A}"/>
    <hyperlink ref="A11" location="Contents!A1" display="Contents" xr:uid="{A2418436-099B-4E86-9EF5-E09B7B898649}"/>
    <hyperlink ref="A14" r:id="rId2" display="If you find any problems, or have any feedback, relating to accessibility please email us at firestatistics@homeoffice.gov.uk" xr:uid="{23A0422F-FF2F-44A7-86E2-F9D636A50A25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656C-1775-4A57-9ED1-236586D309EA}">
  <dimension ref="A1:E24"/>
  <sheetViews>
    <sheetView workbookViewId="0"/>
  </sheetViews>
  <sheetFormatPr defaultColWidth="9.453125" defaultRowHeight="11.5" x14ac:dyDescent="0.25"/>
  <cols>
    <col min="1" max="1" width="24.54296875" style="69" customWidth="1"/>
    <col min="2" max="3" width="50.54296875" style="74" customWidth="1"/>
    <col min="4" max="4" width="39.26953125" style="69" customWidth="1"/>
    <col min="5" max="5" width="16.26953125" style="69" customWidth="1"/>
    <col min="6" max="6" width="9.453125" style="69" customWidth="1"/>
    <col min="7" max="16384" width="9.453125" style="69"/>
  </cols>
  <sheetData>
    <row r="1" spans="1:5" s="62" customFormat="1" ht="15.65" customHeight="1" x14ac:dyDescent="0.25">
      <c r="A1" s="61" t="s">
        <v>156</v>
      </c>
      <c r="D1" s="63"/>
      <c r="E1" s="63"/>
    </row>
    <row r="2" spans="1:5" s="62" customFormat="1" ht="21.65" customHeight="1" x14ac:dyDescent="0.25">
      <c r="A2" s="85" t="s">
        <v>226</v>
      </c>
      <c r="D2" s="63"/>
      <c r="E2" s="63"/>
    </row>
    <row r="3" spans="1:5" s="64" customFormat="1" ht="18" customHeight="1" x14ac:dyDescent="0.25">
      <c r="A3" s="64" t="s">
        <v>168</v>
      </c>
      <c r="D3" s="65"/>
      <c r="E3" s="65"/>
    </row>
    <row r="4" spans="1:5" s="64" customFormat="1" ht="15.75" customHeight="1" x14ac:dyDescent="0.25">
      <c r="A4" s="66" t="s">
        <v>169</v>
      </c>
      <c r="D4" s="65"/>
      <c r="E4" s="65"/>
    </row>
    <row r="5" spans="1:5" ht="24" customHeight="1" x14ac:dyDescent="0.25">
      <c r="A5" s="67" t="s">
        <v>170</v>
      </c>
      <c r="B5" s="67" t="s">
        <v>171</v>
      </c>
      <c r="C5" s="67" t="s">
        <v>172</v>
      </c>
      <c r="D5" s="67" t="s">
        <v>173</v>
      </c>
      <c r="E5" s="68" t="s">
        <v>174</v>
      </c>
    </row>
    <row r="6" spans="1:5" ht="23" x14ac:dyDescent="0.25">
      <c r="A6" s="70" t="s">
        <v>175</v>
      </c>
      <c r="B6" s="71" t="s">
        <v>176</v>
      </c>
      <c r="C6" s="71" t="s">
        <v>177</v>
      </c>
      <c r="D6" s="72" t="s">
        <v>178</v>
      </c>
      <c r="E6" s="72" t="s">
        <v>124</v>
      </c>
    </row>
    <row r="7" spans="1:5" ht="23" x14ac:dyDescent="0.25">
      <c r="A7" s="70" t="s">
        <v>179</v>
      </c>
      <c r="B7" s="71" t="s">
        <v>180</v>
      </c>
      <c r="C7" s="71" t="s">
        <v>181</v>
      </c>
      <c r="D7" s="73"/>
    </row>
    <row r="8" spans="1:5" x14ac:dyDescent="0.25">
      <c r="D8" s="73"/>
    </row>
    <row r="9" spans="1:5" x14ac:dyDescent="0.25">
      <c r="D9" s="73"/>
    </row>
    <row r="10" spans="1:5" x14ac:dyDescent="0.25">
      <c r="D10" s="73"/>
    </row>
    <row r="11" spans="1:5" x14ac:dyDescent="0.25">
      <c r="C11" s="69"/>
      <c r="D11" s="73"/>
    </row>
    <row r="12" spans="1:5" x14ac:dyDescent="0.25">
      <c r="D12" s="73"/>
    </row>
    <row r="13" spans="1:5" x14ac:dyDescent="0.25">
      <c r="D13" s="73"/>
    </row>
    <row r="14" spans="1:5" x14ac:dyDescent="0.25">
      <c r="D14" s="73"/>
    </row>
    <row r="15" spans="1:5" x14ac:dyDescent="0.25">
      <c r="D15" s="73"/>
    </row>
    <row r="16" spans="1:5" x14ac:dyDescent="0.25">
      <c r="D16" s="73"/>
    </row>
    <row r="17" spans="4:4" x14ac:dyDescent="0.25">
      <c r="D17" s="73"/>
    </row>
    <row r="18" spans="4:4" x14ac:dyDescent="0.25">
      <c r="D18" s="73"/>
    </row>
    <row r="19" spans="4:4" x14ac:dyDescent="0.25">
      <c r="D19" s="73"/>
    </row>
    <row r="20" spans="4:4" x14ac:dyDescent="0.25">
      <c r="D20" s="73"/>
    </row>
    <row r="21" spans="4:4" x14ac:dyDescent="0.25">
      <c r="D21" s="73"/>
    </row>
    <row r="22" spans="4:4" x14ac:dyDescent="0.25">
      <c r="D22" s="73"/>
    </row>
    <row r="23" spans="4:4" x14ac:dyDescent="0.25">
      <c r="D23" s="73"/>
    </row>
    <row r="24" spans="4:4" x14ac:dyDescent="0.25">
      <c r="D24" s="73"/>
    </row>
  </sheetData>
  <hyperlinks>
    <hyperlink ref="A4" location="Cover_sheet!A1" display="Cover sheet" xr:uid="{A8CDB03B-C3EA-40D7-8810-DD1A57B2F0F7}"/>
    <hyperlink ref="A6" location="FIRE1402!A1" display="Fire1402" xr:uid="{593A6A83-7912-47B4-987A-BB4771F3ED31}"/>
    <hyperlink ref="A7" location="'FRS geographical categories'!A1" display="FRS geographical categories" xr:uid="{B8DC5504-287B-4E9A-BE95-A84C6538000E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77EF-C94B-47DE-9F8E-7E719D2DD6B7}">
  <sheetPr codeName="Sheet15">
    <tabColor rgb="FFFF0000"/>
  </sheetPr>
  <dimension ref="A1:G226"/>
  <sheetViews>
    <sheetView workbookViewId="0"/>
  </sheetViews>
  <sheetFormatPr defaultRowHeight="14.5" x14ac:dyDescent="0.35"/>
  <cols>
    <col min="2" max="2" width="22.7265625" bestFit="1" customWidth="1"/>
    <col min="4" max="4" width="18" bestFit="1" customWidth="1"/>
  </cols>
  <sheetData>
    <row r="1" spans="1: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35">
      <c r="A2">
        <v>2020</v>
      </c>
      <c r="B2" t="s">
        <v>13</v>
      </c>
      <c r="C2" t="s">
        <v>82</v>
      </c>
      <c r="D2" t="s">
        <v>83</v>
      </c>
      <c r="E2">
        <v>12</v>
      </c>
    </row>
    <row r="3" spans="1:5" x14ac:dyDescent="0.35">
      <c r="A3">
        <v>2020</v>
      </c>
      <c r="B3" t="s">
        <v>14</v>
      </c>
      <c r="C3" t="s">
        <v>82</v>
      </c>
      <c r="D3" t="s">
        <v>83</v>
      </c>
      <c r="E3">
        <v>0</v>
      </c>
    </row>
    <row r="4" spans="1:5" x14ac:dyDescent="0.35">
      <c r="A4">
        <v>2020</v>
      </c>
      <c r="B4" t="s">
        <v>15</v>
      </c>
      <c r="C4" t="s">
        <v>82</v>
      </c>
      <c r="D4" t="s">
        <v>83</v>
      </c>
      <c r="E4">
        <v>12</v>
      </c>
    </row>
    <row r="5" spans="1:5" x14ac:dyDescent="0.35">
      <c r="A5">
        <v>2020</v>
      </c>
      <c r="B5" t="s">
        <v>16</v>
      </c>
      <c r="C5" t="s">
        <v>82</v>
      </c>
      <c r="D5" t="s">
        <v>83</v>
      </c>
      <c r="E5">
        <v>5</v>
      </c>
    </row>
    <row r="6" spans="1:5" x14ac:dyDescent="0.35">
      <c r="A6">
        <v>2020</v>
      </c>
      <c r="B6" t="s">
        <v>17</v>
      </c>
      <c r="C6" t="s">
        <v>82</v>
      </c>
      <c r="D6" t="s">
        <v>83</v>
      </c>
      <c r="E6">
        <v>10</v>
      </c>
    </row>
    <row r="7" spans="1:5" x14ac:dyDescent="0.35">
      <c r="A7">
        <v>2020</v>
      </c>
      <c r="B7" t="s">
        <v>18</v>
      </c>
      <c r="C7" t="s">
        <v>82</v>
      </c>
      <c r="D7" t="s">
        <v>83</v>
      </c>
      <c r="E7">
        <v>9</v>
      </c>
    </row>
    <row r="8" spans="1:5" x14ac:dyDescent="0.35">
      <c r="A8">
        <v>2020</v>
      </c>
      <c r="B8" t="s">
        <v>19</v>
      </c>
      <c r="C8" t="s">
        <v>82</v>
      </c>
      <c r="D8" t="s">
        <v>83</v>
      </c>
      <c r="E8">
        <v>10</v>
      </c>
    </row>
    <row r="9" spans="1:5" x14ac:dyDescent="0.35">
      <c r="A9">
        <v>2020</v>
      </c>
      <c r="B9" t="s">
        <v>20</v>
      </c>
      <c r="C9" t="s">
        <v>82</v>
      </c>
      <c r="D9" t="s">
        <v>83</v>
      </c>
      <c r="E9">
        <v>4</v>
      </c>
    </row>
    <row r="10" spans="1:5" x14ac:dyDescent="0.35">
      <c r="A10">
        <v>2020</v>
      </c>
      <c r="B10" t="s">
        <v>21</v>
      </c>
      <c r="C10" t="s">
        <v>82</v>
      </c>
      <c r="D10" t="s">
        <v>83</v>
      </c>
      <c r="E10">
        <v>8</v>
      </c>
    </row>
    <row r="11" spans="1:5" x14ac:dyDescent="0.35">
      <c r="A11">
        <v>2020</v>
      </c>
      <c r="B11" t="s">
        <v>22</v>
      </c>
      <c r="C11" t="s">
        <v>82</v>
      </c>
      <c r="D11" t="s">
        <v>83</v>
      </c>
      <c r="E11">
        <v>15</v>
      </c>
    </row>
    <row r="12" spans="1:5" x14ac:dyDescent="0.35">
      <c r="A12">
        <v>2020</v>
      </c>
      <c r="B12" t="s">
        <v>23</v>
      </c>
      <c r="C12" t="s">
        <v>82</v>
      </c>
      <c r="D12" t="s">
        <v>83</v>
      </c>
      <c r="E12">
        <v>53</v>
      </c>
    </row>
    <row r="13" spans="1:5" x14ac:dyDescent="0.35">
      <c r="A13">
        <v>2020</v>
      </c>
      <c r="B13" t="s">
        <v>25</v>
      </c>
      <c r="C13" t="s">
        <v>82</v>
      </c>
      <c r="D13" t="s">
        <v>83</v>
      </c>
      <c r="E13">
        <v>2</v>
      </c>
    </row>
    <row r="14" spans="1:5" x14ac:dyDescent="0.35">
      <c r="A14">
        <v>2020</v>
      </c>
      <c r="B14" t="s">
        <v>26</v>
      </c>
      <c r="C14" t="s">
        <v>82</v>
      </c>
      <c r="D14" t="s">
        <v>83</v>
      </c>
      <c r="E14">
        <v>12</v>
      </c>
    </row>
    <row r="15" spans="1:5" x14ac:dyDescent="0.35">
      <c r="A15">
        <v>2020</v>
      </c>
      <c r="B15" t="s">
        <v>27</v>
      </c>
      <c r="C15" t="s">
        <v>82</v>
      </c>
      <c r="D15" t="s">
        <v>83</v>
      </c>
      <c r="E15">
        <v>49</v>
      </c>
    </row>
    <row r="16" spans="1:5" x14ac:dyDescent="0.35">
      <c r="A16">
        <v>2020</v>
      </c>
      <c r="B16" t="s">
        <v>28</v>
      </c>
      <c r="C16" t="s">
        <v>82</v>
      </c>
      <c r="D16" t="s">
        <v>83</v>
      </c>
      <c r="E16">
        <v>6</v>
      </c>
    </row>
    <row r="17" spans="1:5" x14ac:dyDescent="0.35">
      <c r="A17">
        <v>2020</v>
      </c>
      <c r="B17" t="s">
        <v>29</v>
      </c>
      <c r="C17" t="s">
        <v>82</v>
      </c>
      <c r="D17" t="s">
        <v>83</v>
      </c>
      <c r="E17">
        <v>226</v>
      </c>
    </row>
    <row r="18" spans="1:5" x14ac:dyDescent="0.35">
      <c r="A18">
        <v>2020</v>
      </c>
      <c r="B18" t="s">
        <v>30</v>
      </c>
      <c r="C18" t="s">
        <v>82</v>
      </c>
      <c r="D18" t="s">
        <v>83</v>
      </c>
      <c r="E18">
        <v>32</v>
      </c>
    </row>
    <row r="19" spans="1:5" x14ac:dyDescent="0.35">
      <c r="A19">
        <v>2020</v>
      </c>
      <c r="B19" t="s">
        <v>31</v>
      </c>
      <c r="C19" t="s">
        <v>82</v>
      </c>
      <c r="D19" t="s">
        <v>83</v>
      </c>
      <c r="E19">
        <v>31</v>
      </c>
    </row>
    <row r="20" spans="1:5" x14ac:dyDescent="0.35">
      <c r="A20">
        <v>2020</v>
      </c>
      <c r="B20" t="s">
        <v>32</v>
      </c>
      <c r="C20" t="s">
        <v>82</v>
      </c>
      <c r="D20" t="s">
        <v>83</v>
      </c>
      <c r="E20">
        <v>13</v>
      </c>
    </row>
    <row r="21" spans="1:5" x14ac:dyDescent="0.35">
      <c r="A21">
        <v>2020</v>
      </c>
      <c r="B21" t="s">
        <v>33</v>
      </c>
      <c r="C21" t="s">
        <v>82</v>
      </c>
      <c r="D21" t="s">
        <v>83</v>
      </c>
      <c r="E21">
        <v>24</v>
      </c>
    </row>
    <row r="22" spans="1:5" x14ac:dyDescent="0.35">
      <c r="A22">
        <v>2020</v>
      </c>
      <c r="B22" t="s">
        <v>34</v>
      </c>
      <c r="C22" t="s">
        <v>82</v>
      </c>
      <c r="D22" t="s">
        <v>83</v>
      </c>
      <c r="E22">
        <v>8</v>
      </c>
    </row>
    <row r="23" spans="1:5" x14ac:dyDescent="0.35">
      <c r="A23">
        <v>2020</v>
      </c>
      <c r="B23" t="s">
        <v>76</v>
      </c>
      <c r="C23" t="s">
        <v>82</v>
      </c>
      <c r="D23" t="s">
        <v>83</v>
      </c>
      <c r="E23">
        <v>5</v>
      </c>
    </row>
    <row r="24" spans="1:5" x14ac:dyDescent="0.35">
      <c r="A24">
        <v>2020</v>
      </c>
      <c r="B24" t="s">
        <v>36</v>
      </c>
      <c r="C24" t="s">
        <v>82</v>
      </c>
      <c r="D24" t="s">
        <v>83</v>
      </c>
      <c r="E24">
        <v>0</v>
      </c>
    </row>
    <row r="25" spans="1:5" x14ac:dyDescent="0.35">
      <c r="A25">
        <v>2020</v>
      </c>
      <c r="B25" t="s">
        <v>37</v>
      </c>
      <c r="C25" t="s">
        <v>82</v>
      </c>
      <c r="D25" t="s">
        <v>83</v>
      </c>
      <c r="E25">
        <v>24</v>
      </c>
    </row>
    <row r="26" spans="1:5" x14ac:dyDescent="0.35">
      <c r="A26">
        <v>2020</v>
      </c>
      <c r="B26" t="s">
        <v>38</v>
      </c>
      <c r="C26" t="s">
        <v>82</v>
      </c>
      <c r="D26" t="s">
        <v>83</v>
      </c>
      <c r="E26">
        <v>30</v>
      </c>
    </row>
    <row r="27" spans="1:5" x14ac:dyDescent="0.35">
      <c r="A27">
        <v>2020</v>
      </c>
      <c r="B27" t="s">
        <v>39</v>
      </c>
      <c r="C27" t="s">
        <v>82</v>
      </c>
      <c r="D27" t="s">
        <v>83</v>
      </c>
      <c r="E27">
        <v>22</v>
      </c>
    </row>
    <row r="28" spans="1:5" x14ac:dyDescent="0.35">
      <c r="A28">
        <v>2020</v>
      </c>
      <c r="B28" t="s">
        <v>40</v>
      </c>
      <c r="C28" t="s">
        <v>82</v>
      </c>
      <c r="D28" t="s">
        <v>83</v>
      </c>
      <c r="E28">
        <v>12</v>
      </c>
    </row>
    <row r="29" spans="1:5" x14ac:dyDescent="0.35">
      <c r="A29">
        <v>2020</v>
      </c>
      <c r="B29" t="s">
        <v>41</v>
      </c>
      <c r="C29" t="s">
        <v>82</v>
      </c>
      <c r="D29" t="s">
        <v>83</v>
      </c>
      <c r="E29">
        <v>12</v>
      </c>
    </row>
    <row r="30" spans="1:5" x14ac:dyDescent="0.35">
      <c r="A30">
        <v>2020</v>
      </c>
      <c r="B30" t="s">
        <v>42</v>
      </c>
      <c r="C30" t="s">
        <v>82</v>
      </c>
      <c r="D30" t="s">
        <v>83</v>
      </c>
      <c r="E30">
        <v>24</v>
      </c>
    </row>
    <row r="31" spans="1:5" x14ac:dyDescent="0.35">
      <c r="A31">
        <v>2020</v>
      </c>
      <c r="B31" t="s">
        <v>43</v>
      </c>
      <c r="C31" t="s">
        <v>82</v>
      </c>
      <c r="D31" t="s">
        <v>83</v>
      </c>
      <c r="E31">
        <v>16</v>
      </c>
    </row>
    <row r="32" spans="1:5" x14ac:dyDescent="0.35">
      <c r="A32">
        <v>2020</v>
      </c>
      <c r="B32" t="s">
        <v>44</v>
      </c>
      <c r="C32" t="s">
        <v>82</v>
      </c>
      <c r="D32" t="s">
        <v>83</v>
      </c>
      <c r="E32">
        <v>12</v>
      </c>
    </row>
    <row r="33" spans="1:5" x14ac:dyDescent="0.35">
      <c r="A33">
        <v>2020</v>
      </c>
      <c r="B33" t="s">
        <v>45</v>
      </c>
      <c r="C33" t="s">
        <v>82</v>
      </c>
      <c r="D33" t="s">
        <v>83</v>
      </c>
      <c r="E33">
        <v>4</v>
      </c>
    </row>
    <row r="34" spans="1:5" x14ac:dyDescent="0.35">
      <c r="A34">
        <v>2020</v>
      </c>
      <c r="B34" t="s">
        <v>46</v>
      </c>
      <c r="C34" t="s">
        <v>82</v>
      </c>
      <c r="D34" t="s">
        <v>83</v>
      </c>
      <c r="E34">
        <v>23</v>
      </c>
    </row>
    <row r="35" spans="1:5" x14ac:dyDescent="0.35">
      <c r="A35">
        <v>2020</v>
      </c>
      <c r="B35" t="s">
        <v>47</v>
      </c>
      <c r="C35" t="s">
        <v>82</v>
      </c>
      <c r="D35" t="s">
        <v>83</v>
      </c>
      <c r="E35">
        <v>12</v>
      </c>
    </row>
    <row r="36" spans="1:5" x14ac:dyDescent="0.35">
      <c r="A36">
        <v>2020</v>
      </c>
      <c r="B36" t="s">
        <v>48</v>
      </c>
      <c r="C36" t="s">
        <v>82</v>
      </c>
      <c r="D36" t="s">
        <v>83</v>
      </c>
      <c r="E36">
        <v>31</v>
      </c>
    </row>
    <row r="37" spans="1:5" x14ac:dyDescent="0.35">
      <c r="A37">
        <v>2020</v>
      </c>
      <c r="B37" t="s">
        <v>49</v>
      </c>
      <c r="C37" t="s">
        <v>82</v>
      </c>
      <c r="D37" t="s">
        <v>83</v>
      </c>
      <c r="E37">
        <v>13</v>
      </c>
    </row>
    <row r="38" spans="1:5" x14ac:dyDescent="0.35">
      <c r="A38">
        <v>2020</v>
      </c>
      <c r="B38" t="s">
        <v>50</v>
      </c>
      <c r="C38" t="s">
        <v>82</v>
      </c>
      <c r="D38" t="s">
        <v>83</v>
      </c>
      <c r="E38">
        <v>27</v>
      </c>
    </row>
    <row r="39" spans="1:5" x14ac:dyDescent="0.35">
      <c r="A39">
        <v>2020</v>
      </c>
      <c r="B39" t="s">
        <v>51</v>
      </c>
      <c r="C39" t="s">
        <v>82</v>
      </c>
      <c r="D39" t="s">
        <v>83</v>
      </c>
      <c r="E39">
        <v>7</v>
      </c>
    </row>
    <row r="40" spans="1:5" x14ac:dyDescent="0.35">
      <c r="A40">
        <v>2020</v>
      </c>
      <c r="B40" t="s">
        <v>52</v>
      </c>
      <c r="C40" t="s">
        <v>82</v>
      </c>
      <c r="D40" t="s">
        <v>83</v>
      </c>
      <c r="E40">
        <v>19</v>
      </c>
    </row>
    <row r="41" spans="1:5" x14ac:dyDescent="0.35">
      <c r="A41">
        <v>2020</v>
      </c>
      <c r="B41" t="s">
        <v>53</v>
      </c>
      <c r="C41" t="s">
        <v>82</v>
      </c>
      <c r="D41" t="s">
        <v>83</v>
      </c>
      <c r="E41">
        <v>17</v>
      </c>
    </row>
    <row r="42" spans="1:5" x14ac:dyDescent="0.35">
      <c r="A42">
        <v>2020</v>
      </c>
      <c r="B42" t="s">
        <v>54</v>
      </c>
      <c r="C42" t="s">
        <v>82</v>
      </c>
      <c r="D42" t="s">
        <v>83</v>
      </c>
      <c r="E42">
        <v>6</v>
      </c>
    </row>
    <row r="43" spans="1:5" x14ac:dyDescent="0.35">
      <c r="A43">
        <v>2020</v>
      </c>
      <c r="B43" t="s">
        <v>55</v>
      </c>
      <c r="C43" t="s">
        <v>82</v>
      </c>
      <c r="D43" t="s">
        <v>83</v>
      </c>
      <c r="E43">
        <v>27</v>
      </c>
    </row>
    <row r="44" spans="1:5" x14ac:dyDescent="0.35">
      <c r="A44">
        <v>2020</v>
      </c>
      <c r="B44" t="s">
        <v>56</v>
      </c>
      <c r="C44" t="s">
        <v>82</v>
      </c>
      <c r="D44" t="s">
        <v>83</v>
      </c>
      <c r="E44">
        <v>2</v>
      </c>
    </row>
    <row r="45" spans="1:5" x14ac:dyDescent="0.35">
      <c r="A45">
        <v>2020</v>
      </c>
      <c r="B45" t="s">
        <v>57</v>
      </c>
      <c r="C45" t="s">
        <v>82</v>
      </c>
      <c r="D45" t="s">
        <v>83</v>
      </c>
      <c r="E45">
        <v>33</v>
      </c>
    </row>
    <row r="46" spans="1:5" x14ac:dyDescent="0.35">
      <c r="A46">
        <v>2020</v>
      </c>
      <c r="B46" t="s">
        <v>24</v>
      </c>
      <c r="C46" t="s">
        <v>82</v>
      </c>
      <c r="D46" t="s">
        <v>83</v>
      </c>
      <c r="E46">
        <v>35</v>
      </c>
    </row>
    <row r="47" spans="1:5" x14ac:dyDescent="0.35">
      <c r="A47">
        <v>2020</v>
      </c>
      <c r="B47" t="s">
        <v>13</v>
      </c>
      <c r="C47" t="s">
        <v>82</v>
      </c>
      <c r="D47" t="s">
        <v>84</v>
      </c>
      <c r="E47">
        <v>14</v>
      </c>
    </row>
    <row r="48" spans="1:5" x14ac:dyDescent="0.35">
      <c r="A48">
        <v>2020</v>
      </c>
      <c r="B48" t="s">
        <v>14</v>
      </c>
      <c r="C48" t="s">
        <v>82</v>
      </c>
      <c r="D48" t="s">
        <v>84</v>
      </c>
      <c r="E48">
        <v>24</v>
      </c>
    </row>
    <row r="49" spans="1:5" x14ac:dyDescent="0.35">
      <c r="A49">
        <v>2020</v>
      </c>
      <c r="B49" t="s">
        <v>15</v>
      </c>
      <c r="C49" t="s">
        <v>82</v>
      </c>
      <c r="D49" t="s">
        <v>84</v>
      </c>
      <c r="E49">
        <v>12</v>
      </c>
    </row>
    <row r="50" spans="1:5" x14ac:dyDescent="0.35">
      <c r="A50">
        <v>2020</v>
      </c>
      <c r="B50" t="s">
        <v>16</v>
      </c>
      <c r="C50" t="s">
        <v>82</v>
      </c>
      <c r="D50" t="s">
        <v>84</v>
      </c>
      <c r="E50">
        <v>16</v>
      </c>
    </row>
    <row r="51" spans="1:5" x14ac:dyDescent="0.35">
      <c r="A51">
        <v>2020</v>
      </c>
      <c r="B51" t="s">
        <v>17</v>
      </c>
      <c r="C51" t="s">
        <v>82</v>
      </c>
      <c r="D51" t="s">
        <v>84</v>
      </c>
      <c r="E51">
        <v>24</v>
      </c>
    </row>
    <row r="52" spans="1:5" x14ac:dyDescent="0.35">
      <c r="A52">
        <v>2020</v>
      </c>
      <c r="B52" t="s">
        <v>18</v>
      </c>
      <c r="C52" t="s">
        <v>82</v>
      </c>
      <c r="D52" t="s">
        <v>84</v>
      </c>
      <c r="E52">
        <v>22</v>
      </c>
    </row>
    <row r="53" spans="1:5" x14ac:dyDescent="0.35">
      <c r="A53">
        <v>2020</v>
      </c>
      <c r="B53" t="s">
        <v>19</v>
      </c>
      <c r="C53" t="s">
        <v>82</v>
      </c>
      <c r="D53" t="s">
        <v>84</v>
      </c>
      <c r="E53">
        <v>18</v>
      </c>
    </row>
    <row r="54" spans="1:5" x14ac:dyDescent="0.35">
      <c r="A54">
        <v>2020</v>
      </c>
      <c r="B54" t="s">
        <v>20</v>
      </c>
      <c r="C54" t="s">
        <v>82</v>
      </c>
      <c r="D54" t="s">
        <v>84</v>
      </c>
      <c r="E54">
        <v>8</v>
      </c>
    </row>
    <row r="55" spans="1:5" x14ac:dyDescent="0.35">
      <c r="A55">
        <v>2020</v>
      </c>
      <c r="B55" t="s">
        <v>21</v>
      </c>
      <c r="C55" t="s">
        <v>82</v>
      </c>
      <c r="D55" t="s">
        <v>84</v>
      </c>
      <c r="E55">
        <v>10</v>
      </c>
    </row>
    <row r="56" spans="1:5" x14ac:dyDescent="0.35">
      <c r="A56">
        <v>2020</v>
      </c>
      <c r="B56" t="s">
        <v>22</v>
      </c>
      <c r="C56" t="s">
        <v>82</v>
      </c>
      <c r="D56" t="s">
        <v>84</v>
      </c>
      <c r="E56">
        <v>29</v>
      </c>
    </row>
    <row r="57" spans="1:5" x14ac:dyDescent="0.35">
      <c r="A57">
        <v>2020</v>
      </c>
      <c r="B57" t="s">
        <v>23</v>
      </c>
      <c r="C57" t="s">
        <v>82</v>
      </c>
      <c r="D57" t="s">
        <v>84</v>
      </c>
      <c r="E57">
        <v>42</v>
      </c>
    </row>
    <row r="58" spans="1:5" x14ac:dyDescent="0.35">
      <c r="A58">
        <v>2020</v>
      </c>
      <c r="B58" t="s">
        <v>25</v>
      </c>
      <c r="C58" t="s">
        <v>82</v>
      </c>
      <c r="D58" t="s">
        <v>84</v>
      </c>
      <c r="E58">
        <v>11</v>
      </c>
    </row>
    <row r="59" spans="1:5" x14ac:dyDescent="0.35">
      <c r="A59">
        <v>2020</v>
      </c>
      <c r="B59" t="s">
        <v>26</v>
      </c>
      <c r="C59" t="s">
        <v>82</v>
      </c>
      <c r="D59" t="s">
        <v>84</v>
      </c>
      <c r="E59">
        <v>39</v>
      </c>
    </row>
    <row r="60" spans="1:5" x14ac:dyDescent="0.35">
      <c r="A60">
        <v>2020</v>
      </c>
      <c r="B60" t="s">
        <v>27</v>
      </c>
      <c r="C60" t="s">
        <v>82</v>
      </c>
      <c r="D60" t="s">
        <v>84</v>
      </c>
      <c r="E60">
        <v>46</v>
      </c>
    </row>
    <row r="61" spans="1:5" x14ac:dyDescent="0.35">
      <c r="A61">
        <v>2020</v>
      </c>
      <c r="B61" t="s">
        <v>28</v>
      </c>
      <c r="C61" t="s">
        <v>82</v>
      </c>
      <c r="D61" t="s">
        <v>84</v>
      </c>
      <c r="E61">
        <v>14</v>
      </c>
    </row>
    <row r="62" spans="1:5" x14ac:dyDescent="0.35">
      <c r="A62">
        <v>2020</v>
      </c>
      <c r="B62" t="s">
        <v>29</v>
      </c>
      <c r="C62" t="s">
        <v>82</v>
      </c>
      <c r="D62" t="s">
        <v>84</v>
      </c>
      <c r="E62">
        <v>164</v>
      </c>
    </row>
    <row r="63" spans="1:5" x14ac:dyDescent="0.35">
      <c r="A63">
        <v>2020</v>
      </c>
      <c r="B63" t="s">
        <v>30</v>
      </c>
      <c r="C63" t="s">
        <v>82</v>
      </c>
      <c r="D63" t="s">
        <v>84</v>
      </c>
      <c r="E63">
        <v>44</v>
      </c>
    </row>
    <row r="64" spans="1:5" x14ac:dyDescent="0.35">
      <c r="A64">
        <v>2020</v>
      </c>
      <c r="B64" t="s">
        <v>31</v>
      </c>
      <c r="C64" t="s">
        <v>82</v>
      </c>
      <c r="D64" t="s">
        <v>84</v>
      </c>
      <c r="E64">
        <v>26</v>
      </c>
    </row>
    <row r="65" spans="1:5" x14ac:dyDescent="0.35">
      <c r="A65">
        <v>2020</v>
      </c>
      <c r="B65" t="s">
        <v>32</v>
      </c>
      <c r="C65" t="s">
        <v>82</v>
      </c>
      <c r="D65" t="s">
        <v>84</v>
      </c>
      <c r="E65">
        <v>31</v>
      </c>
    </row>
    <row r="66" spans="1:5" x14ac:dyDescent="0.35">
      <c r="A66">
        <v>2020</v>
      </c>
      <c r="B66" t="s">
        <v>33</v>
      </c>
      <c r="C66" t="s">
        <v>82</v>
      </c>
      <c r="D66" t="s">
        <v>84</v>
      </c>
      <c r="E66">
        <v>16</v>
      </c>
    </row>
    <row r="67" spans="1:5" x14ac:dyDescent="0.35">
      <c r="A67">
        <v>2020</v>
      </c>
      <c r="B67" t="s">
        <v>34</v>
      </c>
      <c r="C67" t="s">
        <v>82</v>
      </c>
      <c r="D67" t="s">
        <v>84</v>
      </c>
      <c r="E67">
        <v>10</v>
      </c>
    </row>
    <row r="68" spans="1:5" x14ac:dyDescent="0.35">
      <c r="A68">
        <v>2020</v>
      </c>
      <c r="B68" t="s">
        <v>76</v>
      </c>
      <c r="C68" t="s">
        <v>82</v>
      </c>
      <c r="D68" t="s">
        <v>84</v>
      </c>
      <c r="E68">
        <v>2</v>
      </c>
    </row>
    <row r="69" spans="1:5" x14ac:dyDescent="0.35">
      <c r="A69">
        <v>2020</v>
      </c>
      <c r="B69" t="s">
        <v>36</v>
      </c>
      <c r="C69" t="s">
        <v>82</v>
      </c>
      <c r="D69" t="s">
        <v>84</v>
      </c>
      <c r="E69">
        <v>0</v>
      </c>
    </row>
    <row r="70" spans="1:5" x14ac:dyDescent="0.35">
      <c r="A70">
        <v>2020</v>
      </c>
      <c r="B70" t="s">
        <v>37</v>
      </c>
      <c r="C70" t="s">
        <v>82</v>
      </c>
      <c r="D70" t="s">
        <v>84</v>
      </c>
      <c r="E70">
        <v>37</v>
      </c>
    </row>
    <row r="71" spans="1:5" x14ac:dyDescent="0.35">
      <c r="A71">
        <v>2020</v>
      </c>
      <c r="B71" t="s">
        <v>38</v>
      </c>
      <c r="C71" t="s">
        <v>82</v>
      </c>
      <c r="D71" t="s">
        <v>84</v>
      </c>
      <c r="E71">
        <v>18</v>
      </c>
    </row>
    <row r="72" spans="1:5" x14ac:dyDescent="0.35">
      <c r="A72">
        <v>2020</v>
      </c>
      <c r="B72" t="s">
        <v>39</v>
      </c>
      <c r="C72" t="s">
        <v>82</v>
      </c>
      <c r="D72" t="s">
        <v>84</v>
      </c>
      <c r="E72">
        <v>18</v>
      </c>
    </row>
    <row r="73" spans="1:5" x14ac:dyDescent="0.35">
      <c r="A73">
        <v>2020</v>
      </c>
      <c r="B73" t="s">
        <v>40</v>
      </c>
      <c r="C73" t="s">
        <v>82</v>
      </c>
      <c r="D73" t="s">
        <v>84</v>
      </c>
      <c r="E73">
        <v>14</v>
      </c>
    </row>
    <row r="74" spans="1:5" x14ac:dyDescent="0.35">
      <c r="A74">
        <v>2020</v>
      </c>
      <c r="B74" t="s">
        <v>41</v>
      </c>
      <c r="C74" t="s">
        <v>82</v>
      </c>
      <c r="D74" t="s">
        <v>84</v>
      </c>
      <c r="E74">
        <v>44</v>
      </c>
    </row>
    <row r="75" spans="1:5" x14ac:dyDescent="0.35">
      <c r="A75">
        <v>2020</v>
      </c>
      <c r="B75" t="s">
        <v>42</v>
      </c>
      <c r="C75" t="s">
        <v>82</v>
      </c>
      <c r="D75" t="s">
        <v>84</v>
      </c>
      <c r="E75">
        <v>11</v>
      </c>
    </row>
    <row r="76" spans="1:5" x14ac:dyDescent="0.35">
      <c r="A76">
        <v>2020</v>
      </c>
      <c r="B76" t="s">
        <v>43</v>
      </c>
      <c r="C76" t="s">
        <v>82</v>
      </c>
      <c r="D76" t="s">
        <v>84</v>
      </c>
      <c r="E76">
        <v>17</v>
      </c>
    </row>
    <row r="77" spans="1:5" x14ac:dyDescent="0.35">
      <c r="A77">
        <v>2020</v>
      </c>
      <c r="B77" t="s">
        <v>44</v>
      </c>
      <c r="C77" t="s">
        <v>82</v>
      </c>
      <c r="D77" t="s">
        <v>84</v>
      </c>
      <c r="E77">
        <v>29</v>
      </c>
    </row>
    <row r="78" spans="1:5" x14ac:dyDescent="0.35">
      <c r="A78">
        <v>2020</v>
      </c>
      <c r="B78" t="s">
        <v>45</v>
      </c>
      <c r="C78" t="s">
        <v>82</v>
      </c>
      <c r="D78" t="s">
        <v>84</v>
      </c>
      <c r="E78">
        <v>9</v>
      </c>
    </row>
    <row r="79" spans="1:5" x14ac:dyDescent="0.35">
      <c r="A79">
        <v>2020</v>
      </c>
      <c r="B79" t="s">
        <v>46</v>
      </c>
      <c r="C79" t="s">
        <v>82</v>
      </c>
      <c r="D79" t="s">
        <v>84</v>
      </c>
      <c r="E79">
        <v>21</v>
      </c>
    </row>
    <row r="80" spans="1:5" x14ac:dyDescent="0.35">
      <c r="A80">
        <v>2020</v>
      </c>
      <c r="B80" t="s">
        <v>47</v>
      </c>
      <c r="C80" t="s">
        <v>82</v>
      </c>
      <c r="D80" t="s">
        <v>84</v>
      </c>
      <c r="E80">
        <v>17</v>
      </c>
    </row>
    <row r="81" spans="1:5" x14ac:dyDescent="0.35">
      <c r="A81">
        <v>2020</v>
      </c>
      <c r="B81" t="s">
        <v>48</v>
      </c>
      <c r="C81" t="s">
        <v>82</v>
      </c>
      <c r="D81" t="s">
        <v>84</v>
      </c>
      <c r="E81">
        <v>9</v>
      </c>
    </row>
    <row r="82" spans="1:5" x14ac:dyDescent="0.35">
      <c r="A82">
        <v>2020</v>
      </c>
      <c r="B82" t="s">
        <v>49</v>
      </c>
      <c r="C82" t="s">
        <v>82</v>
      </c>
      <c r="D82" t="s">
        <v>84</v>
      </c>
      <c r="E82">
        <v>18</v>
      </c>
    </row>
    <row r="83" spans="1:5" x14ac:dyDescent="0.35">
      <c r="A83">
        <v>2020</v>
      </c>
      <c r="B83" t="s">
        <v>50</v>
      </c>
      <c r="C83" t="s">
        <v>82</v>
      </c>
      <c r="D83" t="s">
        <v>84</v>
      </c>
      <c r="E83">
        <v>10</v>
      </c>
    </row>
    <row r="84" spans="1:5" x14ac:dyDescent="0.35">
      <c r="A84">
        <v>2020</v>
      </c>
      <c r="B84" t="s">
        <v>51</v>
      </c>
      <c r="C84" t="s">
        <v>82</v>
      </c>
      <c r="D84" t="s">
        <v>84</v>
      </c>
      <c r="E84">
        <v>7</v>
      </c>
    </row>
    <row r="85" spans="1:5" x14ac:dyDescent="0.35">
      <c r="A85">
        <v>2020</v>
      </c>
      <c r="B85" t="s">
        <v>52</v>
      </c>
      <c r="C85" t="s">
        <v>82</v>
      </c>
      <c r="D85" t="s">
        <v>84</v>
      </c>
      <c r="E85">
        <v>20</v>
      </c>
    </row>
    <row r="86" spans="1:5" x14ac:dyDescent="0.35">
      <c r="A86">
        <v>2020</v>
      </c>
      <c r="B86" t="s">
        <v>53</v>
      </c>
      <c r="C86" t="s">
        <v>82</v>
      </c>
      <c r="D86" t="s">
        <v>84</v>
      </c>
      <c r="E86">
        <v>33</v>
      </c>
    </row>
    <row r="87" spans="1:5" x14ac:dyDescent="0.35">
      <c r="A87">
        <v>2020</v>
      </c>
      <c r="B87" t="s">
        <v>54</v>
      </c>
      <c r="C87" t="s">
        <v>82</v>
      </c>
      <c r="D87" t="s">
        <v>84</v>
      </c>
      <c r="E87">
        <v>10</v>
      </c>
    </row>
    <row r="88" spans="1:5" x14ac:dyDescent="0.35">
      <c r="A88">
        <v>2020</v>
      </c>
      <c r="B88" t="s">
        <v>55</v>
      </c>
      <c r="C88" t="s">
        <v>82</v>
      </c>
      <c r="D88" t="s">
        <v>84</v>
      </c>
      <c r="E88">
        <v>44</v>
      </c>
    </row>
    <row r="89" spans="1:5" x14ac:dyDescent="0.35">
      <c r="A89">
        <v>2020</v>
      </c>
      <c r="B89" t="s">
        <v>56</v>
      </c>
      <c r="C89" t="s">
        <v>82</v>
      </c>
      <c r="D89" t="s">
        <v>84</v>
      </c>
      <c r="E89">
        <v>17</v>
      </c>
    </row>
    <row r="90" spans="1:5" x14ac:dyDescent="0.35">
      <c r="A90">
        <v>2020</v>
      </c>
      <c r="B90" t="s">
        <v>57</v>
      </c>
      <c r="C90" t="s">
        <v>82</v>
      </c>
      <c r="D90" t="s">
        <v>84</v>
      </c>
      <c r="E90">
        <v>44</v>
      </c>
    </row>
    <row r="91" spans="1:5" x14ac:dyDescent="0.35">
      <c r="A91">
        <v>2020</v>
      </c>
      <c r="B91" t="s">
        <v>24</v>
      </c>
      <c r="C91" t="s">
        <v>82</v>
      </c>
      <c r="D91" t="s">
        <v>84</v>
      </c>
      <c r="E91">
        <v>48</v>
      </c>
    </row>
    <row r="92" spans="1:5" x14ac:dyDescent="0.35">
      <c r="A92">
        <v>2020</v>
      </c>
      <c r="B92" t="s">
        <v>13</v>
      </c>
      <c r="C92" t="s">
        <v>85</v>
      </c>
      <c r="D92" t="s">
        <v>83</v>
      </c>
      <c r="E92">
        <v>0</v>
      </c>
    </row>
    <row r="93" spans="1:5" x14ac:dyDescent="0.35">
      <c r="A93">
        <v>2020</v>
      </c>
      <c r="B93" t="s">
        <v>14</v>
      </c>
      <c r="C93" t="s">
        <v>85</v>
      </c>
      <c r="D93" t="s">
        <v>83</v>
      </c>
      <c r="E93">
        <v>0</v>
      </c>
    </row>
    <row r="94" spans="1:5" x14ac:dyDescent="0.35">
      <c r="A94">
        <v>2020</v>
      </c>
      <c r="B94" t="s">
        <v>15</v>
      </c>
      <c r="C94" t="s">
        <v>85</v>
      </c>
      <c r="D94" t="s">
        <v>83</v>
      </c>
      <c r="E94">
        <v>0</v>
      </c>
    </row>
    <row r="95" spans="1:5" x14ac:dyDescent="0.35">
      <c r="A95">
        <v>2020</v>
      </c>
      <c r="B95" t="s">
        <v>16</v>
      </c>
      <c r="C95" t="s">
        <v>85</v>
      </c>
      <c r="D95" t="s">
        <v>83</v>
      </c>
      <c r="E95">
        <v>2</v>
      </c>
    </row>
    <row r="96" spans="1:5" x14ac:dyDescent="0.35">
      <c r="A96">
        <v>2020</v>
      </c>
      <c r="B96" t="s">
        <v>17</v>
      </c>
      <c r="C96" t="s">
        <v>85</v>
      </c>
      <c r="D96" t="s">
        <v>83</v>
      </c>
      <c r="E96">
        <v>3</v>
      </c>
    </row>
    <row r="97" spans="1:5" x14ac:dyDescent="0.35">
      <c r="A97">
        <v>2020</v>
      </c>
      <c r="B97" t="s">
        <v>18</v>
      </c>
      <c r="C97" t="s">
        <v>85</v>
      </c>
      <c r="D97" t="s">
        <v>83</v>
      </c>
      <c r="E97">
        <v>0</v>
      </c>
    </row>
    <row r="98" spans="1:5" x14ac:dyDescent="0.35">
      <c r="A98">
        <v>2020</v>
      </c>
      <c r="B98" t="s">
        <v>19</v>
      </c>
      <c r="C98" t="s">
        <v>85</v>
      </c>
      <c r="D98" t="s">
        <v>83</v>
      </c>
      <c r="E98">
        <v>0</v>
      </c>
    </row>
    <row r="99" spans="1:5" x14ac:dyDescent="0.35">
      <c r="A99">
        <v>2020</v>
      </c>
      <c r="B99" t="s">
        <v>20</v>
      </c>
      <c r="C99" t="s">
        <v>85</v>
      </c>
      <c r="D99" t="s">
        <v>83</v>
      </c>
      <c r="E99">
        <v>3</v>
      </c>
    </row>
    <row r="100" spans="1:5" x14ac:dyDescent="0.35">
      <c r="A100">
        <v>2020</v>
      </c>
      <c r="B100" t="s">
        <v>21</v>
      </c>
      <c r="C100" t="s">
        <v>85</v>
      </c>
      <c r="D100" t="s">
        <v>83</v>
      </c>
      <c r="E100">
        <v>2</v>
      </c>
    </row>
    <row r="101" spans="1:5" x14ac:dyDescent="0.35">
      <c r="A101">
        <v>2020</v>
      </c>
      <c r="B101" t="s">
        <v>22</v>
      </c>
      <c r="C101" t="s">
        <v>85</v>
      </c>
      <c r="D101" t="s">
        <v>83</v>
      </c>
      <c r="E101">
        <v>1</v>
      </c>
    </row>
    <row r="102" spans="1:5" x14ac:dyDescent="0.35">
      <c r="A102">
        <v>2020</v>
      </c>
      <c r="B102" t="s">
        <v>23</v>
      </c>
      <c r="C102" t="s">
        <v>85</v>
      </c>
      <c r="D102" t="s">
        <v>83</v>
      </c>
      <c r="E102">
        <v>4</v>
      </c>
    </row>
    <row r="103" spans="1:5" x14ac:dyDescent="0.35">
      <c r="A103">
        <v>2020</v>
      </c>
      <c r="B103" t="s">
        <v>25</v>
      </c>
      <c r="C103" t="s">
        <v>85</v>
      </c>
      <c r="D103" t="s">
        <v>83</v>
      </c>
      <c r="E103">
        <v>2</v>
      </c>
    </row>
    <row r="104" spans="1:5" x14ac:dyDescent="0.35">
      <c r="A104">
        <v>2020</v>
      </c>
      <c r="B104" t="s">
        <v>26</v>
      </c>
      <c r="C104" t="s">
        <v>85</v>
      </c>
      <c r="D104" t="s">
        <v>83</v>
      </c>
      <c r="E104">
        <v>1</v>
      </c>
    </row>
    <row r="105" spans="1:5" x14ac:dyDescent="0.35">
      <c r="A105">
        <v>2020</v>
      </c>
      <c r="B105" t="s">
        <v>27</v>
      </c>
      <c r="C105" t="s">
        <v>85</v>
      </c>
      <c r="D105" t="s">
        <v>83</v>
      </c>
      <c r="E105">
        <v>0</v>
      </c>
    </row>
    <row r="106" spans="1:5" x14ac:dyDescent="0.35">
      <c r="A106">
        <v>2020</v>
      </c>
      <c r="B106" t="s">
        <v>28</v>
      </c>
      <c r="C106" t="s">
        <v>85</v>
      </c>
      <c r="D106" t="s">
        <v>83</v>
      </c>
      <c r="E106">
        <v>0</v>
      </c>
    </row>
    <row r="107" spans="1:5" x14ac:dyDescent="0.35">
      <c r="A107">
        <v>2020</v>
      </c>
      <c r="B107" t="s">
        <v>29</v>
      </c>
      <c r="C107" t="s">
        <v>85</v>
      </c>
      <c r="D107" t="s">
        <v>83</v>
      </c>
      <c r="E107">
        <v>5</v>
      </c>
    </row>
    <row r="108" spans="1:5" x14ac:dyDescent="0.35">
      <c r="A108">
        <v>2020</v>
      </c>
      <c r="B108" t="s">
        <v>30</v>
      </c>
      <c r="C108" t="s">
        <v>85</v>
      </c>
      <c r="D108" t="s">
        <v>83</v>
      </c>
      <c r="E108">
        <v>2</v>
      </c>
    </row>
    <row r="109" spans="1:5" x14ac:dyDescent="0.35">
      <c r="A109">
        <v>2020</v>
      </c>
      <c r="B109" t="s">
        <v>31</v>
      </c>
      <c r="C109" t="s">
        <v>85</v>
      </c>
      <c r="D109" t="s">
        <v>83</v>
      </c>
      <c r="E109">
        <v>3</v>
      </c>
    </row>
    <row r="110" spans="1:5" x14ac:dyDescent="0.35">
      <c r="A110">
        <v>2020</v>
      </c>
      <c r="B110" t="s">
        <v>32</v>
      </c>
      <c r="C110" t="s">
        <v>85</v>
      </c>
      <c r="D110" t="s">
        <v>83</v>
      </c>
      <c r="E110">
        <v>1</v>
      </c>
    </row>
    <row r="111" spans="1:5" x14ac:dyDescent="0.35">
      <c r="A111">
        <v>2020</v>
      </c>
      <c r="B111" t="s">
        <v>33</v>
      </c>
      <c r="C111" t="s">
        <v>85</v>
      </c>
      <c r="D111" t="s">
        <v>83</v>
      </c>
      <c r="E111">
        <v>7</v>
      </c>
    </row>
    <row r="112" spans="1:5" x14ac:dyDescent="0.35">
      <c r="A112">
        <v>2020</v>
      </c>
      <c r="B112" t="s">
        <v>34</v>
      </c>
      <c r="C112" t="s">
        <v>85</v>
      </c>
      <c r="D112" t="s">
        <v>83</v>
      </c>
      <c r="E112">
        <v>1</v>
      </c>
    </row>
    <row r="113" spans="1:5" x14ac:dyDescent="0.35">
      <c r="A113">
        <v>2020</v>
      </c>
      <c r="B113" t="s">
        <v>76</v>
      </c>
      <c r="C113" t="s">
        <v>85</v>
      </c>
      <c r="D113" t="s">
        <v>83</v>
      </c>
      <c r="E113">
        <v>0</v>
      </c>
    </row>
    <row r="114" spans="1:5" x14ac:dyDescent="0.35">
      <c r="A114">
        <v>2020</v>
      </c>
      <c r="B114" t="s">
        <v>36</v>
      </c>
      <c r="C114" t="s">
        <v>85</v>
      </c>
      <c r="D114" t="s">
        <v>83</v>
      </c>
      <c r="E114">
        <v>0</v>
      </c>
    </row>
    <row r="115" spans="1:5" x14ac:dyDescent="0.35">
      <c r="A115">
        <v>2020</v>
      </c>
      <c r="B115" t="s">
        <v>37</v>
      </c>
      <c r="C115" t="s">
        <v>85</v>
      </c>
      <c r="D115" t="s">
        <v>83</v>
      </c>
      <c r="E115">
        <v>4</v>
      </c>
    </row>
    <row r="116" spans="1:5" x14ac:dyDescent="0.35">
      <c r="A116">
        <v>2020</v>
      </c>
      <c r="B116" t="s">
        <v>38</v>
      </c>
      <c r="C116" t="s">
        <v>85</v>
      </c>
      <c r="D116" t="s">
        <v>83</v>
      </c>
      <c r="E116">
        <v>0</v>
      </c>
    </row>
    <row r="117" spans="1:5" x14ac:dyDescent="0.35">
      <c r="A117">
        <v>2020</v>
      </c>
      <c r="B117" t="s">
        <v>39</v>
      </c>
      <c r="C117" t="s">
        <v>85</v>
      </c>
      <c r="D117" t="s">
        <v>83</v>
      </c>
      <c r="E117">
        <v>0</v>
      </c>
    </row>
    <row r="118" spans="1:5" x14ac:dyDescent="0.35">
      <c r="A118">
        <v>2020</v>
      </c>
      <c r="B118" t="s">
        <v>40</v>
      </c>
      <c r="C118" t="s">
        <v>85</v>
      </c>
      <c r="D118" t="s">
        <v>83</v>
      </c>
      <c r="E118">
        <v>5</v>
      </c>
    </row>
    <row r="119" spans="1:5" x14ac:dyDescent="0.35">
      <c r="A119">
        <v>2020</v>
      </c>
      <c r="B119" t="s">
        <v>41</v>
      </c>
      <c r="C119" t="s">
        <v>85</v>
      </c>
      <c r="D119" t="s">
        <v>83</v>
      </c>
      <c r="E119">
        <v>0</v>
      </c>
    </row>
    <row r="120" spans="1:5" x14ac:dyDescent="0.35">
      <c r="A120">
        <v>2020</v>
      </c>
      <c r="B120" t="s">
        <v>42</v>
      </c>
      <c r="C120" t="s">
        <v>85</v>
      </c>
      <c r="D120" t="s">
        <v>83</v>
      </c>
      <c r="E120">
        <v>7</v>
      </c>
    </row>
    <row r="121" spans="1:5" x14ac:dyDescent="0.35">
      <c r="A121">
        <v>2020</v>
      </c>
      <c r="B121" t="s">
        <v>43</v>
      </c>
      <c r="C121" t="s">
        <v>85</v>
      </c>
      <c r="D121" t="s">
        <v>83</v>
      </c>
      <c r="E121">
        <v>2</v>
      </c>
    </row>
    <row r="122" spans="1:5" x14ac:dyDescent="0.35">
      <c r="A122">
        <v>2020</v>
      </c>
      <c r="B122" t="s">
        <v>44</v>
      </c>
      <c r="C122" t="s">
        <v>85</v>
      </c>
      <c r="D122" t="s">
        <v>83</v>
      </c>
      <c r="E122">
        <v>3</v>
      </c>
    </row>
    <row r="123" spans="1:5" x14ac:dyDescent="0.35">
      <c r="A123">
        <v>2020</v>
      </c>
      <c r="B123" t="s">
        <v>45</v>
      </c>
      <c r="C123" t="s">
        <v>85</v>
      </c>
      <c r="D123" t="s">
        <v>83</v>
      </c>
      <c r="E123">
        <v>1</v>
      </c>
    </row>
    <row r="124" spans="1:5" x14ac:dyDescent="0.35">
      <c r="A124">
        <v>2020</v>
      </c>
      <c r="B124" t="s">
        <v>46</v>
      </c>
      <c r="C124" t="s">
        <v>85</v>
      </c>
      <c r="D124" t="s">
        <v>83</v>
      </c>
      <c r="E124">
        <v>1</v>
      </c>
    </row>
    <row r="125" spans="1:5" x14ac:dyDescent="0.35">
      <c r="A125">
        <v>2020</v>
      </c>
      <c r="B125" t="s">
        <v>47</v>
      </c>
      <c r="C125" t="s">
        <v>85</v>
      </c>
      <c r="D125" t="s">
        <v>83</v>
      </c>
      <c r="E125">
        <v>2</v>
      </c>
    </row>
    <row r="126" spans="1:5" x14ac:dyDescent="0.35">
      <c r="A126">
        <v>2020</v>
      </c>
      <c r="B126" t="s">
        <v>48</v>
      </c>
      <c r="C126" t="s">
        <v>85</v>
      </c>
      <c r="D126" t="s">
        <v>83</v>
      </c>
      <c r="E126">
        <v>1</v>
      </c>
    </row>
    <row r="127" spans="1:5" x14ac:dyDescent="0.35">
      <c r="A127">
        <v>2020</v>
      </c>
      <c r="B127" t="s">
        <v>49</v>
      </c>
      <c r="C127" t="s">
        <v>85</v>
      </c>
      <c r="D127" t="s">
        <v>83</v>
      </c>
      <c r="E127">
        <v>0</v>
      </c>
    </row>
    <row r="128" spans="1:5" x14ac:dyDescent="0.35">
      <c r="A128">
        <v>2020</v>
      </c>
      <c r="B128" t="s">
        <v>50</v>
      </c>
      <c r="C128" t="s">
        <v>85</v>
      </c>
      <c r="D128" t="s">
        <v>83</v>
      </c>
      <c r="E128">
        <v>1</v>
      </c>
    </row>
    <row r="129" spans="1:5" x14ac:dyDescent="0.35">
      <c r="A129">
        <v>2020</v>
      </c>
      <c r="B129" t="s">
        <v>51</v>
      </c>
      <c r="C129" t="s">
        <v>85</v>
      </c>
      <c r="D129" t="s">
        <v>83</v>
      </c>
      <c r="E129">
        <v>0</v>
      </c>
    </row>
    <row r="130" spans="1:5" x14ac:dyDescent="0.35">
      <c r="A130">
        <v>2020</v>
      </c>
      <c r="B130" t="s">
        <v>52</v>
      </c>
      <c r="C130" t="s">
        <v>85</v>
      </c>
      <c r="D130" t="s">
        <v>83</v>
      </c>
      <c r="E130">
        <v>1</v>
      </c>
    </row>
    <row r="131" spans="1:5" x14ac:dyDescent="0.35">
      <c r="A131">
        <v>2020</v>
      </c>
      <c r="B131" t="s">
        <v>53</v>
      </c>
      <c r="C131" t="s">
        <v>85</v>
      </c>
      <c r="D131" t="s">
        <v>83</v>
      </c>
      <c r="E131">
        <v>0</v>
      </c>
    </row>
    <row r="132" spans="1:5" x14ac:dyDescent="0.35">
      <c r="A132">
        <v>2020</v>
      </c>
      <c r="B132" t="s">
        <v>54</v>
      </c>
      <c r="C132" t="s">
        <v>85</v>
      </c>
      <c r="D132" t="s">
        <v>83</v>
      </c>
      <c r="E132">
        <v>2</v>
      </c>
    </row>
    <row r="133" spans="1:5" x14ac:dyDescent="0.35">
      <c r="A133">
        <v>2020</v>
      </c>
      <c r="B133" t="s">
        <v>55</v>
      </c>
      <c r="C133" t="s">
        <v>85</v>
      </c>
      <c r="D133" t="s">
        <v>83</v>
      </c>
      <c r="E133">
        <v>1</v>
      </c>
    </row>
    <row r="134" spans="1:5" x14ac:dyDescent="0.35">
      <c r="A134">
        <v>2020</v>
      </c>
      <c r="B134" t="s">
        <v>56</v>
      </c>
      <c r="C134" t="s">
        <v>85</v>
      </c>
      <c r="D134" t="s">
        <v>83</v>
      </c>
      <c r="E134">
        <v>0</v>
      </c>
    </row>
    <row r="135" spans="1:5" x14ac:dyDescent="0.35">
      <c r="A135">
        <v>2020</v>
      </c>
      <c r="B135" t="s">
        <v>57</v>
      </c>
      <c r="C135" t="s">
        <v>85</v>
      </c>
      <c r="D135" t="s">
        <v>83</v>
      </c>
      <c r="E135">
        <v>2</v>
      </c>
    </row>
    <row r="136" spans="1:5" x14ac:dyDescent="0.35">
      <c r="A136">
        <v>2020</v>
      </c>
      <c r="B136" t="s">
        <v>24</v>
      </c>
      <c r="C136" t="s">
        <v>85</v>
      </c>
      <c r="D136" t="s">
        <v>83</v>
      </c>
      <c r="E136">
        <v>4</v>
      </c>
    </row>
    <row r="137" spans="1:5" x14ac:dyDescent="0.35">
      <c r="A137">
        <v>2020</v>
      </c>
      <c r="B137" t="s">
        <v>13</v>
      </c>
      <c r="C137" t="s">
        <v>85</v>
      </c>
      <c r="D137" t="s">
        <v>84</v>
      </c>
      <c r="E137">
        <v>7</v>
      </c>
    </row>
    <row r="138" spans="1:5" x14ac:dyDescent="0.35">
      <c r="A138">
        <v>2020</v>
      </c>
      <c r="B138" t="s">
        <v>14</v>
      </c>
      <c r="C138" t="s">
        <v>85</v>
      </c>
      <c r="D138" t="s">
        <v>84</v>
      </c>
      <c r="E138">
        <v>10</v>
      </c>
    </row>
    <row r="139" spans="1:5" x14ac:dyDescent="0.35">
      <c r="A139">
        <v>2020</v>
      </c>
      <c r="B139" t="s">
        <v>15</v>
      </c>
      <c r="C139" t="s">
        <v>85</v>
      </c>
      <c r="D139" t="s">
        <v>84</v>
      </c>
      <c r="E139">
        <v>10</v>
      </c>
    </row>
    <row r="140" spans="1:5" x14ac:dyDescent="0.35">
      <c r="A140">
        <v>2020</v>
      </c>
      <c r="B140" t="s">
        <v>16</v>
      </c>
      <c r="C140" t="s">
        <v>85</v>
      </c>
      <c r="D140" t="s">
        <v>84</v>
      </c>
      <c r="E140">
        <v>11</v>
      </c>
    </row>
    <row r="141" spans="1:5" x14ac:dyDescent="0.35">
      <c r="A141">
        <v>2020</v>
      </c>
      <c r="B141" t="s">
        <v>17</v>
      </c>
      <c r="C141" t="s">
        <v>85</v>
      </c>
      <c r="D141" t="s">
        <v>84</v>
      </c>
      <c r="E141">
        <v>7</v>
      </c>
    </row>
    <row r="142" spans="1:5" x14ac:dyDescent="0.35">
      <c r="A142">
        <v>2020</v>
      </c>
      <c r="B142" t="s">
        <v>18</v>
      </c>
      <c r="C142" t="s">
        <v>85</v>
      </c>
      <c r="D142" t="s">
        <v>84</v>
      </c>
      <c r="E142">
        <v>19</v>
      </c>
    </row>
    <row r="143" spans="1:5" x14ac:dyDescent="0.35">
      <c r="A143">
        <v>2020</v>
      </c>
      <c r="B143" t="s">
        <v>19</v>
      </c>
      <c r="C143" t="s">
        <v>85</v>
      </c>
      <c r="D143" t="s">
        <v>84</v>
      </c>
      <c r="E143">
        <v>7</v>
      </c>
    </row>
    <row r="144" spans="1:5" x14ac:dyDescent="0.35">
      <c r="A144">
        <v>2020</v>
      </c>
      <c r="B144" t="s">
        <v>20</v>
      </c>
      <c r="C144" t="s">
        <v>85</v>
      </c>
      <c r="D144" t="s">
        <v>84</v>
      </c>
      <c r="E144">
        <v>6</v>
      </c>
    </row>
    <row r="145" spans="1:5" x14ac:dyDescent="0.35">
      <c r="A145">
        <v>2020</v>
      </c>
      <c r="B145" t="s">
        <v>21</v>
      </c>
      <c r="C145" t="s">
        <v>85</v>
      </c>
      <c r="D145" t="s">
        <v>84</v>
      </c>
      <c r="E145">
        <v>5</v>
      </c>
    </row>
    <row r="146" spans="1:5" x14ac:dyDescent="0.35">
      <c r="A146">
        <v>2020</v>
      </c>
      <c r="B146" t="s">
        <v>22</v>
      </c>
      <c r="C146" t="s">
        <v>85</v>
      </c>
      <c r="D146" t="s">
        <v>84</v>
      </c>
      <c r="E146">
        <v>32</v>
      </c>
    </row>
    <row r="147" spans="1:5" x14ac:dyDescent="0.35">
      <c r="A147">
        <v>2020</v>
      </c>
      <c r="B147" t="s">
        <v>23</v>
      </c>
      <c r="C147" t="s">
        <v>85</v>
      </c>
      <c r="D147" t="s">
        <v>84</v>
      </c>
      <c r="E147">
        <v>38</v>
      </c>
    </row>
    <row r="148" spans="1:5" x14ac:dyDescent="0.35">
      <c r="A148">
        <v>2020</v>
      </c>
      <c r="B148" t="s">
        <v>25</v>
      </c>
      <c r="C148" t="s">
        <v>85</v>
      </c>
      <c r="D148" t="s">
        <v>84</v>
      </c>
      <c r="E148">
        <v>10</v>
      </c>
    </row>
    <row r="149" spans="1:5" x14ac:dyDescent="0.35">
      <c r="A149">
        <v>2020</v>
      </c>
      <c r="B149" t="s">
        <v>26</v>
      </c>
      <c r="C149" t="s">
        <v>85</v>
      </c>
      <c r="D149" t="s">
        <v>84</v>
      </c>
      <c r="E149">
        <v>16</v>
      </c>
    </row>
    <row r="150" spans="1:5" x14ac:dyDescent="0.35">
      <c r="A150">
        <v>2020</v>
      </c>
      <c r="B150" t="s">
        <v>27</v>
      </c>
      <c r="C150" t="s">
        <v>85</v>
      </c>
      <c r="D150" t="s">
        <v>84</v>
      </c>
      <c r="E150">
        <v>28</v>
      </c>
    </row>
    <row r="151" spans="1:5" x14ac:dyDescent="0.35">
      <c r="A151">
        <v>2020</v>
      </c>
      <c r="B151" t="s">
        <v>28</v>
      </c>
      <c r="C151" t="s">
        <v>85</v>
      </c>
      <c r="D151" t="s">
        <v>84</v>
      </c>
      <c r="E151">
        <v>2</v>
      </c>
    </row>
    <row r="152" spans="1:5" x14ac:dyDescent="0.35">
      <c r="A152">
        <v>2020</v>
      </c>
      <c r="B152" t="s">
        <v>29</v>
      </c>
      <c r="C152" t="s">
        <v>85</v>
      </c>
      <c r="D152" t="s">
        <v>84</v>
      </c>
      <c r="E152">
        <v>34</v>
      </c>
    </row>
    <row r="153" spans="1:5" x14ac:dyDescent="0.35">
      <c r="A153">
        <v>2020</v>
      </c>
      <c r="B153" t="s">
        <v>30</v>
      </c>
      <c r="C153" t="s">
        <v>85</v>
      </c>
      <c r="D153" t="s">
        <v>84</v>
      </c>
      <c r="E153">
        <v>6</v>
      </c>
    </row>
    <row r="154" spans="1:5" x14ac:dyDescent="0.35">
      <c r="A154">
        <v>2020</v>
      </c>
      <c r="B154" t="s">
        <v>31</v>
      </c>
      <c r="C154" t="s">
        <v>85</v>
      </c>
      <c r="D154" t="s">
        <v>84</v>
      </c>
      <c r="E154">
        <v>24</v>
      </c>
    </row>
    <row r="155" spans="1:5" x14ac:dyDescent="0.35">
      <c r="A155">
        <v>2020</v>
      </c>
      <c r="B155" t="s">
        <v>32</v>
      </c>
      <c r="C155" t="s">
        <v>85</v>
      </c>
      <c r="D155" t="s">
        <v>84</v>
      </c>
      <c r="E155">
        <v>20</v>
      </c>
    </row>
    <row r="156" spans="1:5" x14ac:dyDescent="0.35">
      <c r="A156">
        <v>2020</v>
      </c>
      <c r="B156" t="s">
        <v>33</v>
      </c>
      <c r="C156" t="s">
        <v>85</v>
      </c>
      <c r="D156" t="s">
        <v>84</v>
      </c>
      <c r="E156">
        <v>17</v>
      </c>
    </row>
    <row r="157" spans="1:5" x14ac:dyDescent="0.35">
      <c r="A157">
        <v>2020</v>
      </c>
      <c r="B157" t="s">
        <v>34</v>
      </c>
      <c r="C157" t="s">
        <v>85</v>
      </c>
      <c r="D157" t="s">
        <v>84</v>
      </c>
      <c r="E157">
        <v>6</v>
      </c>
    </row>
    <row r="158" spans="1:5" x14ac:dyDescent="0.35">
      <c r="A158">
        <v>2020</v>
      </c>
      <c r="B158" t="s">
        <v>76</v>
      </c>
      <c r="C158" t="s">
        <v>85</v>
      </c>
      <c r="D158" t="s">
        <v>84</v>
      </c>
      <c r="E158">
        <v>4</v>
      </c>
    </row>
    <row r="159" spans="1:5" x14ac:dyDescent="0.35">
      <c r="A159">
        <v>2020</v>
      </c>
      <c r="B159" t="s">
        <v>36</v>
      </c>
      <c r="C159" t="s">
        <v>85</v>
      </c>
      <c r="D159" t="s">
        <v>84</v>
      </c>
      <c r="E159">
        <v>0</v>
      </c>
    </row>
    <row r="160" spans="1:5" x14ac:dyDescent="0.35">
      <c r="A160">
        <v>2020</v>
      </c>
      <c r="B160" t="s">
        <v>37</v>
      </c>
      <c r="C160" t="s">
        <v>85</v>
      </c>
      <c r="D160" t="s">
        <v>84</v>
      </c>
      <c r="E160">
        <v>50</v>
      </c>
    </row>
    <row r="161" spans="1:5" x14ac:dyDescent="0.35">
      <c r="A161">
        <v>2020</v>
      </c>
      <c r="B161" t="s">
        <v>38</v>
      </c>
      <c r="C161" t="s">
        <v>85</v>
      </c>
      <c r="D161" t="s">
        <v>84</v>
      </c>
      <c r="E161">
        <v>17</v>
      </c>
    </row>
    <row r="162" spans="1:5" x14ac:dyDescent="0.35">
      <c r="A162">
        <v>2020</v>
      </c>
      <c r="B162" t="s">
        <v>39</v>
      </c>
      <c r="C162" t="s">
        <v>85</v>
      </c>
      <c r="D162" t="s">
        <v>84</v>
      </c>
      <c r="E162">
        <v>14</v>
      </c>
    </row>
    <row r="163" spans="1:5" x14ac:dyDescent="0.35">
      <c r="A163">
        <v>2020</v>
      </c>
      <c r="B163" t="s">
        <v>40</v>
      </c>
      <c r="C163" t="s">
        <v>85</v>
      </c>
      <c r="D163" t="s">
        <v>84</v>
      </c>
      <c r="E163">
        <v>13</v>
      </c>
    </row>
    <row r="164" spans="1:5" x14ac:dyDescent="0.35">
      <c r="A164">
        <v>2020</v>
      </c>
      <c r="B164" t="s">
        <v>41</v>
      </c>
      <c r="C164" t="s">
        <v>85</v>
      </c>
      <c r="D164" t="s">
        <v>84</v>
      </c>
      <c r="E164">
        <v>25</v>
      </c>
    </row>
    <row r="165" spans="1:5" x14ac:dyDescent="0.35">
      <c r="A165">
        <v>2020</v>
      </c>
      <c r="B165" t="s">
        <v>42</v>
      </c>
      <c r="C165" t="s">
        <v>85</v>
      </c>
      <c r="D165" t="s">
        <v>84</v>
      </c>
      <c r="E165">
        <v>19</v>
      </c>
    </row>
    <row r="166" spans="1:5" x14ac:dyDescent="0.35">
      <c r="A166">
        <v>2020</v>
      </c>
      <c r="B166" t="s">
        <v>43</v>
      </c>
      <c r="C166" t="s">
        <v>85</v>
      </c>
      <c r="D166" t="s">
        <v>84</v>
      </c>
      <c r="E166">
        <v>15</v>
      </c>
    </row>
    <row r="167" spans="1:5" x14ac:dyDescent="0.35">
      <c r="A167">
        <v>2020</v>
      </c>
      <c r="B167" t="s">
        <v>44</v>
      </c>
      <c r="C167" t="s">
        <v>85</v>
      </c>
      <c r="D167" t="s">
        <v>84</v>
      </c>
      <c r="E167">
        <v>17</v>
      </c>
    </row>
    <row r="168" spans="1:5" x14ac:dyDescent="0.35">
      <c r="A168">
        <v>2020</v>
      </c>
      <c r="B168" t="s">
        <v>45</v>
      </c>
      <c r="C168" t="s">
        <v>85</v>
      </c>
      <c r="D168" t="s">
        <v>84</v>
      </c>
      <c r="E168">
        <v>7</v>
      </c>
    </row>
    <row r="169" spans="1:5" x14ac:dyDescent="0.35">
      <c r="A169">
        <v>2020</v>
      </c>
      <c r="B169" t="s">
        <v>46</v>
      </c>
      <c r="C169" t="s">
        <v>85</v>
      </c>
      <c r="D169" t="s">
        <v>84</v>
      </c>
      <c r="E169">
        <v>11</v>
      </c>
    </row>
    <row r="170" spans="1:5" x14ac:dyDescent="0.35">
      <c r="A170">
        <v>2020</v>
      </c>
      <c r="B170" t="s">
        <v>47</v>
      </c>
      <c r="C170" t="s">
        <v>85</v>
      </c>
      <c r="D170" t="s">
        <v>84</v>
      </c>
      <c r="E170">
        <v>12</v>
      </c>
    </row>
    <row r="171" spans="1:5" x14ac:dyDescent="0.35">
      <c r="A171">
        <v>2020</v>
      </c>
      <c r="B171" t="s">
        <v>48</v>
      </c>
      <c r="C171" t="s">
        <v>85</v>
      </c>
      <c r="D171" t="s">
        <v>84</v>
      </c>
      <c r="E171">
        <v>7</v>
      </c>
    </row>
    <row r="172" spans="1:5" x14ac:dyDescent="0.35">
      <c r="A172">
        <v>2020</v>
      </c>
      <c r="B172" t="s">
        <v>49</v>
      </c>
      <c r="C172" t="s">
        <v>85</v>
      </c>
      <c r="D172" t="s">
        <v>84</v>
      </c>
      <c r="E172">
        <v>17</v>
      </c>
    </row>
    <row r="173" spans="1:5" x14ac:dyDescent="0.35">
      <c r="A173">
        <v>2020</v>
      </c>
      <c r="B173" t="s">
        <v>50</v>
      </c>
      <c r="C173" t="s">
        <v>85</v>
      </c>
      <c r="D173" t="s">
        <v>84</v>
      </c>
      <c r="E173">
        <v>14</v>
      </c>
    </row>
    <row r="174" spans="1:5" x14ac:dyDescent="0.35">
      <c r="A174">
        <v>2020</v>
      </c>
      <c r="B174" t="s">
        <v>51</v>
      </c>
      <c r="C174" t="s">
        <v>85</v>
      </c>
      <c r="D174" t="s">
        <v>84</v>
      </c>
      <c r="E174">
        <v>8</v>
      </c>
    </row>
    <row r="175" spans="1:5" x14ac:dyDescent="0.35">
      <c r="A175">
        <v>2020</v>
      </c>
      <c r="B175" t="s">
        <v>52</v>
      </c>
      <c r="C175" t="s">
        <v>85</v>
      </c>
      <c r="D175" t="s">
        <v>84</v>
      </c>
      <c r="E175">
        <v>8</v>
      </c>
    </row>
    <row r="176" spans="1:5" x14ac:dyDescent="0.35">
      <c r="A176">
        <v>2020</v>
      </c>
      <c r="B176" t="s">
        <v>53</v>
      </c>
      <c r="C176" t="s">
        <v>85</v>
      </c>
      <c r="D176" t="s">
        <v>84</v>
      </c>
      <c r="E176">
        <v>21</v>
      </c>
    </row>
    <row r="177" spans="1:5" x14ac:dyDescent="0.35">
      <c r="A177">
        <v>2020</v>
      </c>
      <c r="B177" t="s">
        <v>54</v>
      </c>
      <c r="C177" t="s">
        <v>85</v>
      </c>
      <c r="D177" t="s">
        <v>84</v>
      </c>
      <c r="E177">
        <v>10</v>
      </c>
    </row>
    <row r="178" spans="1:5" x14ac:dyDescent="0.35">
      <c r="A178">
        <v>2020</v>
      </c>
      <c r="B178" t="s">
        <v>55</v>
      </c>
      <c r="C178" t="s">
        <v>85</v>
      </c>
      <c r="D178" t="s">
        <v>84</v>
      </c>
      <c r="E178">
        <v>10</v>
      </c>
    </row>
    <row r="179" spans="1:5" x14ac:dyDescent="0.35">
      <c r="A179">
        <v>2020</v>
      </c>
      <c r="B179" t="s">
        <v>56</v>
      </c>
      <c r="C179" t="s">
        <v>85</v>
      </c>
      <c r="D179" t="s">
        <v>84</v>
      </c>
      <c r="E179">
        <v>18</v>
      </c>
    </row>
    <row r="180" spans="1:5" x14ac:dyDescent="0.35">
      <c r="A180">
        <v>2020</v>
      </c>
      <c r="B180" t="s">
        <v>57</v>
      </c>
      <c r="C180" t="s">
        <v>85</v>
      </c>
      <c r="D180" t="s">
        <v>84</v>
      </c>
      <c r="E180">
        <v>21</v>
      </c>
    </row>
    <row r="181" spans="1:5" x14ac:dyDescent="0.35">
      <c r="A181">
        <v>2020</v>
      </c>
      <c r="B181" t="s">
        <v>24</v>
      </c>
      <c r="C181" t="s">
        <v>85</v>
      </c>
      <c r="D181" t="s">
        <v>84</v>
      </c>
      <c r="E181">
        <v>58</v>
      </c>
    </row>
    <row r="182" spans="1:5" x14ac:dyDescent="0.35">
      <c r="A182">
        <v>2020</v>
      </c>
      <c r="B182" t="s">
        <v>13</v>
      </c>
      <c r="C182" t="s">
        <v>86</v>
      </c>
      <c r="D182" t="s">
        <v>74</v>
      </c>
      <c r="E182">
        <v>0</v>
      </c>
    </row>
    <row r="183" spans="1:5" x14ac:dyDescent="0.35">
      <c r="A183">
        <v>2020</v>
      </c>
      <c r="B183" t="s">
        <v>14</v>
      </c>
      <c r="C183" t="s">
        <v>86</v>
      </c>
      <c r="D183" t="s">
        <v>74</v>
      </c>
      <c r="E183">
        <v>0</v>
      </c>
    </row>
    <row r="184" spans="1:5" x14ac:dyDescent="0.35">
      <c r="A184">
        <v>2020</v>
      </c>
      <c r="B184" t="s">
        <v>15</v>
      </c>
      <c r="C184" t="s">
        <v>86</v>
      </c>
      <c r="D184" t="s">
        <v>74</v>
      </c>
      <c r="E184">
        <v>0</v>
      </c>
    </row>
    <row r="185" spans="1:5" x14ac:dyDescent="0.35">
      <c r="A185">
        <v>2020</v>
      </c>
      <c r="B185" t="s">
        <v>16</v>
      </c>
      <c r="C185" t="s">
        <v>86</v>
      </c>
      <c r="D185" t="s">
        <v>74</v>
      </c>
      <c r="E185">
        <v>0</v>
      </c>
    </row>
    <row r="186" spans="1:5" x14ac:dyDescent="0.35">
      <c r="A186">
        <v>2020</v>
      </c>
      <c r="B186" t="s">
        <v>17</v>
      </c>
      <c r="C186" t="s">
        <v>86</v>
      </c>
      <c r="D186" t="s">
        <v>74</v>
      </c>
      <c r="E186">
        <v>0</v>
      </c>
    </row>
    <row r="187" spans="1:5" x14ac:dyDescent="0.35">
      <c r="A187">
        <v>2020</v>
      </c>
      <c r="B187" t="s">
        <v>18</v>
      </c>
      <c r="C187" t="s">
        <v>86</v>
      </c>
      <c r="D187" t="s">
        <v>74</v>
      </c>
      <c r="E187">
        <v>0</v>
      </c>
    </row>
    <row r="188" spans="1:5" x14ac:dyDescent="0.35">
      <c r="A188">
        <v>2020</v>
      </c>
      <c r="B188" t="s">
        <v>19</v>
      </c>
      <c r="C188" t="s">
        <v>86</v>
      </c>
      <c r="D188" t="s">
        <v>74</v>
      </c>
      <c r="E188">
        <v>1</v>
      </c>
    </row>
    <row r="189" spans="1:5" x14ac:dyDescent="0.35">
      <c r="A189">
        <v>2020</v>
      </c>
      <c r="B189" t="s">
        <v>20</v>
      </c>
      <c r="C189" t="s">
        <v>86</v>
      </c>
      <c r="D189" t="s">
        <v>74</v>
      </c>
      <c r="E189">
        <v>0</v>
      </c>
    </row>
    <row r="190" spans="1:5" x14ac:dyDescent="0.35">
      <c r="A190">
        <v>2020</v>
      </c>
      <c r="B190" t="s">
        <v>21</v>
      </c>
      <c r="C190" t="s">
        <v>86</v>
      </c>
      <c r="D190" t="s">
        <v>74</v>
      </c>
      <c r="E190">
        <v>0</v>
      </c>
    </row>
    <row r="191" spans="1:5" x14ac:dyDescent="0.35">
      <c r="A191">
        <v>2020</v>
      </c>
      <c r="B191" t="s">
        <v>22</v>
      </c>
      <c r="C191" t="s">
        <v>86</v>
      </c>
      <c r="D191" t="s">
        <v>74</v>
      </c>
      <c r="E191">
        <v>0</v>
      </c>
    </row>
    <row r="192" spans="1:5" x14ac:dyDescent="0.35">
      <c r="A192">
        <v>2020</v>
      </c>
      <c r="B192" t="s">
        <v>23</v>
      </c>
      <c r="C192" t="s">
        <v>86</v>
      </c>
      <c r="D192" t="s">
        <v>74</v>
      </c>
      <c r="E192">
        <v>3</v>
      </c>
    </row>
    <row r="193" spans="1:5" x14ac:dyDescent="0.35">
      <c r="A193">
        <v>2020</v>
      </c>
      <c r="B193" t="s">
        <v>25</v>
      </c>
      <c r="C193" t="s">
        <v>86</v>
      </c>
      <c r="D193" t="s">
        <v>74</v>
      </c>
      <c r="E193">
        <v>2</v>
      </c>
    </row>
    <row r="194" spans="1:5" x14ac:dyDescent="0.35">
      <c r="A194">
        <v>2020</v>
      </c>
      <c r="B194" t="s">
        <v>26</v>
      </c>
      <c r="C194" t="s">
        <v>86</v>
      </c>
      <c r="D194" t="s">
        <v>74</v>
      </c>
      <c r="E194">
        <v>0</v>
      </c>
    </row>
    <row r="195" spans="1:5" x14ac:dyDescent="0.35">
      <c r="A195">
        <v>2020</v>
      </c>
      <c r="B195" t="s">
        <v>27</v>
      </c>
      <c r="C195" t="s">
        <v>86</v>
      </c>
      <c r="D195" t="s">
        <v>74</v>
      </c>
      <c r="E195">
        <v>3</v>
      </c>
    </row>
    <row r="196" spans="1:5" x14ac:dyDescent="0.35">
      <c r="A196">
        <v>2020</v>
      </c>
      <c r="B196" t="s">
        <v>28</v>
      </c>
      <c r="C196" t="s">
        <v>86</v>
      </c>
      <c r="D196" t="s">
        <v>74</v>
      </c>
      <c r="E196">
        <v>1</v>
      </c>
    </row>
    <row r="197" spans="1:5" x14ac:dyDescent="0.35">
      <c r="A197">
        <v>2020</v>
      </c>
      <c r="B197" t="s">
        <v>29</v>
      </c>
      <c r="C197" t="s">
        <v>86</v>
      </c>
      <c r="D197" t="s">
        <v>74</v>
      </c>
      <c r="E197">
        <v>4</v>
      </c>
    </row>
    <row r="198" spans="1:5" x14ac:dyDescent="0.35">
      <c r="A198">
        <v>2020</v>
      </c>
      <c r="B198" t="s">
        <v>30</v>
      </c>
      <c r="C198" t="s">
        <v>86</v>
      </c>
      <c r="D198" t="s">
        <v>74</v>
      </c>
      <c r="E198">
        <v>1</v>
      </c>
    </row>
    <row r="199" spans="1:5" x14ac:dyDescent="0.35">
      <c r="A199">
        <v>2020</v>
      </c>
      <c r="B199" t="s">
        <v>31</v>
      </c>
      <c r="C199" t="s">
        <v>86</v>
      </c>
      <c r="D199" t="s">
        <v>74</v>
      </c>
      <c r="E199">
        <v>2</v>
      </c>
    </row>
    <row r="200" spans="1:5" x14ac:dyDescent="0.35">
      <c r="A200">
        <v>2020</v>
      </c>
      <c r="B200" t="s">
        <v>32</v>
      </c>
      <c r="C200" t="s">
        <v>86</v>
      </c>
      <c r="D200" t="s">
        <v>74</v>
      </c>
      <c r="E200">
        <v>2</v>
      </c>
    </row>
    <row r="201" spans="1:5" x14ac:dyDescent="0.35">
      <c r="A201">
        <v>2020</v>
      </c>
      <c r="B201" t="s">
        <v>33</v>
      </c>
      <c r="C201" t="s">
        <v>86</v>
      </c>
      <c r="D201" t="s">
        <v>74</v>
      </c>
      <c r="E201">
        <v>1</v>
      </c>
    </row>
    <row r="202" spans="1:5" x14ac:dyDescent="0.35">
      <c r="A202">
        <v>2020</v>
      </c>
      <c r="B202" t="s">
        <v>34</v>
      </c>
      <c r="C202" t="s">
        <v>86</v>
      </c>
      <c r="D202" t="s">
        <v>74</v>
      </c>
      <c r="E202">
        <v>0</v>
      </c>
    </row>
    <row r="203" spans="1:5" x14ac:dyDescent="0.35">
      <c r="A203">
        <v>2020</v>
      </c>
      <c r="B203" t="s">
        <v>76</v>
      </c>
      <c r="C203" t="s">
        <v>86</v>
      </c>
      <c r="D203" t="s">
        <v>74</v>
      </c>
      <c r="E203">
        <v>0</v>
      </c>
    </row>
    <row r="204" spans="1:5" x14ac:dyDescent="0.35">
      <c r="A204">
        <v>2020</v>
      </c>
      <c r="B204" t="s">
        <v>36</v>
      </c>
      <c r="C204" t="s">
        <v>86</v>
      </c>
      <c r="D204" t="s">
        <v>74</v>
      </c>
      <c r="E204">
        <v>0</v>
      </c>
    </row>
    <row r="205" spans="1:5" x14ac:dyDescent="0.35">
      <c r="A205">
        <v>2020</v>
      </c>
      <c r="B205" t="s">
        <v>37</v>
      </c>
      <c r="C205" t="s">
        <v>86</v>
      </c>
      <c r="D205" t="s">
        <v>74</v>
      </c>
      <c r="E205">
        <v>1</v>
      </c>
    </row>
    <row r="206" spans="1:5" x14ac:dyDescent="0.35">
      <c r="A206">
        <v>2020</v>
      </c>
      <c r="B206" t="s">
        <v>38</v>
      </c>
      <c r="C206" t="s">
        <v>86</v>
      </c>
      <c r="D206" t="s">
        <v>74</v>
      </c>
      <c r="E206">
        <v>4</v>
      </c>
    </row>
    <row r="207" spans="1:5" x14ac:dyDescent="0.35">
      <c r="A207">
        <v>2020</v>
      </c>
      <c r="B207" t="s">
        <v>39</v>
      </c>
      <c r="C207" t="s">
        <v>86</v>
      </c>
      <c r="D207" t="s">
        <v>74</v>
      </c>
      <c r="E207">
        <v>0</v>
      </c>
    </row>
    <row r="208" spans="1:5" x14ac:dyDescent="0.35">
      <c r="A208">
        <v>2020</v>
      </c>
      <c r="B208" t="s">
        <v>40</v>
      </c>
      <c r="C208" t="s">
        <v>86</v>
      </c>
      <c r="D208" t="s">
        <v>74</v>
      </c>
      <c r="E208">
        <v>0</v>
      </c>
    </row>
    <row r="209" spans="1:7" x14ac:dyDescent="0.35">
      <c r="A209">
        <v>2020</v>
      </c>
      <c r="B209" t="s">
        <v>41</v>
      </c>
      <c r="C209" t="s">
        <v>86</v>
      </c>
      <c r="D209" t="s">
        <v>74</v>
      </c>
      <c r="E209">
        <v>0</v>
      </c>
    </row>
    <row r="210" spans="1:7" x14ac:dyDescent="0.35">
      <c r="A210">
        <v>2020</v>
      </c>
      <c r="B210" t="s">
        <v>42</v>
      </c>
      <c r="C210" t="s">
        <v>86</v>
      </c>
      <c r="D210" t="s">
        <v>74</v>
      </c>
      <c r="E210">
        <v>4</v>
      </c>
    </row>
    <row r="211" spans="1:7" x14ac:dyDescent="0.35">
      <c r="A211">
        <v>2020</v>
      </c>
      <c r="B211" t="s">
        <v>43</v>
      </c>
      <c r="C211" t="s">
        <v>86</v>
      </c>
      <c r="D211" t="s">
        <v>74</v>
      </c>
      <c r="E211">
        <v>2</v>
      </c>
    </row>
    <row r="212" spans="1:7" x14ac:dyDescent="0.35">
      <c r="A212">
        <v>2020</v>
      </c>
      <c r="B212" t="s">
        <v>44</v>
      </c>
      <c r="C212" t="s">
        <v>86</v>
      </c>
      <c r="D212" t="s">
        <v>74</v>
      </c>
      <c r="E212">
        <v>0</v>
      </c>
    </row>
    <row r="213" spans="1:7" x14ac:dyDescent="0.35">
      <c r="A213">
        <v>2020</v>
      </c>
      <c r="B213" t="s">
        <v>45</v>
      </c>
      <c r="C213" t="s">
        <v>86</v>
      </c>
      <c r="D213" t="s">
        <v>74</v>
      </c>
      <c r="E213">
        <v>0</v>
      </c>
    </row>
    <row r="214" spans="1:7" x14ac:dyDescent="0.35">
      <c r="A214">
        <v>2020</v>
      </c>
      <c r="B214" t="s">
        <v>46</v>
      </c>
      <c r="C214" t="s">
        <v>86</v>
      </c>
      <c r="D214" t="s">
        <v>74</v>
      </c>
      <c r="E214">
        <v>1</v>
      </c>
    </row>
    <row r="215" spans="1:7" x14ac:dyDescent="0.35">
      <c r="A215">
        <v>2020</v>
      </c>
      <c r="B215" t="s">
        <v>47</v>
      </c>
      <c r="C215" t="s">
        <v>86</v>
      </c>
      <c r="D215" t="s">
        <v>74</v>
      </c>
      <c r="E215">
        <v>1</v>
      </c>
    </row>
    <row r="216" spans="1:7" x14ac:dyDescent="0.35">
      <c r="A216">
        <v>2020</v>
      </c>
      <c r="B216" t="s">
        <v>48</v>
      </c>
      <c r="C216" t="s">
        <v>86</v>
      </c>
      <c r="D216" t="s">
        <v>74</v>
      </c>
      <c r="E216">
        <v>4</v>
      </c>
    </row>
    <row r="217" spans="1:7" x14ac:dyDescent="0.35">
      <c r="A217">
        <v>2020</v>
      </c>
      <c r="B217" t="s">
        <v>49</v>
      </c>
      <c r="C217" t="s">
        <v>86</v>
      </c>
      <c r="D217" t="s">
        <v>74</v>
      </c>
      <c r="E217">
        <v>0</v>
      </c>
    </row>
    <row r="218" spans="1:7" x14ac:dyDescent="0.35">
      <c r="A218">
        <v>2020</v>
      </c>
      <c r="B218" t="s">
        <v>50</v>
      </c>
      <c r="C218" t="s">
        <v>86</v>
      </c>
      <c r="D218" t="s">
        <v>74</v>
      </c>
      <c r="E218">
        <v>0</v>
      </c>
    </row>
    <row r="219" spans="1:7" x14ac:dyDescent="0.35">
      <c r="A219">
        <v>2020</v>
      </c>
      <c r="B219" t="s">
        <v>51</v>
      </c>
      <c r="C219" t="s">
        <v>86</v>
      </c>
      <c r="D219" t="s">
        <v>74</v>
      </c>
      <c r="E219">
        <v>0</v>
      </c>
    </row>
    <row r="220" spans="1:7" x14ac:dyDescent="0.35">
      <c r="A220">
        <v>2020</v>
      </c>
      <c r="B220" t="s">
        <v>52</v>
      </c>
      <c r="C220" t="s">
        <v>86</v>
      </c>
      <c r="D220" t="s">
        <v>74</v>
      </c>
      <c r="E220">
        <v>0</v>
      </c>
    </row>
    <row r="221" spans="1:7" x14ac:dyDescent="0.35">
      <c r="A221">
        <v>2020</v>
      </c>
      <c r="B221" t="s">
        <v>53</v>
      </c>
      <c r="C221" t="s">
        <v>86</v>
      </c>
      <c r="D221" t="s">
        <v>74</v>
      </c>
      <c r="E221">
        <v>0</v>
      </c>
      <c r="G221" t="s">
        <v>182</v>
      </c>
    </row>
    <row r="222" spans="1:7" x14ac:dyDescent="0.35">
      <c r="A222">
        <v>2020</v>
      </c>
      <c r="B222" t="s">
        <v>54</v>
      </c>
      <c r="C222" t="s">
        <v>86</v>
      </c>
      <c r="D222" t="s">
        <v>74</v>
      </c>
      <c r="E222">
        <v>4</v>
      </c>
      <c r="G222" t="s">
        <v>182</v>
      </c>
    </row>
    <row r="223" spans="1:7" x14ac:dyDescent="0.35">
      <c r="A223">
        <v>2020</v>
      </c>
      <c r="B223" t="s">
        <v>55</v>
      </c>
      <c r="C223" t="s">
        <v>86</v>
      </c>
      <c r="D223" t="s">
        <v>74</v>
      </c>
      <c r="E223">
        <v>3</v>
      </c>
      <c r="G223" t="s">
        <v>182</v>
      </c>
    </row>
    <row r="224" spans="1:7" x14ac:dyDescent="0.35">
      <c r="A224">
        <v>2020</v>
      </c>
      <c r="B224" t="s">
        <v>56</v>
      </c>
      <c r="C224" t="s">
        <v>86</v>
      </c>
      <c r="D224" t="s">
        <v>74</v>
      </c>
      <c r="E224">
        <v>0</v>
      </c>
      <c r="G224" t="s">
        <v>182</v>
      </c>
    </row>
    <row r="225" spans="1:7" x14ac:dyDescent="0.35">
      <c r="A225">
        <v>2020</v>
      </c>
      <c r="B225" t="s">
        <v>57</v>
      </c>
      <c r="C225" t="s">
        <v>86</v>
      </c>
      <c r="D225" t="s">
        <v>74</v>
      </c>
      <c r="E225">
        <v>4</v>
      </c>
      <c r="G225" t="s">
        <v>182</v>
      </c>
    </row>
    <row r="226" spans="1:7" x14ac:dyDescent="0.35">
      <c r="A226">
        <v>2020</v>
      </c>
      <c r="B226" t="s">
        <v>24</v>
      </c>
      <c r="C226" t="s">
        <v>86</v>
      </c>
      <c r="D226" t="s">
        <v>74</v>
      </c>
      <c r="E226">
        <v>0</v>
      </c>
      <c r="G226" t="s">
        <v>182</v>
      </c>
    </row>
  </sheetData>
  <dataValidations count="1">
    <dataValidation type="whole" allowBlank="1" showInputMessage="1" showErrorMessage="1" errorTitle="Error" error="Please enter a whole number greater than zero and less than a thousand." sqref="E196" xr:uid="{F281643B-BE64-46E2-989E-E3B1C5FD5D75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53EC-856F-4C58-8FA4-01CD7D894601}">
  <sheetPr codeName="Sheet19">
    <tabColor rgb="FFFF0000"/>
  </sheetPr>
  <dimension ref="A4:J58"/>
  <sheetViews>
    <sheetView workbookViewId="0">
      <selection activeCell="A4" sqref="A4:H4"/>
    </sheetView>
  </sheetViews>
  <sheetFormatPr defaultRowHeight="14.5" x14ac:dyDescent="0.35"/>
  <sheetData>
    <row r="4" spans="1:10" x14ac:dyDescent="0.35">
      <c r="A4" s="88" t="s">
        <v>75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SUM(B14:B58)</f>
        <v>954</v>
      </c>
      <c r="C8">
        <f t="shared" ref="C8:H8" si="0">SUM(C14:C58)</f>
        <v>1117</v>
      </c>
      <c r="E8">
        <f t="shared" si="0"/>
        <v>74</v>
      </c>
      <c r="F8">
        <f t="shared" si="0"/>
        <v>711</v>
      </c>
      <c r="H8">
        <f t="shared" si="0"/>
        <v>48</v>
      </c>
    </row>
    <row r="9" spans="1:10" x14ac:dyDescent="0.35">
      <c r="A9" t="s">
        <v>8</v>
      </c>
      <c r="B9">
        <f>SUMIF($J$14:$J$58,$A9,B$14:B$58)</f>
        <v>594</v>
      </c>
      <c r="C9">
        <f t="shared" ref="C9:H10" si="1">SUMIF($J$14:$J$58,$A9,C$14:C$58)</f>
        <v>726</v>
      </c>
      <c r="E9">
        <f t="shared" si="1"/>
        <v>64</v>
      </c>
      <c r="F9">
        <f t="shared" si="1"/>
        <v>577</v>
      </c>
      <c r="H9">
        <f t="shared" si="1"/>
        <v>36</v>
      </c>
    </row>
    <row r="10" spans="1:10" x14ac:dyDescent="0.35">
      <c r="A10" t="s">
        <v>9</v>
      </c>
      <c r="B10">
        <f>SUMIF($J$14:$J$58,$A10,B$14:B$58)</f>
        <v>360</v>
      </c>
      <c r="C10">
        <f t="shared" si="1"/>
        <v>391</v>
      </c>
      <c r="E10">
        <f t="shared" si="1"/>
        <v>10</v>
      </c>
      <c r="F10">
        <f t="shared" si="1"/>
        <v>134</v>
      </c>
      <c r="H10">
        <f t="shared" si="1"/>
        <v>12</v>
      </c>
    </row>
    <row r="11" spans="1:10" x14ac:dyDescent="0.35">
      <c r="A11" t="s">
        <v>10</v>
      </c>
      <c r="B11">
        <f t="shared" ref="B11:H13" si="2">SUMIF($I$14:$I$58,$A11,B$14:B$58)</f>
        <v>521</v>
      </c>
      <c r="C11">
        <f t="shared" si="2"/>
        <v>536</v>
      </c>
      <c r="E11">
        <f t="shared" si="2"/>
        <v>22</v>
      </c>
      <c r="F11">
        <f t="shared" si="2"/>
        <v>235</v>
      </c>
      <c r="H11">
        <f t="shared" si="2"/>
        <v>21</v>
      </c>
    </row>
    <row r="12" spans="1:10" x14ac:dyDescent="0.35">
      <c r="A12" t="s">
        <v>11</v>
      </c>
      <c r="B12">
        <f t="shared" si="2"/>
        <v>245</v>
      </c>
      <c r="C12">
        <f t="shared" si="2"/>
        <v>400</v>
      </c>
      <c r="E12">
        <f t="shared" si="2"/>
        <v>20</v>
      </c>
      <c r="F12">
        <f t="shared" si="2"/>
        <v>325</v>
      </c>
      <c r="H12">
        <f t="shared" si="2"/>
        <v>11</v>
      </c>
    </row>
    <row r="13" spans="1:10" x14ac:dyDescent="0.35">
      <c r="A13" t="s">
        <v>12</v>
      </c>
      <c r="B13">
        <f>SUMIF($I$14:$I$58,$A13,B$14:B$58)</f>
        <v>188</v>
      </c>
      <c r="C13">
        <f t="shared" si="2"/>
        <v>181</v>
      </c>
      <c r="E13">
        <f t="shared" si="2"/>
        <v>32</v>
      </c>
      <c r="F13">
        <f t="shared" si="2"/>
        <v>151</v>
      </c>
      <c r="H13">
        <f t="shared" si="2"/>
        <v>16</v>
      </c>
    </row>
    <row r="14" spans="1:10" x14ac:dyDescent="0.35">
      <c r="A14" t="s">
        <v>13</v>
      </c>
      <c r="B14">
        <f>SUMIFS(raw!$E$2:$E$226,raw!$B$2:$B$226,'(2019-20)'!$A14,raw!$C$2:$C$226,'(2019-20)'!$B$6,raw!$D$2:$D$226,'(2019-20)'!B$7)</f>
        <v>12</v>
      </c>
      <c r="C14">
        <f>SUMIFS(raw!$E$2:$E$226,raw!$B$2:$B$226,'(2019-20)'!$A14,raw!$C$2:$C$226,'(2019-20)'!$B$6,raw!$D$2:$D$226,'(2019-20)'!C$7)</f>
        <v>14</v>
      </c>
      <c r="E14">
        <f>SUMIFS(raw!$E$2:$E$226,raw!$B$2:$B$226,'(2019-20)'!$A14,raw!$C$2:$C$226,'(2019-20)'!$E$6,raw!$D$2:$D$226,'(2019-20)'!E$7)</f>
        <v>0</v>
      </c>
      <c r="F14">
        <f>SUMIFS(raw!$E$2:$E$226,raw!$B$2:$B$226,'(2019-20)'!$A14,raw!$C$2:$C$226,'(2019-20)'!$E$6,raw!$D$2:$D$226,'(2019-20)'!F$7)</f>
        <v>7</v>
      </c>
      <c r="H14">
        <f>SUMIFS(raw!$E$2:$E$226,raw!$B$2:$B$226,'(2019-20)'!$A14,raw!$C$2:$C$226,'(2019-20)'!$H$6,raw!$D$2:$D$226,'(2019-20)'!H$7)</f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f>SUMIFS(raw!$E$2:$E$226,raw!$B$2:$B$226,'(2019-20)'!$A15,raw!$C$2:$C$226,'(2019-20)'!$B$6,raw!$D$2:$D$226,'(2019-20)'!B$7)</f>
        <v>0</v>
      </c>
      <c r="C15">
        <f>SUMIFS(raw!$E$2:$E$226,raw!$B$2:$B$226,'(2019-20)'!$A15,raw!$C$2:$C$226,'(2019-20)'!$B$6,raw!$D$2:$D$226,'(2019-20)'!C$7)</f>
        <v>24</v>
      </c>
      <c r="E15">
        <f>SUMIFS(raw!$E$2:$E$226,raw!$B$2:$B$226,'(2019-20)'!$A15,raw!$C$2:$C$226,'(2019-20)'!$E$6,raw!$D$2:$D$226,'(2019-20)'!E$7)</f>
        <v>0</v>
      </c>
      <c r="F15">
        <f>SUMIFS(raw!$E$2:$E$226,raw!$B$2:$B$226,'(2019-20)'!$A15,raw!$C$2:$C$226,'(2019-20)'!$E$6,raw!$D$2:$D$226,'(2019-20)'!F$7)</f>
        <v>10</v>
      </c>
      <c r="H15">
        <f>SUMIFS(raw!$E$2:$E$226,raw!$B$2:$B$226,'(2019-20)'!$A15,raw!$C$2:$C$226,'(2019-20)'!$H$6,raw!$D$2:$D$226,'(2019-20)'!H$7)</f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f>SUMIFS(raw!$E$2:$E$226,raw!$B$2:$B$226,'(2019-20)'!$A16,raw!$C$2:$C$226,'(2019-20)'!$B$6,raw!$D$2:$D$226,'(2019-20)'!B$7)</f>
        <v>12</v>
      </c>
      <c r="C16">
        <f>SUMIFS(raw!$E$2:$E$226,raw!$B$2:$B$226,'(2019-20)'!$A16,raw!$C$2:$C$226,'(2019-20)'!$B$6,raw!$D$2:$D$226,'(2019-20)'!C$7)</f>
        <v>12</v>
      </c>
      <c r="E16">
        <f>SUMIFS(raw!$E$2:$E$226,raw!$B$2:$B$226,'(2019-20)'!$A16,raw!$C$2:$C$226,'(2019-20)'!$E$6,raw!$D$2:$D$226,'(2019-20)'!E$7)</f>
        <v>0</v>
      </c>
      <c r="F16">
        <f>SUMIFS(raw!$E$2:$E$226,raw!$B$2:$B$226,'(2019-20)'!$A16,raw!$C$2:$C$226,'(2019-20)'!$E$6,raw!$D$2:$D$226,'(2019-20)'!F$7)</f>
        <v>10</v>
      </c>
      <c r="H16">
        <f>SUMIFS(raw!$E$2:$E$226,raw!$B$2:$B$226,'(2019-20)'!$A16,raw!$C$2:$C$226,'(2019-20)'!$H$6,raw!$D$2:$D$226,'(2019-20)'!H$7)</f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f>SUMIFS(raw!$E$2:$E$226,raw!$B$2:$B$226,'(2019-20)'!$A17,raw!$C$2:$C$226,'(2019-20)'!$B$6,raw!$D$2:$D$226,'(2019-20)'!B$7)</f>
        <v>5</v>
      </c>
      <c r="C17">
        <f>SUMIFS(raw!$E$2:$E$226,raw!$B$2:$B$226,'(2019-20)'!$A17,raw!$C$2:$C$226,'(2019-20)'!$B$6,raw!$D$2:$D$226,'(2019-20)'!C$7)</f>
        <v>16</v>
      </c>
      <c r="E17">
        <f>SUMIFS(raw!$E$2:$E$226,raw!$B$2:$B$226,'(2019-20)'!$A17,raw!$C$2:$C$226,'(2019-20)'!$E$6,raw!$D$2:$D$226,'(2019-20)'!E$7)</f>
        <v>2</v>
      </c>
      <c r="F17">
        <f>SUMIFS(raw!$E$2:$E$226,raw!$B$2:$B$226,'(2019-20)'!$A17,raw!$C$2:$C$226,'(2019-20)'!$E$6,raw!$D$2:$D$226,'(2019-20)'!F$7)</f>
        <v>11</v>
      </c>
      <c r="H17">
        <f>SUMIFS(raw!$E$2:$E$226,raw!$B$2:$B$226,'(2019-20)'!$A17,raw!$C$2:$C$226,'(2019-20)'!$H$6,raw!$D$2:$D$226,'(2019-20)'!H$7)</f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f>SUMIFS(raw!$E$2:$E$226,raw!$B$2:$B$226,'(2019-20)'!$A18,raw!$C$2:$C$226,'(2019-20)'!$B$6,raw!$D$2:$D$226,'(2019-20)'!B$7)</f>
        <v>10</v>
      </c>
      <c r="C18">
        <f>SUMIFS(raw!$E$2:$E$226,raw!$B$2:$B$226,'(2019-20)'!$A18,raw!$C$2:$C$226,'(2019-20)'!$B$6,raw!$D$2:$D$226,'(2019-20)'!C$7)</f>
        <v>24</v>
      </c>
      <c r="E18">
        <f>SUMIFS(raw!$E$2:$E$226,raw!$B$2:$B$226,'(2019-20)'!$A18,raw!$C$2:$C$226,'(2019-20)'!$E$6,raw!$D$2:$D$226,'(2019-20)'!E$7)</f>
        <v>3</v>
      </c>
      <c r="F18">
        <f>SUMIFS(raw!$E$2:$E$226,raw!$B$2:$B$226,'(2019-20)'!$A18,raw!$C$2:$C$226,'(2019-20)'!$E$6,raw!$D$2:$D$226,'(2019-20)'!F$7)</f>
        <v>7</v>
      </c>
      <c r="H18">
        <f>SUMIFS(raw!$E$2:$E$226,raw!$B$2:$B$226,'(2019-20)'!$A18,raw!$C$2:$C$226,'(2019-20)'!$H$6,raw!$D$2:$D$226,'(2019-20)'!H$7)</f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f>SUMIFS(raw!$E$2:$E$226,raw!$B$2:$B$226,'(2019-20)'!$A19,raw!$C$2:$C$226,'(2019-20)'!$B$6,raw!$D$2:$D$226,'(2019-20)'!B$7)</f>
        <v>9</v>
      </c>
      <c r="C19">
        <f>SUMIFS(raw!$E$2:$E$226,raw!$B$2:$B$226,'(2019-20)'!$A19,raw!$C$2:$C$226,'(2019-20)'!$B$6,raw!$D$2:$D$226,'(2019-20)'!C$7)</f>
        <v>22</v>
      </c>
      <c r="E19">
        <f>SUMIFS(raw!$E$2:$E$226,raw!$B$2:$B$226,'(2019-20)'!$A19,raw!$C$2:$C$226,'(2019-20)'!$E$6,raw!$D$2:$D$226,'(2019-20)'!E$7)</f>
        <v>0</v>
      </c>
      <c r="F19">
        <f>SUMIFS(raw!$E$2:$E$226,raw!$B$2:$B$226,'(2019-20)'!$A19,raw!$C$2:$C$226,'(2019-20)'!$E$6,raw!$D$2:$D$226,'(2019-20)'!F$7)</f>
        <v>19</v>
      </c>
      <c r="H19">
        <f>SUMIFS(raw!$E$2:$E$226,raw!$B$2:$B$226,'(2019-20)'!$A19,raw!$C$2:$C$226,'(2019-20)'!$H$6,raw!$D$2:$D$226,'(2019-20)'!H$7)</f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f>SUMIFS(raw!$E$2:$E$226,raw!$B$2:$B$226,'(2019-20)'!$A20,raw!$C$2:$C$226,'(2019-20)'!$B$6,raw!$D$2:$D$226,'(2019-20)'!B$7)</f>
        <v>10</v>
      </c>
      <c r="C20">
        <f>SUMIFS(raw!$E$2:$E$226,raw!$B$2:$B$226,'(2019-20)'!$A20,raw!$C$2:$C$226,'(2019-20)'!$B$6,raw!$D$2:$D$226,'(2019-20)'!C$7)</f>
        <v>18</v>
      </c>
      <c r="E20">
        <f>SUMIFS(raw!$E$2:$E$226,raw!$B$2:$B$226,'(2019-20)'!$A20,raw!$C$2:$C$226,'(2019-20)'!$E$6,raw!$D$2:$D$226,'(2019-20)'!E$7)</f>
        <v>0</v>
      </c>
      <c r="F20">
        <f>SUMIFS(raw!$E$2:$E$226,raw!$B$2:$B$226,'(2019-20)'!$A20,raw!$C$2:$C$226,'(2019-20)'!$E$6,raw!$D$2:$D$226,'(2019-20)'!F$7)</f>
        <v>7</v>
      </c>
      <c r="H20">
        <f>SUMIFS(raw!$E$2:$E$226,raw!$B$2:$B$226,'(2019-20)'!$A20,raw!$C$2:$C$226,'(2019-20)'!$H$6,raw!$D$2:$D$226,'(2019-20)'!H$7)</f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f>SUMIFS(raw!$E$2:$E$226,raw!$B$2:$B$226,'(2019-20)'!$A21,raw!$C$2:$C$226,'(2019-20)'!$B$6,raw!$D$2:$D$226,'(2019-20)'!B$7)</f>
        <v>4</v>
      </c>
      <c r="C21">
        <f>SUMIFS(raw!$E$2:$E$226,raw!$B$2:$B$226,'(2019-20)'!$A21,raw!$C$2:$C$226,'(2019-20)'!$B$6,raw!$D$2:$D$226,'(2019-20)'!C$7)</f>
        <v>8</v>
      </c>
      <c r="E21">
        <f>SUMIFS(raw!$E$2:$E$226,raw!$B$2:$B$226,'(2019-20)'!$A21,raw!$C$2:$C$226,'(2019-20)'!$E$6,raw!$D$2:$D$226,'(2019-20)'!E$7)</f>
        <v>3</v>
      </c>
      <c r="F21">
        <f>SUMIFS(raw!$E$2:$E$226,raw!$B$2:$B$226,'(2019-20)'!$A21,raw!$C$2:$C$226,'(2019-20)'!$E$6,raw!$D$2:$D$226,'(2019-20)'!F$7)</f>
        <v>6</v>
      </c>
      <c r="H21">
        <f>SUMIFS(raw!$E$2:$E$226,raw!$B$2:$B$226,'(2019-20)'!$A21,raw!$C$2:$C$226,'(2019-20)'!$H$6,raw!$D$2:$D$226,'(2019-20)'!H$7)</f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f>SUMIFS(raw!$E$2:$E$226,raw!$B$2:$B$226,'(2019-20)'!$A22,raw!$C$2:$C$226,'(2019-20)'!$B$6,raw!$D$2:$D$226,'(2019-20)'!B$7)</f>
        <v>8</v>
      </c>
      <c r="C22">
        <f>SUMIFS(raw!$E$2:$E$226,raw!$B$2:$B$226,'(2019-20)'!$A22,raw!$C$2:$C$226,'(2019-20)'!$B$6,raw!$D$2:$D$226,'(2019-20)'!C$7)</f>
        <v>10</v>
      </c>
      <c r="E22">
        <f>SUMIFS(raw!$E$2:$E$226,raw!$B$2:$B$226,'(2019-20)'!$A22,raw!$C$2:$C$226,'(2019-20)'!$E$6,raw!$D$2:$D$226,'(2019-20)'!E$7)</f>
        <v>2</v>
      </c>
      <c r="F22">
        <f>SUMIFS(raw!$E$2:$E$226,raw!$B$2:$B$226,'(2019-20)'!$A22,raw!$C$2:$C$226,'(2019-20)'!$E$6,raw!$D$2:$D$226,'(2019-20)'!F$7)</f>
        <v>5</v>
      </c>
      <c r="H22">
        <f>SUMIFS(raw!$E$2:$E$226,raw!$B$2:$B$226,'(2019-20)'!$A22,raw!$C$2:$C$226,'(2019-20)'!$H$6,raw!$D$2:$D$226,'(2019-20)'!H$7)</f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f>SUMIFS(raw!$E$2:$E$226,raw!$B$2:$B$226,'(2019-20)'!$A23,raw!$C$2:$C$226,'(2019-20)'!$B$6,raw!$D$2:$D$226,'(2019-20)'!B$7)</f>
        <v>15</v>
      </c>
      <c r="C23">
        <f>SUMIFS(raw!$E$2:$E$226,raw!$B$2:$B$226,'(2019-20)'!$A23,raw!$C$2:$C$226,'(2019-20)'!$B$6,raw!$D$2:$D$226,'(2019-20)'!C$7)</f>
        <v>29</v>
      </c>
      <c r="E23">
        <f>SUMIFS(raw!$E$2:$E$226,raw!$B$2:$B$226,'(2019-20)'!$A23,raw!$C$2:$C$226,'(2019-20)'!$E$6,raw!$D$2:$D$226,'(2019-20)'!E$7)</f>
        <v>1</v>
      </c>
      <c r="F23">
        <f>SUMIFS(raw!$E$2:$E$226,raw!$B$2:$B$226,'(2019-20)'!$A23,raw!$C$2:$C$226,'(2019-20)'!$E$6,raw!$D$2:$D$226,'(2019-20)'!F$7)</f>
        <v>32</v>
      </c>
      <c r="H23">
        <f>SUMIFS(raw!$E$2:$E$226,raw!$B$2:$B$226,'(2019-20)'!$A23,raw!$C$2:$C$226,'(2019-20)'!$H$6,raw!$D$2:$D$226,'(2019-20)'!H$7)</f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f>SUMIFS(raw!$E$2:$E$226,raw!$B$2:$B$226,'(2019-20)'!$A24,raw!$C$2:$C$226,'(2019-20)'!$B$6,raw!$D$2:$D$226,'(2019-20)'!B$7)</f>
        <v>53</v>
      </c>
      <c r="C24">
        <f>SUMIFS(raw!$E$2:$E$226,raw!$B$2:$B$226,'(2019-20)'!$A24,raw!$C$2:$C$226,'(2019-20)'!$B$6,raw!$D$2:$D$226,'(2019-20)'!C$7)</f>
        <v>42</v>
      </c>
      <c r="E24">
        <f>SUMIFS(raw!$E$2:$E$226,raw!$B$2:$B$226,'(2019-20)'!$A24,raw!$C$2:$C$226,'(2019-20)'!$E$6,raw!$D$2:$D$226,'(2019-20)'!E$7)</f>
        <v>4</v>
      </c>
      <c r="F24">
        <f>SUMIFS(raw!$E$2:$E$226,raw!$B$2:$B$226,'(2019-20)'!$A24,raw!$C$2:$C$226,'(2019-20)'!$E$6,raw!$D$2:$D$226,'(2019-20)'!F$7)</f>
        <v>38</v>
      </c>
      <c r="H24">
        <f>SUMIFS(raw!$E$2:$E$226,raw!$B$2:$B$226,'(2019-20)'!$A24,raw!$C$2:$C$226,'(2019-20)'!$H$6,raw!$D$2:$D$226,'(2019-20)'!H$7)</f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f>SUMIFS(raw!$E$2:$E$226,raw!$B$2:$B$226,'(2019-20)'!$A25,raw!$C$2:$C$226,'(2019-20)'!$B$6,raw!$D$2:$D$226,'(2019-20)'!B$7)</f>
        <v>35</v>
      </c>
      <c r="C25">
        <f>SUMIFS(raw!$E$2:$E$226,raw!$B$2:$B$226,'(2019-20)'!$A25,raw!$C$2:$C$226,'(2019-20)'!$B$6,raw!$D$2:$D$226,'(2019-20)'!C$7)</f>
        <v>48</v>
      </c>
      <c r="E25">
        <f>SUMIFS(raw!$E$2:$E$226,raw!$B$2:$B$226,'(2019-20)'!$A25,raw!$C$2:$C$226,'(2019-20)'!$E$6,raw!$D$2:$D$226,'(2019-20)'!E$7)</f>
        <v>4</v>
      </c>
      <c r="F25">
        <f>SUMIFS(raw!$E$2:$E$226,raw!$B$2:$B$226,'(2019-20)'!$A25,raw!$C$2:$C$226,'(2019-20)'!$E$6,raw!$D$2:$D$226,'(2019-20)'!F$7)</f>
        <v>58</v>
      </c>
      <c r="H25">
        <f>SUMIFS(raw!$E$2:$E$226,raw!$B$2:$B$226,'(2019-20)'!$A25,raw!$C$2:$C$226,'(2019-20)'!$H$6,raw!$D$2:$D$226,'(2019-20)'!H$7)</f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f>SUMIFS(raw!$E$2:$E$226,raw!$B$2:$B$226,'(2019-20)'!$A26,raw!$C$2:$C$226,'(2019-20)'!$B$6,raw!$D$2:$D$226,'(2019-20)'!B$7)</f>
        <v>2</v>
      </c>
      <c r="C26">
        <f>SUMIFS(raw!$E$2:$E$226,raw!$B$2:$B$226,'(2019-20)'!$A26,raw!$C$2:$C$226,'(2019-20)'!$B$6,raw!$D$2:$D$226,'(2019-20)'!C$7)</f>
        <v>11</v>
      </c>
      <c r="E26">
        <f>SUMIFS(raw!$E$2:$E$226,raw!$B$2:$B$226,'(2019-20)'!$A26,raw!$C$2:$C$226,'(2019-20)'!$E$6,raw!$D$2:$D$226,'(2019-20)'!E$7)</f>
        <v>2</v>
      </c>
      <c r="F26">
        <f>SUMIFS(raw!$E$2:$E$226,raw!$B$2:$B$226,'(2019-20)'!$A26,raw!$C$2:$C$226,'(2019-20)'!$E$6,raw!$D$2:$D$226,'(2019-20)'!F$7)</f>
        <v>10</v>
      </c>
      <c r="H26">
        <f>SUMIFS(raw!$E$2:$E$226,raw!$B$2:$B$226,'(2019-20)'!$A26,raw!$C$2:$C$226,'(2019-20)'!$H$6,raw!$D$2:$D$226,'(2019-20)'!H$7)</f>
        <v>2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f>SUMIFS(raw!$E$2:$E$226,raw!$B$2:$B$226,'(2019-20)'!$A27,raw!$C$2:$C$226,'(2019-20)'!$B$6,raw!$D$2:$D$226,'(2019-20)'!B$7)</f>
        <v>12</v>
      </c>
      <c r="C27">
        <f>SUMIFS(raw!$E$2:$E$226,raw!$B$2:$B$226,'(2019-20)'!$A27,raw!$C$2:$C$226,'(2019-20)'!$B$6,raw!$D$2:$D$226,'(2019-20)'!C$7)</f>
        <v>39</v>
      </c>
      <c r="E27">
        <f>SUMIFS(raw!$E$2:$E$226,raw!$B$2:$B$226,'(2019-20)'!$A27,raw!$C$2:$C$226,'(2019-20)'!$E$6,raw!$D$2:$D$226,'(2019-20)'!E$7)</f>
        <v>1</v>
      </c>
      <c r="F27">
        <f>SUMIFS(raw!$E$2:$E$226,raw!$B$2:$B$226,'(2019-20)'!$A27,raw!$C$2:$C$226,'(2019-20)'!$E$6,raw!$D$2:$D$226,'(2019-20)'!F$7)</f>
        <v>16</v>
      </c>
      <c r="H27">
        <f>SUMIFS(raw!$E$2:$E$226,raw!$B$2:$B$226,'(2019-20)'!$A27,raw!$C$2:$C$226,'(2019-20)'!$H$6,raw!$D$2:$D$226,'(2019-20)'!H$7)</f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f>SUMIFS(raw!$E$2:$E$226,raw!$B$2:$B$226,'(2019-20)'!$A28,raw!$C$2:$C$226,'(2019-20)'!$B$6,raw!$D$2:$D$226,'(2019-20)'!B$7)</f>
        <v>49</v>
      </c>
      <c r="C28">
        <f>SUMIFS(raw!$E$2:$E$226,raw!$B$2:$B$226,'(2019-20)'!$A28,raw!$C$2:$C$226,'(2019-20)'!$B$6,raw!$D$2:$D$226,'(2019-20)'!C$7)</f>
        <v>46</v>
      </c>
      <c r="E28">
        <f>SUMIFS(raw!$E$2:$E$226,raw!$B$2:$B$226,'(2019-20)'!$A28,raw!$C$2:$C$226,'(2019-20)'!$E$6,raw!$D$2:$D$226,'(2019-20)'!E$7)</f>
        <v>0</v>
      </c>
      <c r="F28">
        <f>SUMIFS(raw!$E$2:$E$226,raw!$B$2:$B$226,'(2019-20)'!$A28,raw!$C$2:$C$226,'(2019-20)'!$E$6,raw!$D$2:$D$226,'(2019-20)'!F$7)</f>
        <v>28</v>
      </c>
      <c r="H28">
        <f>SUMIFS(raw!$E$2:$E$226,raw!$B$2:$B$226,'(2019-20)'!$A28,raw!$C$2:$C$226,'(2019-20)'!$H$6,raw!$D$2:$D$226,'(2019-20)'!H$7)</f>
        <v>3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f>SUMIFS(raw!$E$2:$E$226,raw!$B$2:$B$226,'(2019-20)'!$A29,raw!$C$2:$C$226,'(2019-20)'!$B$6,raw!$D$2:$D$226,'(2019-20)'!B$7)</f>
        <v>6</v>
      </c>
      <c r="C29">
        <f>SUMIFS(raw!$E$2:$E$226,raw!$B$2:$B$226,'(2019-20)'!$A29,raw!$C$2:$C$226,'(2019-20)'!$B$6,raw!$D$2:$D$226,'(2019-20)'!C$7)</f>
        <v>14</v>
      </c>
      <c r="E29">
        <f>SUMIFS(raw!$E$2:$E$226,raw!$B$2:$B$226,'(2019-20)'!$A29,raw!$C$2:$C$226,'(2019-20)'!$E$6,raw!$D$2:$D$226,'(2019-20)'!E$7)</f>
        <v>0</v>
      </c>
      <c r="F29">
        <f>SUMIFS(raw!$E$2:$E$226,raw!$B$2:$B$226,'(2019-20)'!$A29,raw!$C$2:$C$226,'(2019-20)'!$E$6,raw!$D$2:$D$226,'(2019-20)'!F$7)</f>
        <v>2</v>
      </c>
      <c r="H29">
        <f>SUMIFS(raw!$E$2:$E$226,raw!$B$2:$B$226,'(2019-20)'!$A29,raw!$C$2:$C$226,'(2019-20)'!$H$6,raw!$D$2:$D$226,'(2019-20)'!H$7)</f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f>SUMIFS(raw!$E$2:$E$226,raw!$B$2:$B$226,'(2019-20)'!$A30,raw!$C$2:$C$226,'(2019-20)'!$B$6,raw!$D$2:$D$226,'(2019-20)'!B$7)</f>
        <v>226</v>
      </c>
      <c r="C30">
        <f>SUMIFS(raw!$E$2:$E$226,raw!$B$2:$B$226,'(2019-20)'!$A30,raw!$C$2:$C$226,'(2019-20)'!$B$6,raw!$D$2:$D$226,'(2019-20)'!C$7)</f>
        <v>164</v>
      </c>
      <c r="E30">
        <f>SUMIFS(raw!$E$2:$E$226,raw!$B$2:$B$226,'(2019-20)'!$A30,raw!$C$2:$C$226,'(2019-20)'!$E$6,raw!$D$2:$D$226,'(2019-20)'!E$7)</f>
        <v>5</v>
      </c>
      <c r="F30">
        <f>SUMIFS(raw!$E$2:$E$226,raw!$B$2:$B$226,'(2019-20)'!$A30,raw!$C$2:$C$226,'(2019-20)'!$E$6,raw!$D$2:$D$226,'(2019-20)'!F$7)</f>
        <v>34</v>
      </c>
      <c r="H30">
        <f>SUMIFS(raw!$E$2:$E$226,raw!$B$2:$B$226,'(2019-20)'!$A30,raw!$C$2:$C$226,'(2019-20)'!$H$6,raw!$D$2:$D$226,'(2019-20)'!H$7)</f>
        <v>4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f>SUMIFS(raw!$E$2:$E$226,raw!$B$2:$B$226,'(2019-20)'!$A31,raw!$C$2:$C$226,'(2019-20)'!$B$6,raw!$D$2:$D$226,'(2019-20)'!B$7)</f>
        <v>32</v>
      </c>
      <c r="C31">
        <f>SUMIFS(raw!$E$2:$E$226,raw!$B$2:$B$226,'(2019-20)'!$A31,raw!$C$2:$C$226,'(2019-20)'!$B$6,raw!$D$2:$D$226,'(2019-20)'!C$7)</f>
        <v>44</v>
      </c>
      <c r="E31">
        <f>SUMIFS(raw!$E$2:$E$226,raw!$B$2:$B$226,'(2019-20)'!$A31,raw!$C$2:$C$226,'(2019-20)'!$E$6,raw!$D$2:$D$226,'(2019-20)'!E$7)</f>
        <v>2</v>
      </c>
      <c r="F31">
        <f>SUMIFS(raw!$E$2:$E$226,raw!$B$2:$B$226,'(2019-20)'!$A31,raw!$C$2:$C$226,'(2019-20)'!$E$6,raw!$D$2:$D$226,'(2019-20)'!F$7)</f>
        <v>6</v>
      </c>
      <c r="H31">
        <f>SUMIFS(raw!$E$2:$E$226,raw!$B$2:$B$226,'(2019-20)'!$A31,raw!$C$2:$C$226,'(2019-20)'!$H$6,raw!$D$2:$D$226,'(2019-20)'!H$7)</f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f>SUMIFS(raw!$E$2:$E$226,raw!$B$2:$B$226,'(2019-20)'!$A32,raw!$C$2:$C$226,'(2019-20)'!$B$6,raw!$D$2:$D$226,'(2019-20)'!B$7)</f>
        <v>31</v>
      </c>
      <c r="C32">
        <f>SUMIFS(raw!$E$2:$E$226,raw!$B$2:$B$226,'(2019-20)'!$A32,raw!$C$2:$C$226,'(2019-20)'!$B$6,raw!$D$2:$D$226,'(2019-20)'!C$7)</f>
        <v>26</v>
      </c>
      <c r="E32">
        <f>SUMIFS(raw!$E$2:$E$226,raw!$B$2:$B$226,'(2019-20)'!$A32,raw!$C$2:$C$226,'(2019-20)'!$E$6,raw!$D$2:$D$226,'(2019-20)'!E$7)</f>
        <v>3</v>
      </c>
      <c r="F32">
        <f>SUMIFS(raw!$E$2:$E$226,raw!$B$2:$B$226,'(2019-20)'!$A32,raw!$C$2:$C$226,'(2019-20)'!$E$6,raw!$D$2:$D$226,'(2019-20)'!F$7)</f>
        <v>24</v>
      </c>
      <c r="H32">
        <f>SUMIFS(raw!$E$2:$E$226,raw!$B$2:$B$226,'(2019-20)'!$A32,raw!$C$2:$C$226,'(2019-20)'!$H$6,raw!$D$2:$D$226,'(2019-20)'!H$7)</f>
        <v>2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f>SUMIFS(raw!$E$2:$E$226,raw!$B$2:$B$226,'(2019-20)'!$A33,raw!$C$2:$C$226,'(2019-20)'!$B$6,raw!$D$2:$D$226,'(2019-20)'!B$7)</f>
        <v>13</v>
      </c>
      <c r="C33">
        <f>SUMIFS(raw!$E$2:$E$226,raw!$B$2:$B$226,'(2019-20)'!$A33,raw!$C$2:$C$226,'(2019-20)'!$B$6,raw!$D$2:$D$226,'(2019-20)'!C$7)</f>
        <v>31</v>
      </c>
      <c r="E33">
        <f>SUMIFS(raw!$E$2:$E$226,raw!$B$2:$B$226,'(2019-20)'!$A33,raw!$C$2:$C$226,'(2019-20)'!$E$6,raw!$D$2:$D$226,'(2019-20)'!E$7)</f>
        <v>1</v>
      </c>
      <c r="F33">
        <f>SUMIFS(raw!$E$2:$E$226,raw!$B$2:$B$226,'(2019-20)'!$A33,raw!$C$2:$C$226,'(2019-20)'!$E$6,raw!$D$2:$D$226,'(2019-20)'!F$7)</f>
        <v>20</v>
      </c>
      <c r="H33">
        <f>SUMIFS(raw!$E$2:$E$226,raw!$B$2:$B$226,'(2019-20)'!$A33,raw!$C$2:$C$226,'(2019-20)'!$H$6,raw!$D$2:$D$226,'(2019-20)'!H$7)</f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f>SUMIFS(raw!$E$2:$E$226,raw!$B$2:$B$226,'(2019-20)'!$A34,raw!$C$2:$C$226,'(2019-20)'!$B$6,raw!$D$2:$D$226,'(2019-20)'!B$7)</f>
        <v>24</v>
      </c>
      <c r="C34">
        <f>SUMIFS(raw!$E$2:$E$226,raw!$B$2:$B$226,'(2019-20)'!$A34,raw!$C$2:$C$226,'(2019-20)'!$B$6,raw!$D$2:$D$226,'(2019-20)'!C$7)</f>
        <v>16</v>
      </c>
      <c r="E34">
        <f>SUMIFS(raw!$E$2:$E$226,raw!$B$2:$B$226,'(2019-20)'!$A34,raw!$C$2:$C$226,'(2019-20)'!$E$6,raw!$D$2:$D$226,'(2019-20)'!E$7)</f>
        <v>7</v>
      </c>
      <c r="F34">
        <f>SUMIFS(raw!$E$2:$E$226,raw!$B$2:$B$226,'(2019-20)'!$A34,raw!$C$2:$C$226,'(2019-20)'!$E$6,raw!$D$2:$D$226,'(2019-20)'!F$7)</f>
        <v>17</v>
      </c>
      <c r="H34">
        <f>SUMIFS(raw!$E$2:$E$226,raw!$B$2:$B$226,'(2019-20)'!$A34,raw!$C$2:$C$226,'(2019-20)'!$H$6,raw!$D$2:$D$226,'(2019-20)'!H$7)</f>
        <v>1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f>SUMIFS(raw!$E$2:$E$226,raw!$B$2:$B$226,'(2019-20)'!$A35,raw!$C$2:$C$226,'(2019-20)'!$B$6,raw!$D$2:$D$226,'(2019-20)'!B$7)</f>
        <v>8</v>
      </c>
      <c r="C35">
        <f>SUMIFS(raw!$E$2:$E$226,raw!$B$2:$B$226,'(2019-20)'!$A35,raw!$C$2:$C$226,'(2019-20)'!$B$6,raw!$D$2:$D$226,'(2019-20)'!C$7)</f>
        <v>10</v>
      </c>
      <c r="E35">
        <f>SUMIFS(raw!$E$2:$E$226,raw!$B$2:$B$226,'(2019-20)'!$A35,raw!$C$2:$C$226,'(2019-20)'!$E$6,raw!$D$2:$D$226,'(2019-20)'!E$7)</f>
        <v>1</v>
      </c>
      <c r="F35">
        <f>SUMIFS(raw!$E$2:$E$226,raw!$B$2:$B$226,'(2019-20)'!$A35,raw!$C$2:$C$226,'(2019-20)'!$E$6,raw!$D$2:$D$226,'(2019-20)'!F$7)</f>
        <v>6</v>
      </c>
      <c r="H35">
        <f>SUMIFS(raw!$E$2:$E$226,raw!$B$2:$B$226,'(2019-20)'!$A35,raw!$C$2:$C$226,'(2019-20)'!$H$6,raw!$D$2:$D$226,'(2019-20)'!H$7)</f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f>SUMIFS(raw!$E$2:$E$226,raw!$B$2:$B$226,'(2019-20)'!$A36,raw!$C$2:$C$226,'(2019-20)'!$B$6,raw!$D$2:$D$226,'(2019-20)'!B$7)</f>
        <v>5</v>
      </c>
      <c r="C36">
        <f>SUMIFS(raw!$E$2:$E$226,raw!$B$2:$B$226,'(2019-20)'!$A36,raw!$C$2:$C$226,'(2019-20)'!$B$6,raw!$D$2:$D$226,'(2019-20)'!C$7)</f>
        <v>2</v>
      </c>
      <c r="E36">
        <f>SUMIFS(raw!$E$2:$E$226,raw!$B$2:$B$226,'(2019-20)'!$A36,raw!$C$2:$C$226,'(2019-20)'!$E$6,raw!$D$2:$D$226,'(2019-20)'!E$7)</f>
        <v>0</v>
      </c>
      <c r="F36">
        <f>SUMIFS(raw!$E$2:$E$226,raw!$B$2:$B$226,'(2019-20)'!$A36,raw!$C$2:$C$226,'(2019-20)'!$E$6,raw!$D$2:$D$226,'(2019-20)'!F$7)</f>
        <v>4</v>
      </c>
      <c r="H36">
        <f>SUMIFS(raw!$E$2:$E$226,raw!$B$2:$B$226,'(2019-20)'!$A36,raw!$C$2:$C$226,'(2019-20)'!$H$6,raw!$D$2:$D$226,'(2019-20)'!H$7)</f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f>SUMIFS(raw!$E$2:$E$226,raw!$B$2:$B$226,'(2019-20)'!$A37,raw!$C$2:$C$226,'(2019-20)'!$B$6,raw!$D$2:$D$226,'(2019-20)'!B$7)</f>
        <v>0</v>
      </c>
      <c r="C37">
        <f>SUMIFS(raw!$E$2:$E$226,raw!$B$2:$B$226,'(2019-20)'!$A37,raw!$C$2:$C$226,'(2019-20)'!$B$6,raw!$D$2:$D$226,'(2019-20)'!C$7)</f>
        <v>0</v>
      </c>
      <c r="E37">
        <f>SUMIFS(raw!$E$2:$E$226,raw!$B$2:$B$226,'(2019-20)'!$A37,raw!$C$2:$C$226,'(2019-20)'!$E$6,raw!$D$2:$D$226,'(2019-20)'!E$7)</f>
        <v>0</v>
      </c>
      <c r="F37">
        <f>SUMIFS(raw!$E$2:$E$226,raw!$B$2:$B$226,'(2019-20)'!$A37,raw!$C$2:$C$226,'(2019-20)'!$E$6,raw!$D$2:$D$226,'(2019-20)'!F$7)</f>
        <v>0</v>
      </c>
      <c r="H37">
        <f>SUMIFS(raw!$E$2:$E$226,raw!$B$2:$B$226,'(2019-20)'!$A37,raw!$C$2:$C$226,'(2019-20)'!$H$6,raw!$D$2:$D$226,'(2019-20)'!H$7)</f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f>SUMIFS(raw!$E$2:$E$226,raw!$B$2:$B$226,'(2019-20)'!$A38,raw!$C$2:$C$226,'(2019-20)'!$B$6,raw!$D$2:$D$226,'(2019-20)'!B$7)</f>
        <v>24</v>
      </c>
      <c r="C38">
        <f>SUMIFS(raw!$E$2:$E$226,raw!$B$2:$B$226,'(2019-20)'!$A38,raw!$C$2:$C$226,'(2019-20)'!$B$6,raw!$D$2:$D$226,'(2019-20)'!C$7)</f>
        <v>37</v>
      </c>
      <c r="E38">
        <f>SUMIFS(raw!$E$2:$E$226,raw!$B$2:$B$226,'(2019-20)'!$A38,raw!$C$2:$C$226,'(2019-20)'!$E$6,raw!$D$2:$D$226,'(2019-20)'!E$7)</f>
        <v>4</v>
      </c>
      <c r="F38">
        <f>SUMIFS(raw!$E$2:$E$226,raw!$B$2:$B$226,'(2019-20)'!$A38,raw!$C$2:$C$226,'(2019-20)'!$E$6,raw!$D$2:$D$226,'(2019-20)'!F$7)</f>
        <v>50</v>
      </c>
      <c r="H38">
        <f>SUMIFS(raw!$E$2:$E$226,raw!$B$2:$B$226,'(2019-20)'!$A38,raw!$C$2:$C$226,'(2019-20)'!$H$6,raw!$D$2:$D$226,'(2019-20)'!H$7)</f>
        <v>1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f>SUMIFS(raw!$E$2:$E$226,raw!$B$2:$B$226,'(2019-20)'!$A39,raw!$C$2:$C$226,'(2019-20)'!$B$6,raw!$D$2:$D$226,'(2019-20)'!B$7)</f>
        <v>30</v>
      </c>
      <c r="C39">
        <f>SUMIFS(raw!$E$2:$E$226,raw!$B$2:$B$226,'(2019-20)'!$A39,raw!$C$2:$C$226,'(2019-20)'!$B$6,raw!$D$2:$D$226,'(2019-20)'!C$7)</f>
        <v>18</v>
      </c>
      <c r="E39">
        <f>SUMIFS(raw!$E$2:$E$226,raw!$B$2:$B$226,'(2019-20)'!$A39,raw!$C$2:$C$226,'(2019-20)'!$E$6,raw!$D$2:$D$226,'(2019-20)'!E$7)</f>
        <v>0</v>
      </c>
      <c r="F39">
        <f>SUMIFS(raw!$E$2:$E$226,raw!$B$2:$B$226,'(2019-20)'!$A39,raw!$C$2:$C$226,'(2019-20)'!$E$6,raw!$D$2:$D$226,'(2019-20)'!F$7)</f>
        <v>17</v>
      </c>
      <c r="H39">
        <f>SUMIFS(raw!$E$2:$E$226,raw!$B$2:$B$226,'(2019-20)'!$A39,raw!$C$2:$C$226,'(2019-20)'!$H$6,raw!$D$2:$D$226,'(2019-20)'!H$7)</f>
        <v>4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f>SUMIFS(raw!$E$2:$E$226,raw!$B$2:$B$226,'(2019-20)'!$A40,raw!$C$2:$C$226,'(2019-20)'!$B$6,raw!$D$2:$D$226,'(2019-20)'!B$7)</f>
        <v>22</v>
      </c>
      <c r="C40">
        <f>SUMIFS(raw!$E$2:$E$226,raw!$B$2:$B$226,'(2019-20)'!$A40,raw!$C$2:$C$226,'(2019-20)'!$B$6,raw!$D$2:$D$226,'(2019-20)'!C$7)</f>
        <v>18</v>
      </c>
      <c r="E40">
        <f>SUMIFS(raw!$E$2:$E$226,raw!$B$2:$B$226,'(2019-20)'!$A40,raw!$C$2:$C$226,'(2019-20)'!$E$6,raw!$D$2:$D$226,'(2019-20)'!E$7)</f>
        <v>0</v>
      </c>
      <c r="F40">
        <f>SUMIFS(raw!$E$2:$E$226,raw!$B$2:$B$226,'(2019-20)'!$A40,raw!$C$2:$C$226,'(2019-20)'!$E$6,raw!$D$2:$D$226,'(2019-20)'!F$7)</f>
        <v>14</v>
      </c>
      <c r="H40">
        <f>SUMIFS(raw!$E$2:$E$226,raw!$B$2:$B$226,'(2019-20)'!$A40,raw!$C$2:$C$226,'(2019-20)'!$H$6,raw!$D$2:$D$226,'(2019-20)'!H$7)</f>
        <v>0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f>SUMIFS(raw!$E$2:$E$226,raw!$B$2:$B$226,'(2019-20)'!$A41,raw!$C$2:$C$226,'(2019-20)'!$B$6,raw!$D$2:$D$226,'(2019-20)'!B$7)</f>
        <v>12</v>
      </c>
      <c r="C41">
        <f>SUMIFS(raw!$E$2:$E$226,raw!$B$2:$B$226,'(2019-20)'!$A41,raw!$C$2:$C$226,'(2019-20)'!$B$6,raw!$D$2:$D$226,'(2019-20)'!C$7)</f>
        <v>14</v>
      </c>
      <c r="E41">
        <f>SUMIFS(raw!$E$2:$E$226,raw!$B$2:$B$226,'(2019-20)'!$A41,raw!$C$2:$C$226,'(2019-20)'!$E$6,raw!$D$2:$D$226,'(2019-20)'!E$7)</f>
        <v>5</v>
      </c>
      <c r="F41">
        <f>SUMIFS(raw!$E$2:$E$226,raw!$B$2:$B$226,'(2019-20)'!$A41,raw!$C$2:$C$226,'(2019-20)'!$E$6,raw!$D$2:$D$226,'(2019-20)'!F$7)</f>
        <v>13</v>
      </c>
      <c r="H41">
        <f>SUMIFS(raw!$E$2:$E$226,raw!$B$2:$B$226,'(2019-20)'!$A41,raw!$C$2:$C$226,'(2019-20)'!$H$6,raw!$D$2:$D$226,'(2019-20)'!H$7)</f>
        <v>0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f>SUMIFS(raw!$E$2:$E$226,raw!$B$2:$B$226,'(2019-20)'!$A42,raw!$C$2:$C$226,'(2019-20)'!$B$6,raw!$D$2:$D$226,'(2019-20)'!B$7)</f>
        <v>12</v>
      </c>
      <c r="C42">
        <f>SUMIFS(raw!$E$2:$E$226,raw!$B$2:$B$226,'(2019-20)'!$A42,raw!$C$2:$C$226,'(2019-20)'!$B$6,raw!$D$2:$D$226,'(2019-20)'!C$7)</f>
        <v>44</v>
      </c>
      <c r="E42">
        <f>SUMIFS(raw!$E$2:$E$226,raw!$B$2:$B$226,'(2019-20)'!$A42,raw!$C$2:$C$226,'(2019-20)'!$E$6,raw!$D$2:$D$226,'(2019-20)'!E$7)</f>
        <v>0</v>
      </c>
      <c r="F42">
        <f>SUMIFS(raw!$E$2:$E$226,raw!$B$2:$B$226,'(2019-20)'!$A42,raw!$C$2:$C$226,'(2019-20)'!$E$6,raw!$D$2:$D$226,'(2019-20)'!F$7)</f>
        <v>25</v>
      </c>
      <c r="H42">
        <f>SUMIFS(raw!$E$2:$E$226,raw!$B$2:$B$226,'(2019-20)'!$A42,raw!$C$2:$C$226,'(2019-20)'!$H$6,raw!$D$2:$D$226,'(2019-20)'!H$7)</f>
        <v>0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f>SUMIFS(raw!$E$2:$E$226,raw!$B$2:$B$226,'(2019-20)'!$A43,raw!$C$2:$C$226,'(2019-20)'!$B$6,raw!$D$2:$D$226,'(2019-20)'!B$7)</f>
        <v>24</v>
      </c>
      <c r="C43">
        <f>SUMIFS(raw!$E$2:$E$226,raw!$B$2:$B$226,'(2019-20)'!$A43,raw!$C$2:$C$226,'(2019-20)'!$B$6,raw!$D$2:$D$226,'(2019-20)'!C$7)</f>
        <v>11</v>
      </c>
      <c r="E43">
        <f>SUMIFS(raw!$E$2:$E$226,raw!$B$2:$B$226,'(2019-20)'!$A43,raw!$C$2:$C$226,'(2019-20)'!$E$6,raw!$D$2:$D$226,'(2019-20)'!E$7)</f>
        <v>7</v>
      </c>
      <c r="F43">
        <f>SUMIFS(raw!$E$2:$E$226,raw!$B$2:$B$226,'(2019-20)'!$A43,raw!$C$2:$C$226,'(2019-20)'!$E$6,raw!$D$2:$D$226,'(2019-20)'!F$7)</f>
        <v>19</v>
      </c>
      <c r="H43">
        <f>SUMIFS(raw!$E$2:$E$226,raw!$B$2:$B$226,'(2019-20)'!$A43,raw!$C$2:$C$226,'(2019-20)'!$H$6,raw!$D$2:$D$226,'(2019-20)'!H$7)</f>
        <v>4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f>SUMIFS(raw!$E$2:$E$226,raw!$B$2:$B$226,'(2019-20)'!$A44,raw!$C$2:$C$226,'(2019-20)'!$B$6,raw!$D$2:$D$226,'(2019-20)'!B$7)</f>
        <v>16</v>
      </c>
      <c r="C44">
        <f>SUMIFS(raw!$E$2:$E$226,raw!$B$2:$B$226,'(2019-20)'!$A44,raw!$C$2:$C$226,'(2019-20)'!$B$6,raw!$D$2:$D$226,'(2019-20)'!C$7)</f>
        <v>17</v>
      </c>
      <c r="E44">
        <f>SUMIFS(raw!$E$2:$E$226,raw!$B$2:$B$226,'(2019-20)'!$A44,raw!$C$2:$C$226,'(2019-20)'!$E$6,raw!$D$2:$D$226,'(2019-20)'!E$7)</f>
        <v>2</v>
      </c>
      <c r="F44">
        <f>SUMIFS(raw!$E$2:$E$226,raw!$B$2:$B$226,'(2019-20)'!$A44,raw!$C$2:$C$226,'(2019-20)'!$E$6,raw!$D$2:$D$226,'(2019-20)'!F$7)</f>
        <v>15</v>
      </c>
      <c r="H44">
        <f>SUMIFS(raw!$E$2:$E$226,raw!$B$2:$B$226,'(2019-20)'!$A44,raw!$C$2:$C$226,'(2019-20)'!$H$6,raw!$D$2:$D$226,'(2019-20)'!H$7)</f>
        <v>2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f>SUMIFS(raw!$E$2:$E$226,raw!$B$2:$B$226,'(2019-20)'!$A45,raw!$C$2:$C$226,'(2019-20)'!$B$6,raw!$D$2:$D$226,'(2019-20)'!B$7)</f>
        <v>12</v>
      </c>
      <c r="C45">
        <f>SUMIFS(raw!$E$2:$E$226,raw!$B$2:$B$226,'(2019-20)'!$A45,raw!$C$2:$C$226,'(2019-20)'!$B$6,raw!$D$2:$D$226,'(2019-20)'!C$7)</f>
        <v>29</v>
      </c>
      <c r="E45">
        <f>SUMIFS(raw!$E$2:$E$226,raw!$B$2:$B$226,'(2019-20)'!$A45,raw!$C$2:$C$226,'(2019-20)'!$E$6,raw!$D$2:$D$226,'(2019-20)'!E$7)</f>
        <v>3</v>
      </c>
      <c r="F45">
        <f>SUMIFS(raw!$E$2:$E$226,raw!$B$2:$B$226,'(2019-20)'!$A45,raw!$C$2:$C$226,'(2019-20)'!$E$6,raw!$D$2:$D$226,'(2019-20)'!F$7)</f>
        <v>17</v>
      </c>
      <c r="H45">
        <f>SUMIFS(raw!$E$2:$E$226,raw!$B$2:$B$226,'(2019-20)'!$A45,raw!$C$2:$C$226,'(2019-20)'!$H$6,raw!$D$2:$D$226,'(2019-20)'!H$7)</f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f>SUMIFS(raw!$E$2:$E$226,raw!$B$2:$B$226,'(2019-20)'!$A46,raw!$C$2:$C$226,'(2019-20)'!$B$6,raw!$D$2:$D$226,'(2019-20)'!B$7)</f>
        <v>4</v>
      </c>
      <c r="C46">
        <f>SUMIFS(raw!$E$2:$E$226,raw!$B$2:$B$226,'(2019-20)'!$A46,raw!$C$2:$C$226,'(2019-20)'!$B$6,raw!$D$2:$D$226,'(2019-20)'!C$7)</f>
        <v>9</v>
      </c>
      <c r="E46">
        <f>SUMIFS(raw!$E$2:$E$226,raw!$B$2:$B$226,'(2019-20)'!$A46,raw!$C$2:$C$226,'(2019-20)'!$E$6,raw!$D$2:$D$226,'(2019-20)'!E$7)</f>
        <v>1</v>
      </c>
      <c r="F46">
        <f>SUMIFS(raw!$E$2:$E$226,raw!$B$2:$B$226,'(2019-20)'!$A46,raw!$C$2:$C$226,'(2019-20)'!$E$6,raw!$D$2:$D$226,'(2019-20)'!F$7)</f>
        <v>7</v>
      </c>
      <c r="H46">
        <f>SUMIFS(raw!$E$2:$E$226,raw!$B$2:$B$226,'(2019-20)'!$A46,raw!$C$2:$C$226,'(2019-20)'!$H$6,raw!$D$2:$D$226,'(2019-20)'!H$7)</f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f>SUMIFS(raw!$E$2:$E$226,raw!$B$2:$B$226,'(2019-20)'!$A47,raw!$C$2:$C$226,'(2019-20)'!$B$6,raw!$D$2:$D$226,'(2019-20)'!B$7)</f>
        <v>23</v>
      </c>
      <c r="C47">
        <f>SUMIFS(raw!$E$2:$E$226,raw!$B$2:$B$226,'(2019-20)'!$A47,raw!$C$2:$C$226,'(2019-20)'!$B$6,raw!$D$2:$D$226,'(2019-20)'!C$7)</f>
        <v>21</v>
      </c>
      <c r="E47">
        <f>SUMIFS(raw!$E$2:$E$226,raw!$B$2:$B$226,'(2019-20)'!$A47,raw!$C$2:$C$226,'(2019-20)'!$E$6,raw!$D$2:$D$226,'(2019-20)'!E$7)</f>
        <v>1</v>
      </c>
      <c r="F47">
        <f>SUMIFS(raw!$E$2:$E$226,raw!$B$2:$B$226,'(2019-20)'!$A47,raw!$C$2:$C$226,'(2019-20)'!$E$6,raw!$D$2:$D$226,'(2019-20)'!F$7)</f>
        <v>11</v>
      </c>
      <c r="H47">
        <f>SUMIFS(raw!$E$2:$E$226,raw!$B$2:$B$226,'(2019-20)'!$A47,raw!$C$2:$C$226,'(2019-20)'!$H$6,raw!$D$2:$D$226,'(2019-20)'!H$7)</f>
        <v>1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f>SUMIFS(raw!$E$2:$E$226,raw!$B$2:$B$226,'(2019-20)'!$A48,raw!$C$2:$C$226,'(2019-20)'!$B$6,raw!$D$2:$D$226,'(2019-20)'!B$7)</f>
        <v>12</v>
      </c>
      <c r="C48">
        <f>SUMIFS(raw!$E$2:$E$226,raw!$B$2:$B$226,'(2019-20)'!$A48,raw!$C$2:$C$226,'(2019-20)'!$B$6,raw!$D$2:$D$226,'(2019-20)'!C$7)</f>
        <v>17</v>
      </c>
      <c r="E48">
        <f>SUMIFS(raw!$E$2:$E$226,raw!$B$2:$B$226,'(2019-20)'!$A48,raw!$C$2:$C$226,'(2019-20)'!$E$6,raw!$D$2:$D$226,'(2019-20)'!E$7)</f>
        <v>2</v>
      </c>
      <c r="F48">
        <f>SUMIFS(raw!$E$2:$E$226,raw!$B$2:$B$226,'(2019-20)'!$A48,raw!$C$2:$C$226,'(2019-20)'!$E$6,raw!$D$2:$D$226,'(2019-20)'!F$7)</f>
        <v>12</v>
      </c>
      <c r="H48">
        <f>SUMIFS(raw!$E$2:$E$226,raw!$B$2:$B$226,'(2019-20)'!$A48,raw!$C$2:$C$226,'(2019-20)'!$H$6,raw!$D$2:$D$226,'(2019-20)'!H$7)</f>
        <v>1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f>SUMIFS(raw!$E$2:$E$226,raw!$B$2:$B$226,'(2019-20)'!$A49,raw!$C$2:$C$226,'(2019-20)'!$B$6,raw!$D$2:$D$226,'(2019-20)'!B$7)</f>
        <v>31</v>
      </c>
      <c r="C49">
        <f>SUMIFS(raw!$E$2:$E$226,raw!$B$2:$B$226,'(2019-20)'!$A49,raw!$C$2:$C$226,'(2019-20)'!$B$6,raw!$D$2:$D$226,'(2019-20)'!C$7)</f>
        <v>9</v>
      </c>
      <c r="E49">
        <f>SUMIFS(raw!$E$2:$E$226,raw!$B$2:$B$226,'(2019-20)'!$A49,raw!$C$2:$C$226,'(2019-20)'!$E$6,raw!$D$2:$D$226,'(2019-20)'!E$7)</f>
        <v>1</v>
      </c>
      <c r="F49">
        <f>SUMIFS(raw!$E$2:$E$226,raw!$B$2:$B$226,'(2019-20)'!$A49,raw!$C$2:$C$226,'(2019-20)'!$E$6,raw!$D$2:$D$226,'(2019-20)'!F$7)</f>
        <v>7</v>
      </c>
      <c r="H49">
        <f>SUMIFS(raw!$E$2:$E$226,raw!$B$2:$B$226,'(2019-20)'!$A49,raw!$C$2:$C$226,'(2019-20)'!$H$6,raw!$D$2:$D$226,'(2019-20)'!H$7)</f>
        <v>4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f>SUMIFS(raw!$E$2:$E$226,raw!$B$2:$B$226,'(2019-20)'!$A50,raw!$C$2:$C$226,'(2019-20)'!$B$6,raw!$D$2:$D$226,'(2019-20)'!B$7)</f>
        <v>13</v>
      </c>
      <c r="C50">
        <f>SUMIFS(raw!$E$2:$E$226,raw!$B$2:$B$226,'(2019-20)'!$A50,raw!$C$2:$C$226,'(2019-20)'!$B$6,raw!$D$2:$D$226,'(2019-20)'!C$7)</f>
        <v>18</v>
      </c>
      <c r="E50">
        <f>SUMIFS(raw!$E$2:$E$226,raw!$B$2:$B$226,'(2019-20)'!$A50,raw!$C$2:$C$226,'(2019-20)'!$E$6,raw!$D$2:$D$226,'(2019-20)'!E$7)</f>
        <v>0</v>
      </c>
      <c r="F50">
        <f>SUMIFS(raw!$E$2:$E$226,raw!$B$2:$B$226,'(2019-20)'!$A50,raw!$C$2:$C$226,'(2019-20)'!$E$6,raw!$D$2:$D$226,'(2019-20)'!F$7)</f>
        <v>17</v>
      </c>
      <c r="H50">
        <f>SUMIFS(raw!$E$2:$E$226,raw!$B$2:$B$226,'(2019-20)'!$A50,raw!$C$2:$C$226,'(2019-20)'!$H$6,raw!$D$2:$D$226,'(2019-20)'!H$7)</f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f>SUMIFS(raw!$E$2:$E$226,raw!$B$2:$B$226,'(2019-20)'!$A51,raw!$C$2:$C$226,'(2019-20)'!$B$6,raw!$D$2:$D$226,'(2019-20)'!B$7)</f>
        <v>27</v>
      </c>
      <c r="C51">
        <f>SUMIFS(raw!$E$2:$E$226,raw!$B$2:$B$226,'(2019-20)'!$A51,raw!$C$2:$C$226,'(2019-20)'!$B$6,raw!$D$2:$D$226,'(2019-20)'!C$7)</f>
        <v>10</v>
      </c>
      <c r="E51">
        <f>SUMIFS(raw!$E$2:$E$226,raw!$B$2:$B$226,'(2019-20)'!$A51,raw!$C$2:$C$226,'(2019-20)'!$E$6,raw!$D$2:$D$226,'(2019-20)'!E$7)</f>
        <v>1</v>
      </c>
      <c r="F51">
        <f>SUMIFS(raw!$E$2:$E$226,raw!$B$2:$B$226,'(2019-20)'!$A51,raw!$C$2:$C$226,'(2019-20)'!$E$6,raw!$D$2:$D$226,'(2019-20)'!F$7)</f>
        <v>14</v>
      </c>
      <c r="H51">
        <f>SUMIFS(raw!$E$2:$E$226,raw!$B$2:$B$226,'(2019-20)'!$A51,raw!$C$2:$C$226,'(2019-20)'!$H$6,raw!$D$2:$D$226,'(2019-20)'!H$7)</f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f>SUMIFS(raw!$E$2:$E$226,raw!$B$2:$B$226,'(2019-20)'!$A52,raw!$C$2:$C$226,'(2019-20)'!$B$6,raw!$D$2:$D$226,'(2019-20)'!B$7)</f>
        <v>7</v>
      </c>
      <c r="C52">
        <f>SUMIFS(raw!$E$2:$E$226,raw!$B$2:$B$226,'(2019-20)'!$A52,raw!$C$2:$C$226,'(2019-20)'!$B$6,raw!$D$2:$D$226,'(2019-20)'!C$7)</f>
        <v>7</v>
      </c>
      <c r="E52">
        <f>SUMIFS(raw!$E$2:$E$226,raw!$B$2:$B$226,'(2019-20)'!$A52,raw!$C$2:$C$226,'(2019-20)'!$E$6,raw!$D$2:$D$226,'(2019-20)'!E$7)</f>
        <v>0</v>
      </c>
      <c r="F52">
        <f>SUMIFS(raw!$E$2:$E$226,raw!$B$2:$B$226,'(2019-20)'!$A52,raw!$C$2:$C$226,'(2019-20)'!$E$6,raw!$D$2:$D$226,'(2019-20)'!F$7)</f>
        <v>8</v>
      </c>
      <c r="H52">
        <f>SUMIFS(raw!$E$2:$E$226,raw!$B$2:$B$226,'(2019-20)'!$A52,raw!$C$2:$C$226,'(2019-20)'!$H$6,raw!$D$2:$D$226,'(2019-20)'!H$7)</f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f>SUMIFS(raw!$E$2:$E$226,raw!$B$2:$B$226,'(2019-20)'!$A53,raw!$C$2:$C$226,'(2019-20)'!$B$6,raw!$D$2:$D$226,'(2019-20)'!B$7)</f>
        <v>19</v>
      </c>
      <c r="C53">
        <f>SUMIFS(raw!$E$2:$E$226,raw!$B$2:$B$226,'(2019-20)'!$A53,raw!$C$2:$C$226,'(2019-20)'!$B$6,raw!$D$2:$D$226,'(2019-20)'!C$7)</f>
        <v>20</v>
      </c>
      <c r="E53">
        <f>SUMIFS(raw!$E$2:$E$226,raw!$B$2:$B$226,'(2019-20)'!$A53,raw!$C$2:$C$226,'(2019-20)'!$E$6,raw!$D$2:$D$226,'(2019-20)'!E$7)</f>
        <v>1</v>
      </c>
      <c r="F53">
        <f>SUMIFS(raw!$E$2:$E$226,raw!$B$2:$B$226,'(2019-20)'!$A53,raw!$C$2:$C$226,'(2019-20)'!$E$6,raw!$D$2:$D$226,'(2019-20)'!F$7)</f>
        <v>8</v>
      </c>
      <c r="H53">
        <f>SUMIFS(raw!$E$2:$E$226,raw!$B$2:$B$226,'(2019-20)'!$A53,raw!$C$2:$C$226,'(2019-20)'!$H$6,raw!$D$2:$D$226,'(2019-20)'!H$7)</f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f>SUMIFS(raw!$E$2:$E$226,raw!$B$2:$B$226,'(2019-20)'!$A54,raw!$C$2:$C$226,'(2019-20)'!$B$6,raw!$D$2:$D$226,'(2019-20)'!B$7)</f>
        <v>17</v>
      </c>
      <c r="C54">
        <f>SUMIFS(raw!$E$2:$E$226,raw!$B$2:$B$226,'(2019-20)'!$A54,raw!$C$2:$C$226,'(2019-20)'!$B$6,raw!$D$2:$D$226,'(2019-20)'!C$7)</f>
        <v>33</v>
      </c>
      <c r="E54">
        <f>SUMIFS(raw!$E$2:$E$226,raw!$B$2:$B$226,'(2019-20)'!$A54,raw!$C$2:$C$226,'(2019-20)'!$E$6,raw!$D$2:$D$226,'(2019-20)'!E$7)</f>
        <v>0</v>
      </c>
      <c r="F54">
        <f>SUMIFS(raw!$E$2:$E$226,raw!$B$2:$B$226,'(2019-20)'!$A54,raw!$C$2:$C$226,'(2019-20)'!$E$6,raw!$D$2:$D$226,'(2019-20)'!F$7)</f>
        <v>21</v>
      </c>
      <c r="H54">
        <f>SUMIFS(raw!$E$2:$E$226,raw!$B$2:$B$226,'(2019-20)'!$A54,raw!$C$2:$C$226,'(2019-20)'!$H$6,raw!$D$2:$D$226,'(2019-20)'!H$7)</f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f>SUMIFS(raw!$E$2:$E$226,raw!$B$2:$B$226,'(2019-20)'!$A55,raw!$C$2:$C$226,'(2019-20)'!$B$6,raw!$D$2:$D$226,'(2019-20)'!B$7)</f>
        <v>6</v>
      </c>
      <c r="C55">
        <f>SUMIFS(raw!$E$2:$E$226,raw!$B$2:$B$226,'(2019-20)'!$A55,raw!$C$2:$C$226,'(2019-20)'!$B$6,raw!$D$2:$D$226,'(2019-20)'!C$7)</f>
        <v>10</v>
      </c>
      <c r="E55">
        <f>SUMIFS(raw!$E$2:$E$226,raw!$B$2:$B$226,'(2019-20)'!$A55,raw!$C$2:$C$226,'(2019-20)'!$E$6,raw!$D$2:$D$226,'(2019-20)'!E$7)</f>
        <v>2</v>
      </c>
      <c r="F55">
        <f>SUMIFS(raw!$E$2:$E$226,raw!$B$2:$B$226,'(2019-20)'!$A55,raw!$C$2:$C$226,'(2019-20)'!$E$6,raw!$D$2:$D$226,'(2019-20)'!F$7)</f>
        <v>10</v>
      </c>
      <c r="H55">
        <f>SUMIFS(raw!$E$2:$E$226,raw!$B$2:$B$226,'(2019-20)'!$A55,raw!$C$2:$C$226,'(2019-20)'!$H$6,raw!$D$2:$D$226,'(2019-20)'!H$7)</f>
        <v>4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f>SUMIFS(raw!$E$2:$E$226,raw!$B$2:$B$226,'(2019-20)'!$A56,raw!$C$2:$C$226,'(2019-20)'!$B$6,raw!$D$2:$D$226,'(2019-20)'!B$7)</f>
        <v>27</v>
      </c>
      <c r="C56">
        <f>SUMIFS(raw!$E$2:$E$226,raw!$B$2:$B$226,'(2019-20)'!$A56,raw!$C$2:$C$226,'(2019-20)'!$B$6,raw!$D$2:$D$226,'(2019-20)'!C$7)</f>
        <v>44</v>
      </c>
      <c r="E56">
        <f>SUMIFS(raw!$E$2:$E$226,raw!$B$2:$B$226,'(2019-20)'!$A56,raw!$C$2:$C$226,'(2019-20)'!$E$6,raw!$D$2:$D$226,'(2019-20)'!E$7)</f>
        <v>1</v>
      </c>
      <c r="F56">
        <f>SUMIFS(raw!$E$2:$E$226,raw!$B$2:$B$226,'(2019-20)'!$A56,raw!$C$2:$C$226,'(2019-20)'!$E$6,raw!$D$2:$D$226,'(2019-20)'!F$7)</f>
        <v>10</v>
      </c>
      <c r="H56">
        <f>SUMIFS(raw!$E$2:$E$226,raw!$B$2:$B$226,'(2019-20)'!$A56,raw!$C$2:$C$226,'(2019-20)'!$H$6,raw!$D$2:$D$226,'(2019-20)'!H$7)</f>
        <v>3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f>SUMIFS(raw!$E$2:$E$226,raw!$B$2:$B$226,'(2019-20)'!$A57,raw!$C$2:$C$226,'(2019-20)'!$B$6,raw!$D$2:$D$226,'(2019-20)'!B$7)</f>
        <v>2</v>
      </c>
      <c r="C57">
        <f>SUMIFS(raw!$E$2:$E$226,raw!$B$2:$B$226,'(2019-20)'!$A57,raw!$C$2:$C$226,'(2019-20)'!$B$6,raw!$D$2:$D$226,'(2019-20)'!C$7)</f>
        <v>17</v>
      </c>
      <c r="E57">
        <f>SUMIFS(raw!$E$2:$E$226,raw!$B$2:$B$226,'(2019-20)'!$A57,raw!$C$2:$C$226,'(2019-20)'!$E$6,raw!$D$2:$D$226,'(2019-20)'!E$7)</f>
        <v>0</v>
      </c>
      <c r="F57">
        <f>SUMIFS(raw!$E$2:$E$226,raw!$B$2:$B$226,'(2019-20)'!$A57,raw!$C$2:$C$226,'(2019-20)'!$E$6,raw!$D$2:$D$226,'(2019-20)'!F$7)</f>
        <v>18</v>
      </c>
      <c r="H57">
        <f>SUMIFS(raw!$E$2:$E$226,raw!$B$2:$B$226,'(2019-20)'!$A57,raw!$C$2:$C$226,'(2019-20)'!$H$6,raw!$D$2:$D$226,'(2019-20)'!H$7)</f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f>SUMIFS(raw!$E$2:$E$226,raw!$B$2:$B$226,'(2019-20)'!$A58,raw!$C$2:$C$226,'(2019-20)'!$B$6,raw!$D$2:$D$226,'(2019-20)'!B$7)</f>
        <v>33</v>
      </c>
      <c r="C58">
        <f>SUMIFS(raw!$E$2:$E$226,raw!$B$2:$B$226,'(2019-20)'!$A58,raw!$C$2:$C$226,'(2019-20)'!$B$6,raw!$D$2:$D$226,'(2019-20)'!C$7)</f>
        <v>44</v>
      </c>
      <c r="E58">
        <f>SUMIFS(raw!$E$2:$E$226,raw!$B$2:$B$226,'(2019-20)'!$A58,raw!$C$2:$C$226,'(2019-20)'!$E$6,raw!$D$2:$D$226,'(2019-20)'!E$7)</f>
        <v>2</v>
      </c>
      <c r="F58">
        <f>SUMIFS(raw!$E$2:$E$226,raw!$B$2:$B$226,'(2019-20)'!$A58,raw!$C$2:$C$226,'(2019-20)'!$E$6,raw!$D$2:$D$226,'(2019-20)'!F$7)</f>
        <v>21</v>
      </c>
      <c r="H58">
        <f>SUMIFS(raw!$E$2:$E$226,raw!$B$2:$B$226,'(2019-20)'!$A58,raw!$C$2:$C$226,'(2019-20)'!$H$6,raw!$D$2:$D$226,'(2019-20)'!H$7)</f>
        <v>4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1A90-C502-4977-A2B5-30E774BB898C}">
  <sheetPr>
    <tabColor rgb="FFFF0000"/>
  </sheetPr>
  <dimension ref="A1:E226"/>
  <sheetViews>
    <sheetView workbookViewId="0"/>
  </sheetViews>
  <sheetFormatPr defaultRowHeight="14.5" x14ac:dyDescent="0.35"/>
  <cols>
    <col min="2" max="2" width="22.7265625" bestFit="1" customWidth="1"/>
    <col min="3" max="3" width="13.1796875" bestFit="1" customWidth="1"/>
    <col min="4" max="4" width="18" bestFit="1" customWidth="1"/>
  </cols>
  <sheetData>
    <row r="1" spans="1: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35">
      <c r="A2">
        <v>2021</v>
      </c>
      <c r="B2" t="s">
        <v>13</v>
      </c>
      <c r="C2" t="s">
        <v>82</v>
      </c>
      <c r="D2" t="s">
        <v>83</v>
      </c>
      <c r="E2">
        <v>8</v>
      </c>
    </row>
    <row r="3" spans="1:5" x14ac:dyDescent="0.35">
      <c r="A3">
        <v>2021</v>
      </c>
      <c r="B3" t="s">
        <v>14</v>
      </c>
      <c r="C3" t="s">
        <v>82</v>
      </c>
      <c r="D3" t="s">
        <v>83</v>
      </c>
      <c r="E3">
        <v>0</v>
      </c>
    </row>
    <row r="4" spans="1:5" x14ac:dyDescent="0.35">
      <c r="A4">
        <v>2021</v>
      </c>
      <c r="B4" t="s">
        <v>15</v>
      </c>
      <c r="C4" t="s">
        <v>82</v>
      </c>
      <c r="D4" t="s">
        <v>83</v>
      </c>
      <c r="E4">
        <v>7</v>
      </c>
    </row>
    <row r="5" spans="1:5" x14ac:dyDescent="0.35">
      <c r="A5">
        <v>2021</v>
      </c>
      <c r="B5" t="s">
        <v>16</v>
      </c>
      <c r="C5" t="s">
        <v>82</v>
      </c>
      <c r="D5" t="s">
        <v>83</v>
      </c>
      <c r="E5">
        <v>9</v>
      </c>
    </row>
    <row r="6" spans="1:5" x14ac:dyDescent="0.35">
      <c r="A6">
        <v>2021</v>
      </c>
      <c r="B6" t="s">
        <v>17</v>
      </c>
      <c r="C6" t="s">
        <v>82</v>
      </c>
      <c r="D6" t="s">
        <v>83</v>
      </c>
      <c r="E6">
        <v>6</v>
      </c>
    </row>
    <row r="7" spans="1:5" x14ac:dyDescent="0.35">
      <c r="A7">
        <v>2021</v>
      </c>
      <c r="B7" t="s">
        <v>18</v>
      </c>
      <c r="C7" t="s">
        <v>82</v>
      </c>
      <c r="D7" t="s">
        <v>83</v>
      </c>
      <c r="E7">
        <v>13</v>
      </c>
    </row>
    <row r="8" spans="1:5" x14ac:dyDescent="0.35">
      <c r="A8">
        <v>2021</v>
      </c>
      <c r="B8" t="s">
        <v>19</v>
      </c>
      <c r="C8" t="s">
        <v>82</v>
      </c>
      <c r="D8" t="s">
        <v>83</v>
      </c>
      <c r="E8">
        <v>10</v>
      </c>
    </row>
    <row r="9" spans="1:5" x14ac:dyDescent="0.35">
      <c r="A9">
        <v>2021</v>
      </c>
      <c r="B9" t="s">
        <v>20</v>
      </c>
      <c r="C9" t="s">
        <v>82</v>
      </c>
      <c r="D9" t="s">
        <v>83</v>
      </c>
      <c r="E9">
        <v>5</v>
      </c>
    </row>
    <row r="10" spans="1:5" x14ac:dyDescent="0.35">
      <c r="A10">
        <v>2021</v>
      </c>
      <c r="B10" t="s">
        <v>21</v>
      </c>
      <c r="C10" t="s">
        <v>82</v>
      </c>
      <c r="D10" t="s">
        <v>83</v>
      </c>
      <c r="E10">
        <v>7</v>
      </c>
    </row>
    <row r="11" spans="1:5" x14ac:dyDescent="0.35">
      <c r="A11">
        <v>2021</v>
      </c>
      <c r="B11" t="s">
        <v>22</v>
      </c>
      <c r="C11" t="s">
        <v>82</v>
      </c>
      <c r="D11" t="s">
        <v>83</v>
      </c>
      <c r="E11">
        <v>13</v>
      </c>
    </row>
    <row r="12" spans="1:5" x14ac:dyDescent="0.35">
      <c r="A12">
        <v>2021</v>
      </c>
      <c r="B12" t="s">
        <v>23</v>
      </c>
      <c r="C12" t="s">
        <v>82</v>
      </c>
      <c r="D12" t="s">
        <v>83</v>
      </c>
      <c r="E12">
        <v>42</v>
      </c>
    </row>
    <row r="13" spans="1:5" x14ac:dyDescent="0.35">
      <c r="A13">
        <v>2021</v>
      </c>
      <c r="B13" t="s">
        <v>24</v>
      </c>
      <c r="C13" t="s">
        <v>82</v>
      </c>
      <c r="D13" t="s">
        <v>83</v>
      </c>
      <c r="E13">
        <v>18</v>
      </c>
    </row>
    <row r="14" spans="1:5" x14ac:dyDescent="0.35">
      <c r="A14">
        <v>2021</v>
      </c>
      <c r="B14" t="s">
        <v>25</v>
      </c>
      <c r="C14" t="s">
        <v>82</v>
      </c>
      <c r="D14" t="s">
        <v>83</v>
      </c>
      <c r="E14">
        <v>7</v>
      </c>
    </row>
    <row r="15" spans="1:5" x14ac:dyDescent="0.35">
      <c r="A15">
        <v>2021</v>
      </c>
      <c r="B15" t="s">
        <v>26</v>
      </c>
      <c r="C15" t="s">
        <v>82</v>
      </c>
      <c r="D15" t="s">
        <v>83</v>
      </c>
      <c r="E15">
        <v>14</v>
      </c>
    </row>
    <row r="16" spans="1:5" x14ac:dyDescent="0.35">
      <c r="A16">
        <v>2021</v>
      </c>
      <c r="B16" t="s">
        <v>27</v>
      </c>
      <c r="C16" t="s">
        <v>82</v>
      </c>
      <c r="D16" t="s">
        <v>83</v>
      </c>
      <c r="E16">
        <v>26</v>
      </c>
    </row>
    <row r="17" spans="1:5" x14ac:dyDescent="0.35">
      <c r="A17">
        <v>2021</v>
      </c>
      <c r="B17" t="s">
        <v>28</v>
      </c>
      <c r="C17" t="s">
        <v>82</v>
      </c>
      <c r="D17" t="s">
        <v>83</v>
      </c>
      <c r="E17">
        <v>4</v>
      </c>
    </row>
    <row r="18" spans="1:5" x14ac:dyDescent="0.35">
      <c r="A18">
        <v>2021</v>
      </c>
      <c r="B18" t="s">
        <v>29</v>
      </c>
      <c r="C18" t="s">
        <v>82</v>
      </c>
      <c r="D18" t="s">
        <v>83</v>
      </c>
      <c r="E18">
        <v>149</v>
      </c>
    </row>
    <row r="19" spans="1:5" x14ac:dyDescent="0.35">
      <c r="A19">
        <v>2021</v>
      </c>
      <c r="B19" t="s">
        <v>30</v>
      </c>
      <c r="C19" t="s">
        <v>82</v>
      </c>
      <c r="D19" t="s">
        <v>83</v>
      </c>
      <c r="E19">
        <v>20</v>
      </c>
    </row>
    <row r="20" spans="1:5" x14ac:dyDescent="0.35">
      <c r="A20">
        <v>2021</v>
      </c>
      <c r="B20" t="s">
        <v>31</v>
      </c>
      <c r="C20" t="s">
        <v>82</v>
      </c>
      <c r="D20" t="s">
        <v>83</v>
      </c>
      <c r="E20">
        <v>23</v>
      </c>
    </row>
    <row r="21" spans="1:5" x14ac:dyDescent="0.35">
      <c r="A21">
        <v>2021</v>
      </c>
      <c r="B21" t="s">
        <v>32</v>
      </c>
      <c r="C21" t="s">
        <v>82</v>
      </c>
      <c r="D21" t="s">
        <v>83</v>
      </c>
      <c r="E21">
        <v>4</v>
      </c>
    </row>
    <row r="22" spans="1:5" x14ac:dyDescent="0.35">
      <c r="A22">
        <v>2021</v>
      </c>
      <c r="B22" t="s">
        <v>33</v>
      </c>
      <c r="C22" t="s">
        <v>82</v>
      </c>
      <c r="D22" t="s">
        <v>83</v>
      </c>
      <c r="E22">
        <v>16</v>
      </c>
    </row>
    <row r="23" spans="1:5" x14ac:dyDescent="0.35">
      <c r="A23">
        <v>2021</v>
      </c>
      <c r="B23" t="s">
        <v>34</v>
      </c>
      <c r="C23" t="s">
        <v>82</v>
      </c>
      <c r="D23" t="s">
        <v>83</v>
      </c>
      <c r="E23">
        <v>5</v>
      </c>
    </row>
    <row r="24" spans="1:5" x14ac:dyDescent="0.35">
      <c r="A24">
        <v>2021</v>
      </c>
      <c r="B24" t="s">
        <v>76</v>
      </c>
      <c r="C24" t="s">
        <v>82</v>
      </c>
      <c r="D24" t="s">
        <v>83</v>
      </c>
      <c r="E24">
        <v>1</v>
      </c>
    </row>
    <row r="25" spans="1:5" x14ac:dyDescent="0.35">
      <c r="A25">
        <v>2021</v>
      </c>
      <c r="B25" t="s">
        <v>183</v>
      </c>
      <c r="C25" t="s">
        <v>82</v>
      </c>
      <c r="D25" t="s">
        <v>83</v>
      </c>
      <c r="E25">
        <v>0</v>
      </c>
    </row>
    <row r="26" spans="1:5" x14ac:dyDescent="0.35">
      <c r="A26">
        <v>2021</v>
      </c>
      <c r="B26" t="s">
        <v>37</v>
      </c>
      <c r="C26" t="s">
        <v>82</v>
      </c>
      <c r="D26" t="s">
        <v>83</v>
      </c>
      <c r="E26">
        <v>19</v>
      </c>
    </row>
    <row r="27" spans="1:5" x14ac:dyDescent="0.35">
      <c r="A27">
        <v>2021</v>
      </c>
      <c r="B27" t="s">
        <v>38</v>
      </c>
      <c r="C27" t="s">
        <v>82</v>
      </c>
      <c r="D27" t="s">
        <v>83</v>
      </c>
      <c r="E27">
        <v>25</v>
      </c>
    </row>
    <row r="28" spans="1:5" x14ac:dyDescent="0.35">
      <c r="A28">
        <v>2021</v>
      </c>
      <c r="B28" t="s">
        <v>39</v>
      </c>
      <c r="C28" t="s">
        <v>82</v>
      </c>
      <c r="D28" t="s">
        <v>83</v>
      </c>
      <c r="E28">
        <v>16</v>
      </c>
    </row>
    <row r="29" spans="1:5" x14ac:dyDescent="0.35">
      <c r="A29">
        <v>2021</v>
      </c>
      <c r="B29" t="s">
        <v>40</v>
      </c>
      <c r="C29" t="s">
        <v>82</v>
      </c>
      <c r="D29" t="s">
        <v>83</v>
      </c>
      <c r="E29">
        <v>7</v>
      </c>
    </row>
    <row r="30" spans="1:5" x14ac:dyDescent="0.35">
      <c r="A30">
        <v>2021</v>
      </c>
      <c r="B30" t="s">
        <v>41</v>
      </c>
      <c r="C30" t="s">
        <v>82</v>
      </c>
      <c r="D30" t="s">
        <v>83</v>
      </c>
      <c r="E30">
        <v>13</v>
      </c>
    </row>
    <row r="31" spans="1:5" x14ac:dyDescent="0.35">
      <c r="A31">
        <v>2021</v>
      </c>
      <c r="B31" t="s">
        <v>42</v>
      </c>
      <c r="C31" t="s">
        <v>82</v>
      </c>
      <c r="D31" t="s">
        <v>83</v>
      </c>
      <c r="E31">
        <v>34</v>
      </c>
    </row>
    <row r="32" spans="1:5" x14ac:dyDescent="0.35">
      <c r="A32">
        <v>2021</v>
      </c>
      <c r="B32" t="s">
        <v>43</v>
      </c>
      <c r="C32" t="s">
        <v>82</v>
      </c>
      <c r="D32" t="s">
        <v>83</v>
      </c>
      <c r="E32">
        <v>20</v>
      </c>
    </row>
    <row r="33" spans="1:5" x14ac:dyDescent="0.35">
      <c r="A33">
        <v>2021</v>
      </c>
      <c r="B33" t="s">
        <v>44</v>
      </c>
      <c r="C33" t="s">
        <v>82</v>
      </c>
      <c r="D33" t="s">
        <v>83</v>
      </c>
      <c r="E33">
        <v>13</v>
      </c>
    </row>
    <row r="34" spans="1:5" x14ac:dyDescent="0.35">
      <c r="A34">
        <v>2021</v>
      </c>
      <c r="B34" t="s">
        <v>45</v>
      </c>
      <c r="C34" t="s">
        <v>82</v>
      </c>
      <c r="D34" t="s">
        <v>83</v>
      </c>
      <c r="E34">
        <v>9</v>
      </c>
    </row>
    <row r="35" spans="1:5" x14ac:dyDescent="0.35">
      <c r="A35">
        <v>2021</v>
      </c>
      <c r="B35" t="s">
        <v>46</v>
      </c>
      <c r="C35" t="s">
        <v>82</v>
      </c>
      <c r="D35" t="s">
        <v>83</v>
      </c>
      <c r="E35">
        <v>8</v>
      </c>
    </row>
    <row r="36" spans="1:5" x14ac:dyDescent="0.35">
      <c r="A36">
        <v>2021</v>
      </c>
      <c r="B36" t="s">
        <v>47</v>
      </c>
      <c r="C36" t="s">
        <v>82</v>
      </c>
      <c r="D36" t="s">
        <v>83</v>
      </c>
      <c r="E36">
        <v>10</v>
      </c>
    </row>
    <row r="37" spans="1:5" x14ac:dyDescent="0.35">
      <c r="A37">
        <v>2021</v>
      </c>
      <c r="B37" t="s">
        <v>48</v>
      </c>
      <c r="C37" t="s">
        <v>82</v>
      </c>
      <c r="D37" t="s">
        <v>83</v>
      </c>
      <c r="E37">
        <v>17</v>
      </c>
    </row>
    <row r="38" spans="1:5" x14ac:dyDescent="0.35">
      <c r="A38">
        <v>2021</v>
      </c>
      <c r="B38" t="s">
        <v>49</v>
      </c>
      <c r="C38" t="s">
        <v>82</v>
      </c>
      <c r="D38" t="s">
        <v>83</v>
      </c>
      <c r="E38">
        <v>16</v>
      </c>
    </row>
    <row r="39" spans="1:5" x14ac:dyDescent="0.35">
      <c r="A39">
        <v>2021</v>
      </c>
      <c r="B39" t="s">
        <v>50</v>
      </c>
      <c r="C39" t="s">
        <v>82</v>
      </c>
      <c r="D39" t="s">
        <v>83</v>
      </c>
      <c r="E39">
        <v>7</v>
      </c>
    </row>
    <row r="40" spans="1:5" x14ac:dyDescent="0.35">
      <c r="A40">
        <v>2021</v>
      </c>
      <c r="B40" t="s">
        <v>51</v>
      </c>
      <c r="C40" t="s">
        <v>82</v>
      </c>
      <c r="D40" t="s">
        <v>83</v>
      </c>
      <c r="E40">
        <v>3</v>
      </c>
    </row>
    <row r="41" spans="1:5" x14ac:dyDescent="0.35">
      <c r="A41">
        <v>2021</v>
      </c>
      <c r="B41" t="s">
        <v>52</v>
      </c>
      <c r="C41" t="s">
        <v>82</v>
      </c>
      <c r="D41" t="s">
        <v>83</v>
      </c>
      <c r="E41">
        <v>6</v>
      </c>
    </row>
    <row r="42" spans="1:5" x14ac:dyDescent="0.35">
      <c r="A42">
        <v>2021</v>
      </c>
      <c r="B42" t="s">
        <v>53</v>
      </c>
      <c r="C42" t="s">
        <v>82</v>
      </c>
      <c r="D42" t="s">
        <v>83</v>
      </c>
      <c r="E42">
        <v>5</v>
      </c>
    </row>
    <row r="43" spans="1:5" x14ac:dyDescent="0.35">
      <c r="A43">
        <v>2021</v>
      </c>
      <c r="B43" t="s">
        <v>54</v>
      </c>
      <c r="C43" t="s">
        <v>82</v>
      </c>
      <c r="D43" t="s">
        <v>83</v>
      </c>
      <c r="E43">
        <v>11</v>
      </c>
    </row>
    <row r="44" spans="1:5" x14ac:dyDescent="0.35">
      <c r="A44">
        <v>2021</v>
      </c>
      <c r="B44" t="s">
        <v>55</v>
      </c>
      <c r="C44" t="s">
        <v>82</v>
      </c>
      <c r="D44" t="s">
        <v>83</v>
      </c>
      <c r="E44">
        <v>28</v>
      </c>
    </row>
    <row r="45" spans="1:5" x14ac:dyDescent="0.35">
      <c r="A45">
        <v>2021</v>
      </c>
      <c r="B45" t="s">
        <v>56</v>
      </c>
      <c r="C45" t="s">
        <v>82</v>
      </c>
      <c r="D45" t="s">
        <v>83</v>
      </c>
      <c r="E45">
        <v>6</v>
      </c>
    </row>
    <row r="46" spans="1:5" x14ac:dyDescent="0.35">
      <c r="A46">
        <v>2021</v>
      </c>
      <c r="B46" t="s">
        <v>57</v>
      </c>
      <c r="C46" t="s">
        <v>82</v>
      </c>
      <c r="D46" t="s">
        <v>83</v>
      </c>
      <c r="E46">
        <v>27</v>
      </c>
    </row>
    <row r="47" spans="1:5" x14ac:dyDescent="0.35">
      <c r="A47">
        <v>2021</v>
      </c>
      <c r="B47" t="s">
        <v>13</v>
      </c>
      <c r="C47" t="s">
        <v>82</v>
      </c>
      <c r="D47" t="s">
        <v>84</v>
      </c>
      <c r="E47">
        <v>15</v>
      </c>
    </row>
    <row r="48" spans="1:5" x14ac:dyDescent="0.35">
      <c r="A48">
        <v>2021</v>
      </c>
      <c r="B48" t="s">
        <v>14</v>
      </c>
      <c r="C48" t="s">
        <v>82</v>
      </c>
      <c r="D48" t="s">
        <v>84</v>
      </c>
      <c r="E48">
        <v>18</v>
      </c>
    </row>
    <row r="49" spans="1:5" x14ac:dyDescent="0.35">
      <c r="A49">
        <v>2021</v>
      </c>
      <c r="B49" t="s">
        <v>15</v>
      </c>
      <c r="C49" t="s">
        <v>82</v>
      </c>
      <c r="D49" t="s">
        <v>84</v>
      </c>
      <c r="E49">
        <v>15</v>
      </c>
    </row>
    <row r="50" spans="1:5" x14ac:dyDescent="0.35">
      <c r="A50">
        <v>2021</v>
      </c>
      <c r="B50" t="s">
        <v>16</v>
      </c>
      <c r="C50" t="s">
        <v>82</v>
      </c>
      <c r="D50" t="s">
        <v>84</v>
      </c>
      <c r="E50">
        <v>5</v>
      </c>
    </row>
    <row r="51" spans="1:5" x14ac:dyDescent="0.35">
      <c r="A51">
        <v>2021</v>
      </c>
      <c r="B51" t="s">
        <v>17</v>
      </c>
      <c r="C51" t="s">
        <v>82</v>
      </c>
      <c r="D51" t="s">
        <v>84</v>
      </c>
      <c r="E51">
        <v>9</v>
      </c>
    </row>
    <row r="52" spans="1:5" x14ac:dyDescent="0.35">
      <c r="A52">
        <v>2021</v>
      </c>
      <c r="B52" t="s">
        <v>18</v>
      </c>
      <c r="C52" t="s">
        <v>82</v>
      </c>
      <c r="D52" t="s">
        <v>84</v>
      </c>
      <c r="E52">
        <v>18</v>
      </c>
    </row>
    <row r="53" spans="1:5" x14ac:dyDescent="0.35">
      <c r="A53">
        <v>2021</v>
      </c>
      <c r="B53" t="s">
        <v>19</v>
      </c>
      <c r="C53" t="s">
        <v>82</v>
      </c>
      <c r="D53" t="s">
        <v>84</v>
      </c>
      <c r="E53">
        <v>11</v>
      </c>
    </row>
    <row r="54" spans="1:5" x14ac:dyDescent="0.35">
      <c r="A54">
        <v>2021</v>
      </c>
      <c r="B54" t="s">
        <v>20</v>
      </c>
      <c r="C54" t="s">
        <v>82</v>
      </c>
      <c r="D54" t="s">
        <v>84</v>
      </c>
      <c r="E54">
        <v>6</v>
      </c>
    </row>
    <row r="55" spans="1:5" x14ac:dyDescent="0.35">
      <c r="A55">
        <v>2021</v>
      </c>
      <c r="B55" t="s">
        <v>21</v>
      </c>
      <c r="C55" t="s">
        <v>82</v>
      </c>
      <c r="D55" t="s">
        <v>84</v>
      </c>
      <c r="E55">
        <v>13</v>
      </c>
    </row>
    <row r="56" spans="1:5" x14ac:dyDescent="0.35">
      <c r="A56">
        <v>2021</v>
      </c>
      <c r="B56" t="s">
        <v>22</v>
      </c>
      <c r="C56" t="s">
        <v>82</v>
      </c>
      <c r="D56" t="s">
        <v>84</v>
      </c>
      <c r="E56">
        <v>35</v>
      </c>
    </row>
    <row r="57" spans="1:5" x14ac:dyDescent="0.35">
      <c r="A57">
        <v>2021</v>
      </c>
      <c r="B57" t="s">
        <v>23</v>
      </c>
      <c r="C57" t="s">
        <v>82</v>
      </c>
      <c r="D57" t="s">
        <v>84</v>
      </c>
      <c r="E57">
        <v>26</v>
      </c>
    </row>
    <row r="58" spans="1:5" x14ac:dyDescent="0.35">
      <c r="A58">
        <v>2021</v>
      </c>
      <c r="B58" t="s">
        <v>24</v>
      </c>
      <c r="C58" t="s">
        <v>82</v>
      </c>
      <c r="D58" t="s">
        <v>84</v>
      </c>
      <c r="E58">
        <v>46</v>
      </c>
    </row>
    <row r="59" spans="1:5" x14ac:dyDescent="0.35">
      <c r="A59">
        <v>2021</v>
      </c>
      <c r="B59" t="s">
        <v>25</v>
      </c>
      <c r="C59" t="s">
        <v>82</v>
      </c>
      <c r="D59" t="s">
        <v>84</v>
      </c>
      <c r="E59">
        <v>9</v>
      </c>
    </row>
    <row r="60" spans="1:5" x14ac:dyDescent="0.35">
      <c r="A60">
        <v>2021</v>
      </c>
      <c r="B60" t="s">
        <v>26</v>
      </c>
      <c r="C60" t="s">
        <v>82</v>
      </c>
      <c r="D60" t="s">
        <v>84</v>
      </c>
      <c r="E60">
        <v>8</v>
      </c>
    </row>
    <row r="61" spans="1:5" x14ac:dyDescent="0.35">
      <c r="A61">
        <v>2021</v>
      </c>
      <c r="B61" t="s">
        <v>27</v>
      </c>
      <c r="C61" t="s">
        <v>82</v>
      </c>
      <c r="D61" t="s">
        <v>84</v>
      </c>
      <c r="E61">
        <v>39</v>
      </c>
    </row>
    <row r="62" spans="1:5" x14ac:dyDescent="0.35">
      <c r="A62">
        <v>2021</v>
      </c>
      <c r="B62" t="s">
        <v>28</v>
      </c>
      <c r="C62" t="s">
        <v>82</v>
      </c>
      <c r="D62" t="s">
        <v>84</v>
      </c>
      <c r="E62">
        <v>16</v>
      </c>
    </row>
    <row r="63" spans="1:5" x14ac:dyDescent="0.35">
      <c r="A63">
        <v>2021</v>
      </c>
      <c r="B63" t="s">
        <v>29</v>
      </c>
      <c r="C63" t="s">
        <v>82</v>
      </c>
      <c r="D63" t="s">
        <v>84</v>
      </c>
      <c r="E63">
        <v>115</v>
      </c>
    </row>
    <row r="64" spans="1:5" x14ac:dyDescent="0.35">
      <c r="A64">
        <v>2021</v>
      </c>
      <c r="B64" t="s">
        <v>30</v>
      </c>
      <c r="C64" t="s">
        <v>82</v>
      </c>
      <c r="D64" t="s">
        <v>84</v>
      </c>
      <c r="E64">
        <v>27</v>
      </c>
    </row>
    <row r="65" spans="1:5" x14ac:dyDescent="0.35">
      <c r="A65">
        <v>2021</v>
      </c>
      <c r="B65" t="s">
        <v>31</v>
      </c>
      <c r="C65" t="s">
        <v>82</v>
      </c>
      <c r="D65" t="s">
        <v>84</v>
      </c>
      <c r="E65">
        <v>26</v>
      </c>
    </row>
    <row r="66" spans="1:5" x14ac:dyDescent="0.35">
      <c r="A66">
        <v>2021</v>
      </c>
      <c r="B66" t="s">
        <v>32</v>
      </c>
      <c r="C66" t="s">
        <v>82</v>
      </c>
      <c r="D66" t="s">
        <v>84</v>
      </c>
      <c r="E66">
        <v>23</v>
      </c>
    </row>
    <row r="67" spans="1:5" x14ac:dyDescent="0.35">
      <c r="A67">
        <v>2021</v>
      </c>
      <c r="B67" t="s">
        <v>33</v>
      </c>
      <c r="C67" t="s">
        <v>82</v>
      </c>
      <c r="D67" t="s">
        <v>84</v>
      </c>
      <c r="E67">
        <v>14</v>
      </c>
    </row>
    <row r="68" spans="1:5" x14ac:dyDescent="0.35">
      <c r="A68">
        <v>2021</v>
      </c>
      <c r="B68" t="s">
        <v>34</v>
      </c>
      <c r="C68" t="s">
        <v>82</v>
      </c>
      <c r="D68" t="s">
        <v>84</v>
      </c>
      <c r="E68">
        <v>19</v>
      </c>
    </row>
    <row r="69" spans="1:5" x14ac:dyDescent="0.35">
      <c r="A69">
        <v>2021</v>
      </c>
      <c r="B69" t="s">
        <v>76</v>
      </c>
      <c r="C69" t="s">
        <v>82</v>
      </c>
      <c r="D69" t="s">
        <v>84</v>
      </c>
      <c r="E69">
        <v>3</v>
      </c>
    </row>
    <row r="70" spans="1:5" x14ac:dyDescent="0.35">
      <c r="A70">
        <v>2021</v>
      </c>
      <c r="B70" t="s">
        <v>183</v>
      </c>
      <c r="C70" t="s">
        <v>82</v>
      </c>
      <c r="D70" t="s">
        <v>84</v>
      </c>
      <c r="E70">
        <v>0</v>
      </c>
    </row>
    <row r="71" spans="1:5" x14ac:dyDescent="0.35">
      <c r="A71">
        <v>2021</v>
      </c>
      <c r="B71" t="s">
        <v>37</v>
      </c>
      <c r="C71" t="s">
        <v>82</v>
      </c>
      <c r="D71" t="s">
        <v>84</v>
      </c>
      <c r="E71">
        <v>55</v>
      </c>
    </row>
    <row r="72" spans="1:5" x14ac:dyDescent="0.35">
      <c r="A72">
        <v>2021</v>
      </c>
      <c r="B72" t="s">
        <v>38</v>
      </c>
      <c r="C72" t="s">
        <v>82</v>
      </c>
      <c r="D72" t="s">
        <v>84</v>
      </c>
      <c r="E72">
        <v>31</v>
      </c>
    </row>
    <row r="73" spans="1:5" x14ac:dyDescent="0.35">
      <c r="A73">
        <v>2021</v>
      </c>
      <c r="B73" t="s">
        <v>39</v>
      </c>
      <c r="C73" t="s">
        <v>82</v>
      </c>
      <c r="D73" t="s">
        <v>84</v>
      </c>
      <c r="E73">
        <v>19</v>
      </c>
    </row>
    <row r="74" spans="1:5" x14ac:dyDescent="0.35">
      <c r="A74">
        <v>2021</v>
      </c>
      <c r="B74" t="s">
        <v>40</v>
      </c>
      <c r="C74" t="s">
        <v>82</v>
      </c>
      <c r="D74" t="s">
        <v>84</v>
      </c>
      <c r="E74">
        <v>14</v>
      </c>
    </row>
    <row r="75" spans="1:5" x14ac:dyDescent="0.35">
      <c r="A75">
        <v>2021</v>
      </c>
      <c r="B75" t="s">
        <v>41</v>
      </c>
      <c r="C75" t="s">
        <v>82</v>
      </c>
      <c r="D75" t="s">
        <v>84</v>
      </c>
      <c r="E75">
        <v>47</v>
      </c>
    </row>
    <row r="76" spans="1:5" x14ac:dyDescent="0.35">
      <c r="A76">
        <v>2021</v>
      </c>
      <c r="B76" t="s">
        <v>42</v>
      </c>
      <c r="C76" t="s">
        <v>82</v>
      </c>
      <c r="D76" t="s">
        <v>84</v>
      </c>
      <c r="E76">
        <v>10</v>
      </c>
    </row>
    <row r="77" spans="1:5" x14ac:dyDescent="0.35">
      <c r="A77">
        <v>2021</v>
      </c>
      <c r="B77" t="s">
        <v>43</v>
      </c>
      <c r="C77" t="s">
        <v>82</v>
      </c>
      <c r="D77" t="s">
        <v>84</v>
      </c>
      <c r="E77">
        <v>13</v>
      </c>
    </row>
    <row r="78" spans="1:5" x14ac:dyDescent="0.35">
      <c r="A78">
        <v>2021</v>
      </c>
      <c r="B78" t="s">
        <v>44</v>
      </c>
      <c r="C78" t="s">
        <v>82</v>
      </c>
      <c r="D78" t="s">
        <v>84</v>
      </c>
      <c r="E78">
        <v>11</v>
      </c>
    </row>
    <row r="79" spans="1:5" x14ac:dyDescent="0.35">
      <c r="A79">
        <v>2021</v>
      </c>
      <c r="B79" t="s">
        <v>45</v>
      </c>
      <c r="C79" t="s">
        <v>82</v>
      </c>
      <c r="D79" t="s">
        <v>84</v>
      </c>
      <c r="E79">
        <v>14</v>
      </c>
    </row>
    <row r="80" spans="1:5" x14ac:dyDescent="0.35">
      <c r="A80">
        <v>2021</v>
      </c>
      <c r="B80" t="s">
        <v>46</v>
      </c>
      <c r="C80" t="s">
        <v>82</v>
      </c>
      <c r="D80" t="s">
        <v>84</v>
      </c>
      <c r="E80">
        <v>23</v>
      </c>
    </row>
    <row r="81" spans="1:5" x14ac:dyDescent="0.35">
      <c r="A81">
        <v>2021</v>
      </c>
      <c r="B81" t="s">
        <v>47</v>
      </c>
      <c r="C81" t="s">
        <v>82</v>
      </c>
      <c r="D81" t="s">
        <v>84</v>
      </c>
      <c r="E81">
        <v>11</v>
      </c>
    </row>
    <row r="82" spans="1:5" x14ac:dyDescent="0.35">
      <c r="A82">
        <v>2021</v>
      </c>
      <c r="B82" t="s">
        <v>48</v>
      </c>
      <c r="C82" t="s">
        <v>82</v>
      </c>
      <c r="D82" t="s">
        <v>84</v>
      </c>
      <c r="E82">
        <v>9</v>
      </c>
    </row>
    <row r="83" spans="1:5" x14ac:dyDescent="0.35">
      <c r="A83">
        <v>2021</v>
      </c>
      <c r="B83" t="s">
        <v>49</v>
      </c>
      <c r="C83" t="s">
        <v>82</v>
      </c>
      <c r="D83" t="s">
        <v>84</v>
      </c>
      <c r="E83">
        <v>18</v>
      </c>
    </row>
    <row r="84" spans="1:5" x14ac:dyDescent="0.35">
      <c r="A84">
        <v>2021</v>
      </c>
      <c r="B84" t="s">
        <v>50</v>
      </c>
      <c r="C84" t="s">
        <v>82</v>
      </c>
      <c r="D84" t="s">
        <v>84</v>
      </c>
      <c r="E84">
        <v>21</v>
      </c>
    </row>
    <row r="85" spans="1:5" x14ac:dyDescent="0.35">
      <c r="A85">
        <v>2021</v>
      </c>
      <c r="B85" t="s">
        <v>51</v>
      </c>
      <c r="C85" t="s">
        <v>82</v>
      </c>
      <c r="D85" t="s">
        <v>84</v>
      </c>
      <c r="E85">
        <v>6</v>
      </c>
    </row>
    <row r="86" spans="1:5" x14ac:dyDescent="0.35">
      <c r="A86">
        <v>2021</v>
      </c>
      <c r="B86" t="s">
        <v>52</v>
      </c>
      <c r="C86" t="s">
        <v>82</v>
      </c>
      <c r="D86" t="s">
        <v>84</v>
      </c>
      <c r="E86">
        <v>18</v>
      </c>
    </row>
    <row r="87" spans="1:5" x14ac:dyDescent="0.35">
      <c r="A87">
        <v>2021</v>
      </c>
      <c r="B87" t="s">
        <v>53</v>
      </c>
      <c r="C87" t="s">
        <v>82</v>
      </c>
      <c r="D87" t="s">
        <v>84</v>
      </c>
      <c r="E87">
        <v>17</v>
      </c>
    </row>
    <row r="88" spans="1:5" x14ac:dyDescent="0.35">
      <c r="A88">
        <v>2021</v>
      </c>
      <c r="B88" t="s">
        <v>54</v>
      </c>
      <c r="C88" t="s">
        <v>82</v>
      </c>
      <c r="D88" t="s">
        <v>84</v>
      </c>
      <c r="E88">
        <v>8</v>
      </c>
    </row>
    <row r="89" spans="1:5" x14ac:dyDescent="0.35">
      <c r="A89">
        <v>2021</v>
      </c>
      <c r="B89" t="s">
        <v>55</v>
      </c>
      <c r="C89" t="s">
        <v>82</v>
      </c>
      <c r="D89" t="s">
        <v>84</v>
      </c>
      <c r="E89">
        <v>34</v>
      </c>
    </row>
    <row r="90" spans="1:5" x14ac:dyDescent="0.35">
      <c r="A90">
        <v>2021</v>
      </c>
      <c r="B90" t="s">
        <v>56</v>
      </c>
      <c r="C90" t="s">
        <v>82</v>
      </c>
      <c r="D90" t="s">
        <v>84</v>
      </c>
      <c r="E90">
        <v>15</v>
      </c>
    </row>
    <row r="91" spans="1:5" x14ac:dyDescent="0.35">
      <c r="A91">
        <v>2021</v>
      </c>
      <c r="B91" t="s">
        <v>57</v>
      </c>
      <c r="C91" t="s">
        <v>82</v>
      </c>
      <c r="D91" t="s">
        <v>84</v>
      </c>
      <c r="E91">
        <v>20</v>
      </c>
    </row>
    <row r="92" spans="1:5" x14ac:dyDescent="0.35">
      <c r="A92">
        <v>2021</v>
      </c>
      <c r="B92" t="s">
        <v>13</v>
      </c>
      <c r="C92" t="s">
        <v>85</v>
      </c>
      <c r="D92" t="s">
        <v>83</v>
      </c>
      <c r="E92">
        <v>0</v>
      </c>
    </row>
    <row r="93" spans="1:5" x14ac:dyDescent="0.35">
      <c r="A93">
        <v>2021</v>
      </c>
      <c r="B93" t="s">
        <v>14</v>
      </c>
      <c r="C93" t="s">
        <v>85</v>
      </c>
      <c r="D93" t="s">
        <v>83</v>
      </c>
      <c r="E93">
        <v>0</v>
      </c>
    </row>
    <row r="94" spans="1:5" x14ac:dyDescent="0.35">
      <c r="A94">
        <v>2021</v>
      </c>
      <c r="B94" t="s">
        <v>15</v>
      </c>
      <c r="C94" t="s">
        <v>85</v>
      </c>
      <c r="D94" t="s">
        <v>83</v>
      </c>
      <c r="E94">
        <v>0</v>
      </c>
    </row>
    <row r="95" spans="1:5" x14ac:dyDescent="0.35">
      <c r="A95">
        <v>2021</v>
      </c>
      <c r="B95" t="s">
        <v>16</v>
      </c>
      <c r="C95" t="s">
        <v>85</v>
      </c>
      <c r="D95" t="s">
        <v>83</v>
      </c>
      <c r="E95">
        <v>0</v>
      </c>
    </row>
    <row r="96" spans="1:5" x14ac:dyDescent="0.35">
      <c r="A96">
        <v>2021</v>
      </c>
      <c r="B96" t="s">
        <v>17</v>
      </c>
      <c r="C96" t="s">
        <v>85</v>
      </c>
      <c r="D96" t="s">
        <v>83</v>
      </c>
      <c r="E96">
        <v>0</v>
      </c>
    </row>
    <row r="97" spans="1:5" x14ac:dyDescent="0.35">
      <c r="A97">
        <v>2021</v>
      </c>
      <c r="B97" t="s">
        <v>18</v>
      </c>
      <c r="C97" t="s">
        <v>85</v>
      </c>
      <c r="D97" t="s">
        <v>83</v>
      </c>
      <c r="E97">
        <v>0</v>
      </c>
    </row>
    <row r="98" spans="1:5" x14ac:dyDescent="0.35">
      <c r="A98">
        <v>2021</v>
      </c>
      <c r="B98" t="s">
        <v>19</v>
      </c>
      <c r="C98" t="s">
        <v>85</v>
      </c>
      <c r="D98" t="s">
        <v>83</v>
      </c>
      <c r="E98">
        <v>1</v>
      </c>
    </row>
    <row r="99" spans="1:5" x14ac:dyDescent="0.35">
      <c r="A99">
        <v>2021</v>
      </c>
      <c r="B99" t="s">
        <v>20</v>
      </c>
      <c r="C99" t="s">
        <v>85</v>
      </c>
      <c r="D99" t="s">
        <v>83</v>
      </c>
      <c r="E99">
        <v>0</v>
      </c>
    </row>
    <row r="100" spans="1:5" x14ac:dyDescent="0.35">
      <c r="A100">
        <v>2021</v>
      </c>
      <c r="B100" t="s">
        <v>21</v>
      </c>
      <c r="C100" t="s">
        <v>85</v>
      </c>
      <c r="D100" t="s">
        <v>83</v>
      </c>
      <c r="E100">
        <v>0</v>
      </c>
    </row>
    <row r="101" spans="1:5" x14ac:dyDescent="0.35">
      <c r="A101">
        <v>2021</v>
      </c>
      <c r="B101" t="s">
        <v>22</v>
      </c>
      <c r="C101" t="s">
        <v>85</v>
      </c>
      <c r="D101" t="s">
        <v>83</v>
      </c>
      <c r="E101">
        <v>1</v>
      </c>
    </row>
    <row r="102" spans="1:5" x14ac:dyDescent="0.35">
      <c r="A102">
        <v>2021</v>
      </c>
      <c r="B102" t="s">
        <v>23</v>
      </c>
      <c r="C102" t="s">
        <v>85</v>
      </c>
      <c r="D102" t="s">
        <v>83</v>
      </c>
      <c r="E102">
        <v>1</v>
      </c>
    </row>
    <row r="103" spans="1:5" x14ac:dyDescent="0.35">
      <c r="A103">
        <v>2021</v>
      </c>
      <c r="B103" t="s">
        <v>24</v>
      </c>
      <c r="C103" t="s">
        <v>85</v>
      </c>
      <c r="D103" t="s">
        <v>83</v>
      </c>
      <c r="E103">
        <v>2</v>
      </c>
    </row>
    <row r="104" spans="1:5" x14ac:dyDescent="0.35">
      <c r="A104">
        <v>2021</v>
      </c>
      <c r="B104" t="s">
        <v>25</v>
      </c>
      <c r="C104" t="s">
        <v>85</v>
      </c>
      <c r="D104" t="s">
        <v>83</v>
      </c>
      <c r="E104">
        <v>0</v>
      </c>
    </row>
    <row r="105" spans="1:5" x14ac:dyDescent="0.35">
      <c r="A105">
        <v>2021</v>
      </c>
      <c r="B105" t="s">
        <v>26</v>
      </c>
      <c r="C105" t="s">
        <v>85</v>
      </c>
      <c r="D105" t="s">
        <v>83</v>
      </c>
      <c r="E105">
        <v>1</v>
      </c>
    </row>
    <row r="106" spans="1:5" x14ac:dyDescent="0.35">
      <c r="A106">
        <v>2021</v>
      </c>
      <c r="B106" t="s">
        <v>27</v>
      </c>
      <c r="C106" t="s">
        <v>85</v>
      </c>
      <c r="D106" t="s">
        <v>83</v>
      </c>
      <c r="E106">
        <v>0</v>
      </c>
    </row>
    <row r="107" spans="1:5" x14ac:dyDescent="0.35">
      <c r="A107">
        <v>2021</v>
      </c>
      <c r="B107" t="s">
        <v>28</v>
      </c>
      <c r="C107" t="s">
        <v>85</v>
      </c>
      <c r="D107" t="s">
        <v>83</v>
      </c>
      <c r="E107">
        <v>0</v>
      </c>
    </row>
    <row r="108" spans="1:5" x14ac:dyDescent="0.35">
      <c r="A108">
        <v>2021</v>
      </c>
      <c r="B108" t="s">
        <v>29</v>
      </c>
      <c r="C108" t="s">
        <v>85</v>
      </c>
      <c r="D108" t="s">
        <v>83</v>
      </c>
      <c r="E108">
        <v>18</v>
      </c>
    </row>
    <row r="109" spans="1:5" x14ac:dyDescent="0.35">
      <c r="A109">
        <v>2021</v>
      </c>
      <c r="B109" t="s">
        <v>30</v>
      </c>
      <c r="C109" t="s">
        <v>85</v>
      </c>
      <c r="D109" t="s">
        <v>83</v>
      </c>
      <c r="E109">
        <v>2</v>
      </c>
    </row>
    <row r="110" spans="1:5" x14ac:dyDescent="0.35">
      <c r="A110">
        <v>2021</v>
      </c>
      <c r="B110" t="s">
        <v>31</v>
      </c>
      <c r="C110" t="s">
        <v>85</v>
      </c>
      <c r="D110" t="s">
        <v>83</v>
      </c>
      <c r="E110">
        <v>3</v>
      </c>
    </row>
    <row r="111" spans="1:5" x14ac:dyDescent="0.35">
      <c r="A111">
        <v>2021</v>
      </c>
      <c r="B111" t="s">
        <v>32</v>
      </c>
      <c r="C111" t="s">
        <v>85</v>
      </c>
      <c r="D111" t="s">
        <v>83</v>
      </c>
      <c r="E111">
        <v>0</v>
      </c>
    </row>
    <row r="112" spans="1:5" x14ac:dyDescent="0.35">
      <c r="A112">
        <v>2021</v>
      </c>
      <c r="B112" t="s">
        <v>33</v>
      </c>
      <c r="C112" t="s">
        <v>85</v>
      </c>
      <c r="D112" t="s">
        <v>83</v>
      </c>
      <c r="E112">
        <v>4</v>
      </c>
    </row>
    <row r="113" spans="1:5" x14ac:dyDescent="0.35">
      <c r="A113">
        <v>2021</v>
      </c>
      <c r="B113" t="s">
        <v>34</v>
      </c>
      <c r="C113" t="s">
        <v>85</v>
      </c>
      <c r="D113" t="s">
        <v>83</v>
      </c>
      <c r="E113">
        <v>0</v>
      </c>
    </row>
    <row r="114" spans="1:5" x14ac:dyDescent="0.35">
      <c r="A114">
        <v>2021</v>
      </c>
      <c r="B114" t="s">
        <v>76</v>
      </c>
      <c r="C114" t="s">
        <v>85</v>
      </c>
      <c r="D114" t="s">
        <v>83</v>
      </c>
      <c r="E114">
        <v>0</v>
      </c>
    </row>
    <row r="115" spans="1:5" x14ac:dyDescent="0.35">
      <c r="A115">
        <v>2021</v>
      </c>
      <c r="B115" t="s">
        <v>183</v>
      </c>
      <c r="C115" t="s">
        <v>85</v>
      </c>
      <c r="D115" t="s">
        <v>83</v>
      </c>
      <c r="E115">
        <v>0</v>
      </c>
    </row>
    <row r="116" spans="1:5" x14ac:dyDescent="0.35">
      <c r="A116">
        <v>2021</v>
      </c>
      <c r="B116" t="s">
        <v>37</v>
      </c>
      <c r="C116" t="s">
        <v>85</v>
      </c>
      <c r="D116" t="s">
        <v>83</v>
      </c>
      <c r="E116">
        <v>1</v>
      </c>
    </row>
    <row r="117" spans="1:5" x14ac:dyDescent="0.35">
      <c r="A117">
        <v>2021</v>
      </c>
      <c r="B117" t="s">
        <v>38</v>
      </c>
      <c r="C117" t="s">
        <v>85</v>
      </c>
      <c r="D117" t="s">
        <v>83</v>
      </c>
      <c r="E117">
        <v>2</v>
      </c>
    </row>
    <row r="118" spans="1:5" x14ac:dyDescent="0.35">
      <c r="A118">
        <v>2021</v>
      </c>
      <c r="B118" t="s">
        <v>39</v>
      </c>
      <c r="C118" t="s">
        <v>85</v>
      </c>
      <c r="D118" t="s">
        <v>83</v>
      </c>
      <c r="E118">
        <v>1</v>
      </c>
    </row>
    <row r="119" spans="1:5" x14ac:dyDescent="0.35">
      <c r="A119">
        <v>2021</v>
      </c>
      <c r="B119" t="s">
        <v>40</v>
      </c>
      <c r="C119" t="s">
        <v>85</v>
      </c>
      <c r="D119" t="s">
        <v>83</v>
      </c>
      <c r="E119">
        <v>0</v>
      </c>
    </row>
    <row r="120" spans="1:5" x14ac:dyDescent="0.35">
      <c r="A120">
        <v>2021</v>
      </c>
      <c r="B120" t="s">
        <v>41</v>
      </c>
      <c r="C120" t="s">
        <v>85</v>
      </c>
      <c r="D120" t="s">
        <v>83</v>
      </c>
      <c r="E120">
        <v>0</v>
      </c>
    </row>
    <row r="121" spans="1:5" x14ac:dyDescent="0.35">
      <c r="A121">
        <v>2021</v>
      </c>
      <c r="B121" t="s">
        <v>42</v>
      </c>
      <c r="C121" t="s">
        <v>85</v>
      </c>
      <c r="D121" t="s">
        <v>83</v>
      </c>
      <c r="E121">
        <v>2</v>
      </c>
    </row>
    <row r="122" spans="1:5" x14ac:dyDescent="0.35">
      <c r="A122">
        <v>2021</v>
      </c>
      <c r="B122" t="s">
        <v>43</v>
      </c>
      <c r="C122" t="s">
        <v>85</v>
      </c>
      <c r="D122" t="s">
        <v>83</v>
      </c>
      <c r="E122">
        <v>1</v>
      </c>
    </row>
    <row r="123" spans="1:5" x14ac:dyDescent="0.35">
      <c r="A123">
        <v>2021</v>
      </c>
      <c r="B123" t="s">
        <v>44</v>
      </c>
      <c r="C123" t="s">
        <v>85</v>
      </c>
      <c r="D123" t="s">
        <v>83</v>
      </c>
      <c r="E123">
        <v>1</v>
      </c>
    </row>
    <row r="124" spans="1:5" x14ac:dyDescent="0.35">
      <c r="A124">
        <v>2021</v>
      </c>
      <c r="B124" t="s">
        <v>45</v>
      </c>
      <c r="C124" t="s">
        <v>85</v>
      </c>
      <c r="D124" t="s">
        <v>83</v>
      </c>
      <c r="E124">
        <v>0</v>
      </c>
    </row>
    <row r="125" spans="1:5" x14ac:dyDescent="0.35">
      <c r="A125">
        <v>2021</v>
      </c>
      <c r="B125" t="s">
        <v>46</v>
      </c>
      <c r="C125" t="s">
        <v>85</v>
      </c>
      <c r="D125" t="s">
        <v>83</v>
      </c>
      <c r="E125">
        <v>0</v>
      </c>
    </row>
    <row r="126" spans="1:5" x14ac:dyDescent="0.35">
      <c r="A126">
        <v>2021</v>
      </c>
      <c r="B126" t="s">
        <v>47</v>
      </c>
      <c r="C126" t="s">
        <v>85</v>
      </c>
      <c r="D126" t="s">
        <v>83</v>
      </c>
      <c r="E126">
        <v>1</v>
      </c>
    </row>
    <row r="127" spans="1:5" x14ac:dyDescent="0.35">
      <c r="A127">
        <v>2021</v>
      </c>
      <c r="B127" t="s">
        <v>48</v>
      </c>
      <c r="C127" t="s">
        <v>85</v>
      </c>
      <c r="D127" t="s">
        <v>83</v>
      </c>
      <c r="E127">
        <v>2</v>
      </c>
    </row>
    <row r="128" spans="1:5" x14ac:dyDescent="0.35">
      <c r="A128">
        <v>2021</v>
      </c>
      <c r="B128" t="s">
        <v>49</v>
      </c>
      <c r="C128" t="s">
        <v>85</v>
      </c>
      <c r="D128" t="s">
        <v>83</v>
      </c>
      <c r="E128">
        <v>0</v>
      </c>
    </row>
    <row r="129" spans="1:5" x14ac:dyDescent="0.35">
      <c r="A129">
        <v>2021</v>
      </c>
      <c r="B129" t="s">
        <v>50</v>
      </c>
      <c r="C129" t="s">
        <v>85</v>
      </c>
      <c r="D129" t="s">
        <v>83</v>
      </c>
      <c r="E129">
        <v>0</v>
      </c>
    </row>
    <row r="130" spans="1:5" x14ac:dyDescent="0.35">
      <c r="A130">
        <v>2021</v>
      </c>
      <c r="B130" t="s">
        <v>51</v>
      </c>
      <c r="C130" t="s">
        <v>85</v>
      </c>
      <c r="D130" t="s">
        <v>83</v>
      </c>
      <c r="E130">
        <v>0</v>
      </c>
    </row>
    <row r="131" spans="1:5" x14ac:dyDescent="0.35">
      <c r="A131">
        <v>2021</v>
      </c>
      <c r="B131" t="s">
        <v>52</v>
      </c>
      <c r="C131" t="s">
        <v>85</v>
      </c>
      <c r="D131" t="s">
        <v>83</v>
      </c>
      <c r="E131">
        <v>1</v>
      </c>
    </row>
    <row r="132" spans="1:5" x14ac:dyDescent="0.35">
      <c r="A132">
        <v>2021</v>
      </c>
      <c r="B132" t="s">
        <v>53</v>
      </c>
      <c r="C132" t="s">
        <v>85</v>
      </c>
      <c r="D132" t="s">
        <v>83</v>
      </c>
      <c r="E132">
        <v>1</v>
      </c>
    </row>
    <row r="133" spans="1:5" x14ac:dyDescent="0.35">
      <c r="A133">
        <v>2021</v>
      </c>
      <c r="B133" t="s">
        <v>54</v>
      </c>
      <c r="C133" t="s">
        <v>85</v>
      </c>
      <c r="D133" t="s">
        <v>83</v>
      </c>
      <c r="E133">
        <v>1</v>
      </c>
    </row>
    <row r="134" spans="1:5" x14ac:dyDescent="0.35">
      <c r="A134">
        <v>2021</v>
      </c>
      <c r="B134" t="s">
        <v>55</v>
      </c>
      <c r="C134" t="s">
        <v>85</v>
      </c>
      <c r="D134" t="s">
        <v>83</v>
      </c>
      <c r="E134">
        <v>0</v>
      </c>
    </row>
    <row r="135" spans="1:5" x14ac:dyDescent="0.35">
      <c r="A135">
        <v>2021</v>
      </c>
      <c r="B135" t="s">
        <v>56</v>
      </c>
      <c r="C135" t="s">
        <v>85</v>
      </c>
      <c r="D135" t="s">
        <v>83</v>
      </c>
      <c r="E135">
        <v>0</v>
      </c>
    </row>
    <row r="136" spans="1:5" x14ac:dyDescent="0.35">
      <c r="A136">
        <v>2021</v>
      </c>
      <c r="B136" t="s">
        <v>57</v>
      </c>
      <c r="C136" t="s">
        <v>85</v>
      </c>
      <c r="D136" t="s">
        <v>83</v>
      </c>
      <c r="E136">
        <v>3</v>
      </c>
    </row>
    <row r="137" spans="1:5" x14ac:dyDescent="0.35">
      <c r="A137">
        <v>2021</v>
      </c>
      <c r="B137" t="s">
        <v>13</v>
      </c>
      <c r="C137" t="s">
        <v>85</v>
      </c>
      <c r="D137" t="s">
        <v>84</v>
      </c>
      <c r="E137">
        <v>2</v>
      </c>
    </row>
    <row r="138" spans="1:5" x14ac:dyDescent="0.35">
      <c r="A138">
        <v>2021</v>
      </c>
      <c r="B138" t="s">
        <v>14</v>
      </c>
      <c r="C138" t="s">
        <v>85</v>
      </c>
      <c r="D138" t="s">
        <v>84</v>
      </c>
      <c r="E138">
        <v>8</v>
      </c>
    </row>
    <row r="139" spans="1:5" x14ac:dyDescent="0.35">
      <c r="A139">
        <v>2021</v>
      </c>
      <c r="B139" t="s">
        <v>15</v>
      </c>
      <c r="C139" t="s">
        <v>85</v>
      </c>
      <c r="D139" t="s">
        <v>84</v>
      </c>
      <c r="E139">
        <v>2</v>
      </c>
    </row>
    <row r="140" spans="1:5" x14ac:dyDescent="0.35">
      <c r="A140">
        <v>2021</v>
      </c>
      <c r="B140" t="s">
        <v>16</v>
      </c>
      <c r="C140" t="s">
        <v>85</v>
      </c>
      <c r="D140" t="s">
        <v>84</v>
      </c>
      <c r="E140">
        <v>2</v>
      </c>
    </row>
    <row r="141" spans="1:5" x14ac:dyDescent="0.35">
      <c r="A141">
        <v>2021</v>
      </c>
      <c r="B141" t="s">
        <v>17</v>
      </c>
      <c r="C141" t="s">
        <v>85</v>
      </c>
      <c r="D141" t="s">
        <v>84</v>
      </c>
      <c r="E141">
        <v>8</v>
      </c>
    </row>
    <row r="142" spans="1:5" x14ac:dyDescent="0.35">
      <c r="A142">
        <v>2021</v>
      </c>
      <c r="B142" t="s">
        <v>18</v>
      </c>
      <c r="C142" t="s">
        <v>85</v>
      </c>
      <c r="D142" t="s">
        <v>84</v>
      </c>
      <c r="E142">
        <v>16</v>
      </c>
    </row>
    <row r="143" spans="1:5" x14ac:dyDescent="0.35">
      <c r="A143">
        <v>2021</v>
      </c>
      <c r="B143" t="s">
        <v>19</v>
      </c>
      <c r="C143" t="s">
        <v>85</v>
      </c>
      <c r="D143" t="s">
        <v>84</v>
      </c>
      <c r="E143">
        <v>3</v>
      </c>
    </row>
    <row r="144" spans="1:5" x14ac:dyDescent="0.35">
      <c r="A144">
        <v>2021</v>
      </c>
      <c r="B144" t="s">
        <v>20</v>
      </c>
      <c r="C144" t="s">
        <v>85</v>
      </c>
      <c r="D144" t="s">
        <v>84</v>
      </c>
      <c r="E144">
        <v>2</v>
      </c>
    </row>
    <row r="145" spans="1:5" x14ac:dyDescent="0.35">
      <c r="A145">
        <v>2021</v>
      </c>
      <c r="B145" t="s">
        <v>21</v>
      </c>
      <c r="C145" t="s">
        <v>85</v>
      </c>
      <c r="D145" t="s">
        <v>84</v>
      </c>
      <c r="E145">
        <v>4</v>
      </c>
    </row>
    <row r="146" spans="1:5" x14ac:dyDescent="0.35">
      <c r="A146">
        <v>2021</v>
      </c>
      <c r="B146" t="s">
        <v>22</v>
      </c>
      <c r="C146" t="s">
        <v>85</v>
      </c>
      <c r="D146" t="s">
        <v>84</v>
      </c>
      <c r="E146">
        <v>24</v>
      </c>
    </row>
    <row r="147" spans="1:5" x14ac:dyDescent="0.35">
      <c r="A147">
        <v>2021</v>
      </c>
      <c r="B147" t="s">
        <v>23</v>
      </c>
      <c r="C147" t="s">
        <v>85</v>
      </c>
      <c r="D147" t="s">
        <v>84</v>
      </c>
      <c r="E147">
        <v>31</v>
      </c>
    </row>
    <row r="148" spans="1:5" x14ac:dyDescent="0.35">
      <c r="A148">
        <v>2021</v>
      </c>
      <c r="B148" t="s">
        <v>24</v>
      </c>
      <c r="C148" t="s">
        <v>85</v>
      </c>
      <c r="D148" t="s">
        <v>84</v>
      </c>
      <c r="E148">
        <v>16</v>
      </c>
    </row>
    <row r="149" spans="1:5" x14ac:dyDescent="0.35">
      <c r="A149">
        <v>2021</v>
      </c>
      <c r="B149" t="s">
        <v>25</v>
      </c>
      <c r="C149" t="s">
        <v>85</v>
      </c>
      <c r="D149" t="s">
        <v>84</v>
      </c>
      <c r="E149">
        <v>5</v>
      </c>
    </row>
    <row r="150" spans="1:5" x14ac:dyDescent="0.35">
      <c r="A150">
        <v>2021</v>
      </c>
      <c r="B150" t="s">
        <v>26</v>
      </c>
      <c r="C150" t="s">
        <v>85</v>
      </c>
      <c r="D150" t="s">
        <v>84</v>
      </c>
      <c r="E150">
        <v>7</v>
      </c>
    </row>
    <row r="151" spans="1:5" x14ac:dyDescent="0.35">
      <c r="A151">
        <v>2021</v>
      </c>
      <c r="B151" t="s">
        <v>27</v>
      </c>
      <c r="C151" t="s">
        <v>85</v>
      </c>
      <c r="D151" t="s">
        <v>84</v>
      </c>
      <c r="E151">
        <v>13</v>
      </c>
    </row>
    <row r="152" spans="1:5" x14ac:dyDescent="0.35">
      <c r="A152">
        <v>2021</v>
      </c>
      <c r="B152" t="s">
        <v>28</v>
      </c>
      <c r="C152" t="s">
        <v>85</v>
      </c>
      <c r="D152" t="s">
        <v>84</v>
      </c>
      <c r="E152">
        <v>5</v>
      </c>
    </row>
    <row r="153" spans="1:5" x14ac:dyDescent="0.35">
      <c r="A153">
        <v>2021</v>
      </c>
      <c r="B153" t="s">
        <v>29</v>
      </c>
      <c r="C153" t="s">
        <v>85</v>
      </c>
      <c r="D153" t="s">
        <v>84</v>
      </c>
      <c r="E153">
        <v>43</v>
      </c>
    </row>
    <row r="154" spans="1:5" x14ac:dyDescent="0.35">
      <c r="A154">
        <v>2021</v>
      </c>
      <c r="B154" t="s">
        <v>30</v>
      </c>
      <c r="C154" t="s">
        <v>85</v>
      </c>
      <c r="D154" t="s">
        <v>84</v>
      </c>
      <c r="E154">
        <v>1</v>
      </c>
    </row>
    <row r="155" spans="1:5" x14ac:dyDescent="0.35">
      <c r="A155">
        <v>2021</v>
      </c>
      <c r="B155" t="s">
        <v>31</v>
      </c>
      <c r="C155" t="s">
        <v>85</v>
      </c>
      <c r="D155" t="s">
        <v>84</v>
      </c>
      <c r="E155">
        <v>17</v>
      </c>
    </row>
    <row r="156" spans="1:5" x14ac:dyDescent="0.35">
      <c r="A156">
        <v>2021</v>
      </c>
      <c r="B156" t="s">
        <v>32</v>
      </c>
      <c r="C156" t="s">
        <v>85</v>
      </c>
      <c r="D156" t="s">
        <v>84</v>
      </c>
      <c r="E156">
        <v>11</v>
      </c>
    </row>
    <row r="157" spans="1:5" x14ac:dyDescent="0.35">
      <c r="A157">
        <v>2021</v>
      </c>
      <c r="B157" t="s">
        <v>33</v>
      </c>
      <c r="C157" t="s">
        <v>85</v>
      </c>
      <c r="D157" t="s">
        <v>84</v>
      </c>
      <c r="E157">
        <v>11</v>
      </c>
    </row>
    <row r="158" spans="1:5" x14ac:dyDescent="0.35">
      <c r="A158">
        <v>2021</v>
      </c>
      <c r="B158" t="s">
        <v>34</v>
      </c>
      <c r="C158" t="s">
        <v>85</v>
      </c>
      <c r="D158" t="s">
        <v>84</v>
      </c>
      <c r="E158">
        <v>14</v>
      </c>
    </row>
    <row r="159" spans="1:5" x14ac:dyDescent="0.35">
      <c r="A159">
        <v>2021</v>
      </c>
      <c r="B159" t="s">
        <v>76</v>
      </c>
      <c r="C159" t="s">
        <v>85</v>
      </c>
      <c r="D159" t="s">
        <v>84</v>
      </c>
      <c r="E159">
        <v>1</v>
      </c>
    </row>
    <row r="160" spans="1:5" x14ac:dyDescent="0.35">
      <c r="A160">
        <v>2021</v>
      </c>
      <c r="B160" t="s">
        <v>183</v>
      </c>
      <c r="C160" t="s">
        <v>85</v>
      </c>
      <c r="D160" t="s">
        <v>84</v>
      </c>
      <c r="E160">
        <v>0</v>
      </c>
    </row>
    <row r="161" spans="1:5" x14ac:dyDescent="0.35">
      <c r="A161">
        <v>2021</v>
      </c>
      <c r="B161" t="s">
        <v>37</v>
      </c>
      <c r="C161" t="s">
        <v>85</v>
      </c>
      <c r="D161" t="s">
        <v>84</v>
      </c>
      <c r="E161">
        <v>32</v>
      </c>
    </row>
    <row r="162" spans="1:5" x14ac:dyDescent="0.35">
      <c r="A162">
        <v>2021</v>
      </c>
      <c r="B162" t="s">
        <v>38</v>
      </c>
      <c r="C162" t="s">
        <v>85</v>
      </c>
      <c r="D162" t="s">
        <v>84</v>
      </c>
      <c r="E162">
        <v>8</v>
      </c>
    </row>
    <row r="163" spans="1:5" x14ac:dyDescent="0.35">
      <c r="A163">
        <v>2021</v>
      </c>
      <c r="B163" t="s">
        <v>39</v>
      </c>
      <c r="C163" t="s">
        <v>85</v>
      </c>
      <c r="D163" t="s">
        <v>84</v>
      </c>
      <c r="E163">
        <v>4</v>
      </c>
    </row>
    <row r="164" spans="1:5" x14ac:dyDescent="0.35">
      <c r="A164">
        <v>2021</v>
      </c>
      <c r="B164" t="s">
        <v>40</v>
      </c>
      <c r="C164" t="s">
        <v>85</v>
      </c>
      <c r="D164" t="s">
        <v>84</v>
      </c>
      <c r="E164">
        <v>6</v>
      </c>
    </row>
    <row r="165" spans="1:5" x14ac:dyDescent="0.35">
      <c r="A165">
        <v>2021</v>
      </c>
      <c r="B165" t="s">
        <v>41</v>
      </c>
      <c r="C165" t="s">
        <v>85</v>
      </c>
      <c r="D165" t="s">
        <v>84</v>
      </c>
      <c r="E165">
        <v>13</v>
      </c>
    </row>
    <row r="166" spans="1:5" x14ac:dyDescent="0.35">
      <c r="A166">
        <v>2021</v>
      </c>
      <c r="B166" t="s">
        <v>42</v>
      </c>
      <c r="C166" t="s">
        <v>85</v>
      </c>
      <c r="D166" t="s">
        <v>84</v>
      </c>
      <c r="E166">
        <v>9</v>
      </c>
    </row>
    <row r="167" spans="1:5" x14ac:dyDescent="0.35">
      <c r="A167">
        <v>2021</v>
      </c>
      <c r="B167" t="s">
        <v>43</v>
      </c>
      <c r="C167" t="s">
        <v>85</v>
      </c>
      <c r="D167" t="s">
        <v>84</v>
      </c>
      <c r="E167">
        <v>11</v>
      </c>
    </row>
    <row r="168" spans="1:5" x14ac:dyDescent="0.35">
      <c r="A168">
        <v>2021</v>
      </c>
      <c r="B168" t="s">
        <v>44</v>
      </c>
      <c r="C168" t="s">
        <v>85</v>
      </c>
      <c r="D168" t="s">
        <v>84</v>
      </c>
      <c r="E168">
        <v>5</v>
      </c>
    </row>
    <row r="169" spans="1:5" x14ac:dyDescent="0.35">
      <c r="A169">
        <v>2021</v>
      </c>
      <c r="B169" t="s">
        <v>45</v>
      </c>
      <c r="C169" t="s">
        <v>85</v>
      </c>
      <c r="D169" t="s">
        <v>84</v>
      </c>
      <c r="E169">
        <v>8</v>
      </c>
    </row>
    <row r="170" spans="1:5" x14ac:dyDescent="0.35">
      <c r="A170">
        <v>2021</v>
      </c>
      <c r="B170" t="s">
        <v>46</v>
      </c>
      <c r="C170" t="s">
        <v>85</v>
      </c>
      <c r="D170" t="s">
        <v>84</v>
      </c>
      <c r="E170">
        <v>4</v>
      </c>
    </row>
    <row r="171" spans="1:5" x14ac:dyDescent="0.35">
      <c r="A171">
        <v>2021</v>
      </c>
      <c r="B171" t="s">
        <v>47</v>
      </c>
      <c r="C171" t="s">
        <v>85</v>
      </c>
      <c r="D171" t="s">
        <v>84</v>
      </c>
      <c r="E171">
        <v>3</v>
      </c>
    </row>
    <row r="172" spans="1:5" x14ac:dyDescent="0.35">
      <c r="A172">
        <v>2021</v>
      </c>
      <c r="B172" t="s">
        <v>48</v>
      </c>
      <c r="C172" t="s">
        <v>85</v>
      </c>
      <c r="D172" t="s">
        <v>84</v>
      </c>
      <c r="E172">
        <v>6</v>
      </c>
    </row>
    <row r="173" spans="1:5" x14ac:dyDescent="0.35">
      <c r="A173">
        <v>2021</v>
      </c>
      <c r="B173" t="s">
        <v>49</v>
      </c>
      <c r="C173" t="s">
        <v>85</v>
      </c>
      <c r="D173" t="s">
        <v>84</v>
      </c>
      <c r="E173">
        <v>5</v>
      </c>
    </row>
    <row r="174" spans="1:5" x14ac:dyDescent="0.35">
      <c r="A174">
        <v>2021</v>
      </c>
      <c r="B174" t="s">
        <v>50</v>
      </c>
      <c r="C174" t="s">
        <v>85</v>
      </c>
      <c r="D174" t="s">
        <v>84</v>
      </c>
      <c r="E174">
        <v>5</v>
      </c>
    </row>
    <row r="175" spans="1:5" x14ac:dyDescent="0.35">
      <c r="A175">
        <v>2021</v>
      </c>
      <c r="B175" t="s">
        <v>51</v>
      </c>
      <c r="C175" t="s">
        <v>85</v>
      </c>
      <c r="D175" t="s">
        <v>84</v>
      </c>
      <c r="E175">
        <v>3</v>
      </c>
    </row>
    <row r="176" spans="1:5" x14ac:dyDescent="0.35">
      <c r="A176">
        <v>2021</v>
      </c>
      <c r="B176" t="s">
        <v>52</v>
      </c>
      <c r="C176" t="s">
        <v>85</v>
      </c>
      <c r="D176" t="s">
        <v>84</v>
      </c>
      <c r="E176">
        <v>10</v>
      </c>
    </row>
    <row r="177" spans="1:5" x14ac:dyDescent="0.35">
      <c r="A177">
        <v>2021</v>
      </c>
      <c r="B177" t="s">
        <v>53</v>
      </c>
      <c r="C177" t="s">
        <v>85</v>
      </c>
      <c r="D177" t="s">
        <v>84</v>
      </c>
      <c r="E177">
        <v>11</v>
      </c>
    </row>
    <row r="178" spans="1:5" x14ac:dyDescent="0.35">
      <c r="A178">
        <v>2021</v>
      </c>
      <c r="B178" t="s">
        <v>54</v>
      </c>
      <c r="C178" t="s">
        <v>85</v>
      </c>
      <c r="D178" t="s">
        <v>84</v>
      </c>
      <c r="E178">
        <v>3</v>
      </c>
    </row>
    <row r="179" spans="1:5" x14ac:dyDescent="0.35">
      <c r="A179">
        <v>2021</v>
      </c>
      <c r="B179" t="s">
        <v>55</v>
      </c>
      <c r="C179" t="s">
        <v>85</v>
      </c>
      <c r="D179" t="s">
        <v>84</v>
      </c>
      <c r="E179">
        <v>11</v>
      </c>
    </row>
    <row r="180" spans="1:5" x14ac:dyDescent="0.35">
      <c r="A180">
        <v>2021</v>
      </c>
      <c r="B180" t="s">
        <v>56</v>
      </c>
      <c r="C180" t="s">
        <v>85</v>
      </c>
      <c r="D180" t="s">
        <v>84</v>
      </c>
      <c r="E180">
        <v>17</v>
      </c>
    </row>
    <row r="181" spans="1:5" x14ac:dyDescent="0.35">
      <c r="A181">
        <v>2021</v>
      </c>
      <c r="B181" t="s">
        <v>57</v>
      </c>
      <c r="C181" t="s">
        <v>85</v>
      </c>
      <c r="D181" t="s">
        <v>84</v>
      </c>
      <c r="E181">
        <v>14</v>
      </c>
    </row>
    <row r="182" spans="1:5" x14ac:dyDescent="0.35">
      <c r="A182">
        <v>2021</v>
      </c>
      <c r="B182" t="s">
        <v>13</v>
      </c>
      <c r="C182" t="s">
        <v>86</v>
      </c>
      <c r="D182" t="s">
        <v>74</v>
      </c>
      <c r="E182">
        <v>0</v>
      </c>
    </row>
    <row r="183" spans="1:5" x14ac:dyDescent="0.35">
      <c r="A183">
        <v>2021</v>
      </c>
      <c r="B183" t="s">
        <v>14</v>
      </c>
      <c r="C183" t="s">
        <v>86</v>
      </c>
      <c r="D183" t="s">
        <v>74</v>
      </c>
      <c r="E183">
        <v>0</v>
      </c>
    </row>
    <row r="184" spans="1:5" x14ac:dyDescent="0.35">
      <c r="A184">
        <v>2021</v>
      </c>
      <c r="B184" t="s">
        <v>15</v>
      </c>
      <c r="C184" t="s">
        <v>86</v>
      </c>
      <c r="D184" t="s">
        <v>74</v>
      </c>
      <c r="E184">
        <v>0</v>
      </c>
    </row>
    <row r="185" spans="1:5" x14ac:dyDescent="0.35">
      <c r="A185">
        <v>2021</v>
      </c>
      <c r="B185" t="s">
        <v>16</v>
      </c>
      <c r="C185" t="s">
        <v>86</v>
      </c>
      <c r="D185" t="s">
        <v>74</v>
      </c>
      <c r="E185">
        <v>0</v>
      </c>
    </row>
    <row r="186" spans="1:5" x14ac:dyDescent="0.35">
      <c r="A186">
        <v>2021</v>
      </c>
      <c r="B186" t="s">
        <v>17</v>
      </c>
      <c r="C186" t="s">
        <v>86</v>
      </c>
      <c r="D186" t="s">
        <v>74</v>
      </c>
      <c r="E186">
        <v>0</v>
      </c>
    </row>
    <row r="187" spans="1:5" x14ac:dyDescent="0.35">
      <c r="A187">
        <v>2021</v>
      </c>
      <c r="B187" t="s">
        <v>18</v>
      </c>
      <c r="C187" t="s">
        <v>86</v>
      </c>
      <c r="D187" t="s">
        <v>74</v>
      </c>
      <c r="E187">
        <v>0</v>
      </c>
    </row>
    <row r="188" spans="1:5" x14ac:dyDescent="0.35">
      <c r="A188">
        <v>2021</v>
      </c>
      <c r="B188" t="s">
        <v>19</v>
      </c>
      <c r="C188" t="s">
        <v>86</v>
      </c>
      <c r="D188" t="s">
        <v>74</v>
      </c>
      <c r="E188">
        <v>5</v>
      </c>
    </row>
    <row r="189" spans="1:5" x14ac:dyDescent="0.35">
      <c r="A189">
        <v>2021</v>
      </c>
      <c r="B189" t="s">
        <v>20</v>
      </c>
      <c r="C189" t="s">
        <v>86</v>
      </c>
      <c r="D189" t="s">
        <v>74</v>
      </c>
      <c r="E189">
        <v>0</v>
      </c>
    </row>
    <row r="190" spans="1:5" x14ac:dyDescent="0.35">
      <c r="A190">
        <v>2021</v>
      </c>
      <c r="B190" t="s">
        <v>21</v>
      </c>
      <c r="C190" t="s">
        <v>86</v>
      </c>
      <c r="D190" t="s">
        <v>74</v>
      </c>
      <c r="E190">
        <v>0</v>
      </c>
    </row>
    <row r="191" spans="1:5" x14ac:dyDescent="0.35">
      <c r="A191">
        <v>2021</v>
      </c>
      <c r="B191" t="s">
        <v>22</v>
      </c>
      <c r="C191" t="s">
        <v>86</v>
      </c>
      <c r="D191" t="s">
        <v>74</v>
      </c>
      <c r="E191">
        <v>1</v>
      </c>
    </row>
    <row r="192" spans="1:5" x14ac:dyDescent="0.35">
      <c r="A192">
        <v>2021</v>
      </c>
      <c r="B192" t="s">
        <v>23</v>
      </c>
      <c r="C192" t="s">
        <v>86</v>
      </c>
      <c r="D192" t="s">
        <v>74</v>
      </c>
      <c r="E192">
        <v>13</v>
      </c>
    </row>
    <row r="193" spans="1:5" x14ac:dyDescent="0.35">
      <c r="A193">
        <v>2021</v>
      </c>
      <c r="B193" t="s">
        <v>24</v>
      </c>
      <c r="C193" t="s">
        <v>86</v>
      </c>
      <c r="D193" t="s">
        <v>74</v>
      </c>
      <c r="E193">
        <v>0</v>
      </c>
    </row>
    <row r="194" spans="1:5" x14ac:dyDescent="0.35">
      <c r="A194">
        <v>2021</v>
      </c>
      <c r="B194" t="s">
        <v>25</v>
      </c>
      <c r="C194" t="s">
        <v>86</v>
      </c>
      <c r="D194" t="s">
        <v>74</v>
      </c>
      <c r="E194">
        <v>0</v>
      </c>
    </row>
    <row r="195" spans="1:5" x14ac:dyDescent="0.35">
      <c r="A195">
        <v>2021</v>
      </c>
      <c r="B195" t="s">
        <v>26</v>
      </c>
      <c r="C195" t="s">
        <v>86</v>
      </c>
      <c r="D195" t="s">
        <v>74</v>
      </c>
      <c r="E195">
        <v>0</v>
      </c>
    </row>
    <row r="196" spans="1:5" x14ac:dyDescent="0.35">
      <c r="A196">
        <v>2021</v>
      </c>
      <c r="B196" t="s">
        <v>27</v>
      </c>
      <c r="C196" t="s">
        <v>86</v>
      </c>
      <c r="D196" t="s">
        <v>74</v>
      </c>
      <c r="E196">
        <v>0</v>
      </c>
    </row>
    <row r="197" spans="1:5" x14ac:dyDescent="0.35">
      <c r="A197">
        <v>2021</v>
      </c>
      <c r="B197" t="s">
        <v>28</v>
      </c>
      <c r="C197" t="s">
        <v>86</v>
      </c>
      <c r="D197" t="s">
        <v>74</v>
      </c>
      <c r="E197">
        <v>0</v>
      </c>
    </row>
    <row r="198" spans="1:5" x14ac:dyDescent="0.35">
      <c r="A198">
        <v>2021</v>
      </c>
      <c r="B198" t="s">
        <v>29</v>
      </c>
      <c r="C198" t="s">
        <v>86</v>
      </c>
      <c r="D198" t="s">
        <v>74</v>
      </c>
      <c r="E198">
        <v>69</v>
      </c>
    </row>
    <row r="199" spans="1:5" x14ac:dyDescent="0.35">
      <c r="A199">
        <v>2021</v>
      </c>
      <c r="B199" t="s">
        <v>30</v>
      </c>
      <c r="C199" t="s">
        <v>86</v>
      </c>
      <c r="D199" t="s">
        <v>74</v>
      </c>
      <c r="E199">
        <v>1</v>
      </c>
    </row>
    <row r="200" spans="1:5" x14ac:dyDescent="0.35">
      <c r="A200">
        <v>2021</v>
      </c>
      <c r="B200" t="s">
        <v>31</v>
      </c>
      <c r="C200" t="s">
        <v>86</v>
      </c>
      <c r="D200" t="s">
        <v>74</v>
      </c>
      <c r="E200">
        <v>0</v>
      </c>
    </row>
    <row r="201" spans="1:5" x14ac:dyDescent="0.35">
      <c r="A201">
        <v>2021</v>
      </c>
      <c r="B201" t="s">
        <v>32</v>
      </c>
      <c r="C201" t="s">
        <v>86</v>
      </c>
      <c r="D201" t="s">
        <v>74</v>
      </c>
      <c r="E201">
        <v>0</v>
      </c>
    </row>
    <row r="202" spans="1:5" x14ac:dyDescent="0.35">
      <c r="A202">
        <v>2021</v>
      </c>
      <c r="B202" t="s">
        <v>33</v>
      </c>
      <c r="C202" t="s">
        <v>86</v>
      </c>
      <c r="D202" t="s">
        <v>74</v>
      </c>
      <c r="E202">
        <v>0</v>
      </c>
    </row>
    <row r="203" spans="1:5" x14ac:dyDescent="0.35">
      <c r="A203">
        <v>2021</v>
      </c>
      <c r="B203" t="s">
        <v>34</v>
      </c>
      <c r="C203" t="s">
        <v>86</v>
      </c>
      <c r="D203" t="s">
        <v>74</v>
      </c>
      <c r="E203">
        <v>4</v>
      </c>
    </row>
    <row r="204" spans="1:5" x14ac:dyDescent="0.35">
      <c r="A204">
        <v>2021</v>
      </c>
      <c r="B204" t="s">
        <v>76</v>
      </c>
      <c r="C204" t="s">
        <v>86</v>
      </c>
      <c r="D204" t="s">
        <v>74</v>
      </c>
      <c r="E204">
        <v>0</v>
      </c>
    </row>
    <row r="205" spans="1:5" x14ac:dyDescent="0.35">
      <c r="A205">
        <v>2021</v>
      </c>
      <c r="B205" t="s">
        <v>183</v>
      </c>
      <c r="C205" t="s">
        <v>86</v>
      </c>
      <c r="D205" t="s">
        <v>74</v>
      </c>
      <c r="E205">
        <v>0</v>
      </c>
    </row>
    <row r="206" spans="1:5" x14ac:dyDescent="0.35">
      <c r="A206">
        <v>2021</v>
      </c>
      <c r="B206" t="s">
        <v>37</v>
      </c>
      <c r="C206" t="s">
        <v>86</v>
      </c>
      <c r="D206" t="s">
        <v>74</v>
      </c>
      <c r="E206">
        <v>0</v>
      </c>
    </row>
    <row r="207" spans="1:5" x14ac:dyDescent="0.35">
      <c r="A207">
        <v>2021</v>
      </c>
      <c r="B207" t="s">
        <v>38</v>
      </c>
      <c r="C207" t="s">
        <v>86</v>
      </c>
      <c r="D207" t="s">
        <v>74</v>
      </c>
      <c r="E207">
        <v>1</v>
      </c>
    </row>
    <row r="208" spans="1:5" x14ac:dyDescent="0.35">
      <c r="A208">
        <v>2021</v>
      </c>
      <c r="B208" t="s">
        <v>39</v>
      </c>
      <c r="C208" t="s">
        <v>86</v>
      </c>
      <c r="D208" t="s">
        <v>74</v>
      </c>
      <c r="E208">
        <v>1</v>
      </c>
    </row>
    <row r="209" spans="1:5" x14ac:dyDescent="0.35">
      <c r="A209">
        <v>2021</v>
      </c>
      <c r="B209" t="s">
        <v>40</v>
      </c>
      <c r="C209" t="s">
        <v>86</v>
      </c>
      <c r="D209" t="s">
        <v>74</v>
      </c>
      <c r="E209">
        <v>0</v>
      </c>
    </row>
    <row r="210" spans="1:5" x14ac:dyDescent="0.35">
      <c r="A210">
        <v>2021</v>
      </c>
      <c r="B210" t="s">
        <v>41</v>
      </c>
      <c r="C210" t="s">
        <v>86</v>
      </c>
      <c r="D210" t="s">
        <v>74</v>
      </c>
      <c r="E210">
        <v>0</v>
      </c>
    </row>
    <row r="211" spans="1:5" x14ac:dyDescent="0.35">
      <c r="A211">
        <v>2021</v>
      </c>
      <c r="B211" t="s">
        <v>42</v>
      </c>
      <c r="C211" t="s">
        <v>86</v>
      </c>
      <c r="D211" t="s">
        <v>74</v>
      </c>
      <c r="E211">
        <v>2</v>
      </c>
    </row>
    <row r="212" spans="1:5" x14ac:dyDescent="0.35">
      <c r="A212">
        <v>2021</v>
      </c>
      <c r="B212" t="s">
        <v>43</v>
      </c>
      <c r="C212" t="s">
        <v>86</v>
      </c>
      <c r="D212" t="s">
        <v>74</v>
      </c>
      <c r="E212">
        <v>3</v>
      </c>
    </row>
    <row r="213" spans="1:5" x14ac:dyDescent="0.35">
      <c r="A213">
        <v>2021</v>
      </c>
      <c r="B213" t="s">
        <v>44</v>
      </c>
      <c r="C213" t="s">
        <v>86</v>
      </c>
      <c r="D213" t="s">
        <v>74</v>
      </c>
      <c r="E213">
        <v>1</v>
      </c>
    </row>
    <row r="214" spans="1:5" x14ac:dyDescent="0.35">
      <c r="A214">
        <v>2021</v>
      </c>
      <c r="B214" t="s">
        <v>45</v>
      </c>
      <c r="C214" t="s">
        <v>86</v>
      </c>
      <c r="D214" t="s">
        <v>74</v>
      </c>
      <c r="E214">
        <v>0</v>
      </c>
    </row>
    <row r="215" spans="1:5" x14ac:dyDescent="0.35">
      <c r="A215">
        <v>2021</v>
      </c>
      <c r="B215" t="s">
        <v>46</v>
      </c>
      <c r="C215" t="s">
        <v>86</v>
      </c>
      <c r="D215" t="s">
        <v>74</v>
      </c>
      <c r="E215">
        <v>0</v>
      </c>
    </row>
    <row r="216" spans="1:5" x14ac:dyDescent="0.35">
      <c r="A216">
        <v>2021</v>
      </c>
      <c r="B216" t="s">
        <v>47</v>
      </c>
      <c r="C216" t="s">
        <v>86</v>
      </c>
      <c r="D216" t="s">
        <v>74</v>
      </c>
      <c r="E216">
        <v>5</v>
      </c>
    </row>
    <row r="217" spans="1:5" x14ac:dyDescent="0.35">
      <c r="A217">
        <v>2021</v>
      </c>
      <c r="B217" t="s">
        <v>48</v>
      </c>
      <c r="C217" t="s">
        <v>86</v>
      </c>
      <c r="D217" t="s">
        <v>74</v>
      </c>
      <c r="E217">
        <v>2</v>
      </c>
    </row>
    <row r="218" spans="1:5" x14ac:dyDescent="0.35">
      <c r="A218">
        <v>2021</v>
      </c>
      <c r="B218" t="s">
        <v>49</v>
      </c>
      <c r="C218" t="s">
        <v>86</v>
      </c>
      <c r="D218" t="s">
        <v>74</v>
      </c>
      <c r="E218">
        <v>0</v>
      </c>
    </row>
    <row r="219" spans="1:5" x14ac:dyDescent="0.35">
      <c r="A219">
        <v>2021</v>
      </c>
      <c r="B219" t="s">
        <v>50</v>
      </c>
      <c r="C219" t="s">
        <v>86</v>
      </c>
      <c r="D219" t="s">
        <v>74</v>
      </c>
      <c r="E219">
        <v>1</v>
      </c>
    </row>
    <row r="220" spans="1:5" x14ac:dyDescent="0.35">
      <c r="A220">
        <v>2021</v>
      </c>
      <c r="B220" t="s">
        <v>51</v>
      </c>
      <c r="C220" t="s">
        <v>86</v>
      </c>
      <c r="D220" t="s">
        <v>74</v>
      </c>
      <c r="E220">
        <v>1</v>
      </c>
    </row>
    <row r="221" spans="1:5" x14ac:dyDescent="0.35">
      <c r="A221">
        <v>2021</v>
      </c>
      <c r="B221" t="s">
        <v>52</v>
      </c>
      <c r="C221" t="s">
        <v>86</v>
      </c>
      <c r="D221" t="s">
        <v>74</v>
      </c>
      <c r="E221">
        <v>1</v>
      </c>
    </row>
    <row r="222" spans="1:5" x14ac:dyDescent="0.35">
      <c r="A222">
        <v>2021</v>
      </c>
      <c r="B222" t="s">
        <v>53</v>
      </c>
      <c r="C222" t="s">
        <v>86</v>
      </c>
      <c r="D222" t="s">
        <v>74</v>
      </c>
      <c r="E222">
        <v>1</v>
      </c>
    </row>
    <row r="223" spans="1:5" x14ac:dyDescent="0.35">
      <c r="A223">
        <v>2021</v>
      </c>
      <c r="B223" t="s">
        <v>54</v>
      </c>
      <c r="C223" t="s">
        <v>86</v>
      </c>
      <c r="D223" t="s">
        <v>74</v>
      </c>
      <c r="E223">
        <v>0</v>
      </c>
    </row>
    <row r="224" spans="1:5" x14ac:dyDescent="0.35">
      <c r="A224">
        <v>2021</v>
      </c>
      <c r="B224" t="s">
        <v>55</v>
      </c>
      <c r="C224" t="s">
        <v>86</v>
      </c>
      <c r="D224" t="s">
        <v>74</v>
      </c>
      <c r="E224">
        <v>1</v>
      </c>
    </row>
    <row r="225" spans="1:5" x14ac:dyDescent="0.35">
      <c r="A225">
        <v>2021</v>
      </c>
      <c r="B225" t="s">
        <v>56</v>
      </c>
      <c r="C225" t="s">
        <v>86</v>
      </c>
      <c r="D225" t="s">
        <v>74</v>
      </c>
      <c r="E225">
        <v>0</v>
      </c>
    </row>
    <row r="226" spans="1:5" x14ac:dyDescent="0.35">
      <c r="A226">
        <v>2021</v>
      </c>
      <c r="B226" t="s">
        <v>57</v>
      </c>
      <c r="C226" t="s">
        <v>86</v>
      </c>
      <c r="D226" t="s">
        <v>74</v>
      </c>
      <c r="E226">
        <v>3</v>
      </c>
    </row>
  </sheetData>
  <autoFilter ref="A1:E226" xr:uid="{25BE1A90-C502-4977-A2B5-30E774BB898C}"/>
  <dataValidations count="1">
    <dataValidation type="whole" allowBlank="1" showInputMessage="1" showErrorMessage="1" errorTitle="Error" error="Please enter a whole number greater than zero and less than a thousand." sqref="E196" xr:uid="{F7A52978-0D2D-4E5F-B976-FFF2CC5B9F28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01AF-C4D9-4530-B42A-569C94B81364}">
  <sheetPr codeName="Sheet2">
    <tabColor rgb="FFFF0000"/>
  </sheetPr>
  <dimension ref="A4:J70"/>
  <sheetViews>
    <sheetView workbookViewId="0">
      <selection activeCell="G26" sqref="G26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65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950</v>
      </c>
      <c r="C8">
        <f t="shared" ref="C8:H8" si="0">SUM(C14:C58)</f>
        <v>1518</v>
      </c>
      <c r="E8">
        <f t="shared" si="0"/>
        <v>49</v>
      </c>
      <c r="F8">
        <f t="shared" si="0"/>
        <v>844</v>
      </c>
      <c r="H8">
        <f t="shared" si="0"/>
        <v>111</v>
      </c>
    </row>
    <row r="9" spans="1:10" x14ac:dyDescent="0.35">
      <c r="A9" t="s">
        <v>8</v>
      </c>
      <c r="B9">
        <f>SUMIF($J$14:$J$58,$A9,B$14:B$58)</f>
        <v>634</v>
      </c>
      <c r="C9">
        <f t="shared" ref="C9:H10" si="1">SUMIF($J$14:$J$58,$A9,C$14:C$58)</f>
        <v>975</v>
      </c>
      <c r="E9">
        <f t="shared" si="1"/>
        <v>44</v>
      </c>
      <c r="F9">
        <f t="shared" si="1"/>
        <v>696</v>
      </c>
      <c r="H9">
        <f t="shared" si="1"/>
        <v>69</v>
      </c>
    </row>
    <row r="10" spans="1:10" x14ac:dyDescent="0.35">
      <c r="A10" t="s">
        <v>9</v>
      </c>
      <c r="B10">
        <f>SUMIF($J$14:$J$58,$A10,B$14:B$58)</f>
        <v>316</v>
      </c>
      <c r="C10">
        <f t="shared" si="1"/>
        <v>543</v>
      </c>
      <c r="E10">
        <f t="shared" si="1"/>
        <v>5</v>
      </c>
      <c r="F10">
        <f t="shared" si="1"/>
        <v>148</v>
      </c>
      <c r="H10">
        <f t="shared" si="1"/>
        <v>42</v>
      </c>
    </row>
    <row r="11" spans="1:10" x14ac:dyDescent="0.35">
      <c r="A11" t="s">
        <v>10</v>
      </c>
      <c r="B11">
        <f t="shared" ref="B11:H13" si="2">SUMIF($I$14:$I$58,$A11,B$14:B$58)</f>
        <v>487</v>
      </c>
      <c r="C11">
        <f t="shared" si="2"/>
        <v>782</v>
      </c>
      <c r="E11">
        <f t="shared" si="2"/>
        <v>13</v>
      </c>
      <c r="F11">
        <f t="shared" si="2"/>
        <v>243</v>
      </c>
      <c r="H11">
        <f t="shared" si="2"/>
        <v>58</v>
      </c>
    </row>
    <row r="12" spans="1:10" x14ac:dyDescent="0.35">
      <c r="A12" t="s">
        <v>11</v>
      </c>
      <c r="B12">
        <f t="shared" si="2"/>
        <v>280</v>
      </c>
      <c r="C12">
        <f t="shared" si="2"/>
        <v>419</v>
      </c>
      <c r="E12">
        <f t="shared" si="2"/>
        <v>14</v>
      </c>
      <c r="F12">
        <f t="shared" si="2"/>
        <v>356</v>
      </c>
      <c r="H12">
        <f t="shared" si="2"/>
        <v>31</v>
      </c>
    </row>
    <row r="13" spans="1:10" x14ac:dyDescent="0.35">
      <c r="A13" t="s">
        <v>12</v>
      </c>
      <c r="B13">
        <f>SUMIF($I$14:$I$58,$A13,B$14:B$58)</f>
        <v>183</v>
      </c>
      <c r="C13">
        <f t="shared" si="2"/>
        <v>317</v>
      </c>
      <c r="E13">
        <f t="shared" si="2"/>
        <v>22</v>
      </c>
      <c r="F13">
        <f t="shared" si="2"/>
        <v>245</v>
      </c>
      <c r="H13">
        <f t="shared" si="2"/>
        <v>22</v>
      </c>
    </row>
    <row r="14" spans="1:10" x14ac:dyDescent="0.35">
      <c r="A14" t="s">
        <v>13</v>
      </c>
      <c r="B14">
        <v>44</v>
      </c>
      <c r="C14">
        <v>40</v>
      </c>
      <c r="E14">
        <v>2</v>
      </c>
      <c r="F14">
        <v>27</v>
      </c>
      <c r="H14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12</v>
      </c>
      <c r="C15">
        <v>20</v>
      </c>
      <c r="E15">
        <v>0</v>
      </c>
      <c r="F15">
        <v>14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3</v>
      </c>
      <c r="C16">
        <v>23</v>
      </c>
      <c r="E16">
        <v>0</v>
      </c>
      <c r="F16">
        <v>4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12</v>
      </c>
      <c r="C17">
        <v>30</v>
      </c>
      <c r="E17">
        <v>0</v>
      </c>
      <c r="F17">
        <v>8</v>
      </c>
      <c r="H17">
        <v>1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12</v>
      </c>
      <c r="C18">
        <v>14</v>
      </c>
      <c r="E18">
        <v>2</v>
      </c>
      <c r="F18">
        <v>25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9</v>
      </c>
      <c r="C19">
        <v>29</v>
      </c>
      <c r="E19">
        <v>0</v>
      </c>
      <c r="F19">
        <v>28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2</v>
      </c>
      <c r="C20">
        <v>15</v>
      </c>
      <c r="E20">
        <v>0</v>
      </c>
      <c r="F20">
        <v>4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8</v>
      </c>
      <c r="C21">
        <v>7</v>
      </c>
      <c r="E21">
        <v>3</v>
      </c>
      <c r="F21">
        <v>5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21</v>
      </c>
      <c r="C22">
        <v>14</v>
      </c>
      <c r="E22">
        <v>0</v>
      </c>
      <c r="F22">
        <v>4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14</v>
      </c>
      <c r="C23">
        <v>15</v>
      </c>
      <c r="E23">
        <v>1</v>
      </c>
      <c r="F23">
        <v>33</v>
      </c>
      <c r="H23">
        <v>4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36</v>
      </c>
      <c r="C24">
        <v>104</v>
      </c>
      <c r="E24">
        <v>2</v>
      </c>
      <c r="F24">
        <v>66</v>
      </c>
      <c r="H24"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24</v>
      </c>
      <c r="C25">
        <v>46</v>
      </c>
      <c r="E25">
        <v>2</v>
      </c>
      <c r="F25">
        <v>43</v>
      </c>
      <c r="H25">
        <v>10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2</v>
      </c>
      <c r="C26">
        <v>9</v>
      </c>
      <c r="E26">
        <v>0</v>
      </c>
      <c r="F26">
        <v>1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21</v>
      </c>
      <c r="C27">
        <v>28</v>
      </c>
      <c r="E27">
        <v>2</v>
      </c>
      <c r="F27">
        <v>37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53</v>
      </c>
      <c r="C28">
        <v>31</v>
      </c>
      <c r="E28">
        <v>1</v>
      </c>
      <c r="F28">
        <v>54</v>
      </c>
      <c r="H28">
        <v>5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13</v>
      </c>
      <c r="C29">
        <v>8</v>
      </c>
      <c r="E29">
        <v>0</v>
      </c>
      <c r="F29">
        <v>2</v>
      </c>
      <c r="H29"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202</v>
      </c>
      <c r="C30">
        <v>323</v>
      </c>
      <c r="E30">
        <v>4</v>
      </c>
      <c r="F30">
        <v>34</v>
      </c>
      <c r="H30">
        <v>28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9</v>
      </c>
      <c r="C31">
        <v>26</v>
      </c>
      <c r="E31">
        <v>0</v>
      </c>
      <c r="F31">
        <v>3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36</v>
      </c>
      <c r="C32">
        <v>37</v>
      </c>
      <c r="E32">
        <v>2</v>
      </c>
      <c r="F32">
        <v>17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8</v>
      </c>
      <c r="C33">
        <v>18</v>
      </c>
      <c r="E33">
        <v>1</v>
      </c>
      <c r="F33">
        <v>19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29</v>
      </c>
      <c r="C34">
        <v>28</v>
      </c>
      <c r="E34">
        <v>1</v>
      </c>
      <c r="F34">
        <v>12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6</v>
      </c>
      <c r="C35">
        <v>20</v>
      </c>
      <c r="E35">
        <v>1</v>
      </c>
      <c r="F35">
        <v>24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2</v>
      </c>
      <c r="C36">
        <v>3</v>
      </c>
      <c r="E36">
        <v>0</v>
      </c>
      <c r="F36">
        <v>3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31</v>
      </c>
      <c r="C38">
        <v>50</v>
      </c>
      <c r="E38">
        <v>0</v>
      </c>
      <c r="F38">
        <v>27</v>
      </c>
      <c r="H38">
        <v>3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16</v>
      </c>
      <c r="C39">
        <v>27</v>
      </c>
      <c r="E39">
        <v>0</v>
      </c>
      <c r="F39">
        <v>16</v>
      </c>
      <c r="H39">
        <v>5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17</v>
      </c>
      <c r="C40">
        <v>24</v>
      </c>
      <c r="E40">
        <v>1</v>
      </c>
      <c r="F40">
        <v>12</v>
      </c>
      <c r="H40">
        <v>4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4</v>
      </c>
      <c r="C41">
        <v>15</v>
      </c>
      <c r="E41">
        <v>5</v>
      </c>
      <c r="F41">
        <v>31</v>
      </c>
      <c r="H41">
        <v>8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25</v>
      </c>
      <c r="C42">
        <v>35</v>
      </c>
      <c r="E42">
        <v>0</v>
      </c>
      <c r="F42">
        <v>26</v>
      </c>
      <c r="H42">
        <v>4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49</v>
      </c>
      <c r="C43">
        <v>64</v>
      </c>
      <c r="E43">
        <v>5</v>
      </c>
      <c r="F43">
        <v>30</v>
      </c>
      <c r="H43">
        <v>8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12</v>
      </c>
      <c r="C44">
        <v>48</v>
      </c>
      <c r="E44">
        <v>0</v>
      </c>
      <c r="F44">
        <v>36</v>
      </c>
      <c r="H44">
        <v>2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12</v>
      </c>
      <c r="C45">
        <v>26</v>
      </c>
      <c r="E45">
        <v>1</v>
      </c>
      <c r="F45">
        <v>21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6</v>
      </c>
      <c r="C46">
        <v>9</v>
      </c>
      <c r="E46">
        <v>0</v>
      </c>
      <c r="F46">
        <v>9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20</v>
      </c>
      <c r="C47">
        <v>18</v>
      </c>
      <c r="E47">
        <v>1</v>
      </c>
      <c r="F47">
        <v>4</v>
      </c>
      <c r="H47">
        <v>3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10</v>
      </c>
      <c r="C48">
        <v>19</v>
      </c>
      <c r="E48">
        <v>0</v>
      </c>
      <c r="F48">
        <v>18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10</v>
      </c>
      <c r="C49">
        <v>4</v>
      </c>
      <c r="E49">
        <v>1</v>
      </c>
      <c r="F49">
        <v>6</v>
      </c>
      <c r="H49">
        <v>0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6</v>
      </c>
      <c r="C50">
        <v>22</v>
      </c>
      <c r="E50">
        <v>0</v>
      </c>
      <c r="F50">
        <v>13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31</v>
      </c>
      <c r="C51">
        <v>14</v>
      </c>
      <c r="E51">
        <v>4</v>
      </c>
      <c r="F51">
        <v>14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11</v>
      </c>
      <c r="C52">
        <v>7</v>
      </c>
      <c r="E52">
        <v>4</v>
      </c>
      <c r="F52">
        <v>11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21</v>
      </c>
      <c r="C53">
        <v>51</v>
      </c>
      <c r="E53">
        <v>2</v>
      </c>
      <c r="F53">
        <v>11</v>
      </c>
      <c r="H53">
        <v>2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8</v>
      </c>
      <c r="C54">
        <v>33</v>
      </c>
      <c r="E54">
        <v>0</v>
      </c>
      <c r="F54">
        <v>5</v>
      </c>
      <c r="H54">
        <v>2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3</v>
      </c>
      <c r="C55">
        <v>22</v>
      </c>
      <c r="E55">
        <v>0</v>
      </c>
      <c r="F55">
        <v>5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31</v>
      </c>
      <c r="C56">
        <v>68</v>
      </c>
      <c r="E56">
        <v>0</v>
      </c>
      <c r="F56">
        <v>22</v>
      </c>
      <c r="H56">
        <v>8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14</v>
      </c>
      <c r="C57">
        <v>38</v>
      </c>
      <c r="E57">
        <v>0</v>
      </c>
      <c r="F57">
        <v>15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35</v>
      </c>
      <c r="C58">
        <v>36</v>
      </c>
      <c r="E58">
        <v>1</v>
      </c>
      <c r="F58">
        <v>45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D94F-ED32-4C95-B6B2-CC041E28103E}">
  <sheetPr>
    <tabColor rgb="FFFF0000"/>
  </sheetPr>
  <dimension ref="A4:J58"/>
  <sheetViews>
    <sheetView workbookViewId="0">
      <selection activeCell="L47" sqref="L47"/>
    </sheetView>
  </sheetViews>
  <sheetFormatPr defaultRowHeight="14.5" x14ac:dyDescent="0.35"/>
  <cols>
    <col min="1" max="1" width="21" bestFit="1" customWidth="1"/>
  </cols>
  <sheetData>
    <row r="4" spans="1:10" x14ac:dyDescent="0.35">
      <c r="A4" s="88" t="s">
        <v>184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SUM(B14:B58)</f>
        <v>707</v>
      </c>
      <c r="C8">
        <f t="shared" ref="C8:H8" si="0">SUM(C14:C58)</f>
        <v>930</v>
      </c>
      <c r="E8">
        <f t="shared" si="0"/>
        <v>50</v>
      </c>
      <c r="F8">
        <f t="shared" si="0"/>
        <v>434</v>
      </c>
      <c r="H8">
        <f t="shared" si="0"/>
        <v>116</v>
      </c>
    </row>
    <row r="9" spans="1:10" x14ac:dyDescent="0.35">
      <c r="A9" t="s">
        <v>8</v>
      </c>
      <c r="B9">
        <f>SUMIF($J$14:$J$58,$A9,B$14:B$58)</f>
        <v>449</v>
      </c>
      <c r="C9">
        <f t="shared" ref="C9:H10" si="1">SUMIF($J$14:$J$58,$A9,C$14:C$58)</f>
        <v>652</v>
      </c>
      <c r="E9">
        <f t="shared" si="1"/>
        <v>26</v>
      </c>
      <c r="F9">
        <f t="shared" si="1"/>
        <v>336</v>
      </c>
      <c r="H9">
        <f t="shared" si="1"/>
        <v>41</v>
      </c>
    </row>
    <row r="10" spans="1:10" x14ac:dyDescent="0.35">
      <c r="A10" t="s">
        <v>9</v>
      </c>
      <c r="B10">
        <f>SUMIF($J$14:$J$58,$A10,B$14:B$58)</f>
        <v>258</v>
      </c>
      <c r="C10">
        <f t="shared" si="1"/>
        <v>278</v>
      </c>
      <c r="E10">
        <f t="shared" si="1"/>
        <v>24</v>
      </c>
      <c r="F10">
        <f t="shared" si="1"/>
        <v>98</v>
      </c>
      <c r="H10">
        <f t="shared" si="1"/>
        <v>75</v>
      </c>
    </row>
    <row r="11" spans="1:10" x14ac:dyDescent="0.35">
      <c r="A11" t="s">
        <v>10</v>
      </c>
      <c r="B11">
        <f t="shared" ref="B11:H13" si="2">SUMIF($I$14:$I$58,$A11,B$14:B$58)</f>
        <v>361</v>
      </c>
      <c r="C11">
        <f t="shared" si="2"/>
        <v>431</v>
      </c>
      <c r="E11">
        <f t="shared" si="2"/>
        <v>35</v>
      </c>
      <c r="F11">
        <f t="shared" si="2"/>
        <v>155</v>
      </c>
      <c r="H11">
        <f t="shared" si="2"/>
        <v>82</v>
      </c>
    </row>
    <row r="12" spans="1:10" x14ac:dyDescent="0.35">
      <c r="A12" t="s">
        <v>11</v>
      </c>
      <c r="B12">
        <f t="shared" si="2"/>
        <v>178</v>
      </c>
      <c r="C12">
        <f t="shared" si="2"/>
        <v>356</v>
      </c>
      <c r="E12">
        <f t="shared" si="2"/>
        <v>8</v>
      </c>
      <c r="F12">
        <f t="shared" si="2"/>
        <v>182</v>
      </c>
      <c r="H12">
        <f t="shared" si="2"/>
        <v>8</v>
      </c>
    </row>
    <row r="13" spans="1:10" x14ac:dyDescent="0.35">
      <c r="A13" t="s">
        <v>12</v>
      </c>
      <c r="B13">
        <f>SUMIF($I$14:$I$58,$A13,B$14:B$58)</f>
        <v>168</v>
      </c>
      <c r="C13">
        <f t="shared" si="2"/>
        <v>143</v>
      </c>
      <c r="E13">
        <f t="shared" si="2"/>
        <v>7</v>
      </c>
      <c r="F13">
        <f t="shared" si="2"/>
        <v>97</v>
      </c>
      <c r="H13">
        <f t="shared" si="2"/>
        <v>26</v>
      </c>
    </row>
    <row r="14" spans="1:10" x14ac:dyDescent="0.35">
      <c r="A14" t="s">
        <v>13</v>
      </c>
      <c r="B14">
        <f>SUMIFS('raw2'!$E$2:$E$226,'raw2'!$B$2:$B$226,'(2020-21)'!$A14,'raw2'!$C$2:$C$226,'(2020-21)'!$B$6,'raw2'!$D$2:$D$226,'(2020-21)'!B$7)</f>
        <v>8</v>
      </c>
      <c r="C14">
        <f>SUMIFS('raw2'!$E$2:$E$226,'raw2'!$B$2:$B$226,'(2020-21)'!$A14,'raw2'!$C$2:$C$226,'(2020-21)'!$B$6,'raw2'!$D$2:$D$226,'(2020-21)'!C$7)</f>
        <v>15</v>
      </c>
      <c r="E14">
        <f>SUMIFS('raw2'!$E$2:$E$226,'raw2'!$B$2:$B$226,'(2020-21)'!$A14,'raw2'!$C$2:$C$226,'(2020-21)'!$E$6,'raw2'!$D$2:$D$226,'(2020-21)'!E$7)</f>
        <v>0</v>
      </c>
      <c r="F14">
        <f>SUMIFS('raw2'!$E$2:$E$226,'raw2'!$B$2:$B$226,'(2020-21)'!$A14,'raw2'!$C$2:$C$226,'(2020-21)'!$E$6,'raw2'!$D$2:$D$226,'(2020-21)'!F$7)</f>
        <v>2</v>
      </c>
      <c r="H14">
        <f>SUMIFS('raw2'!$E$2:$E$226,'raw2'!$B$2:$B$226,'(2020-21)'!$A14,'raw2'!$C$2:$C$226,'(2020-21)'!$H$6,'raw2'!$D$2:$D$226,'(2020-21)'!H$7)</f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f>SUMIFS('raw2'!$E$2:$E$226,'raw2'!$B$2:$B$226,'(2020-21)'!$A15,'raw2'!$C$2:$C$226,'(2020-21)'!$B$6,'raw2'!$D$2:$D$226,'(2020-21)'!B$7)</f>
        <v>0</v>
      </c>
      <c r="C15">
        <f>SUMIFS('raw2'!$E$2:$E$226,'raw2'!$B$2:$B$226,'(2020-21)'!$A15,'raw2'!$C$2:$C$226,'(2020-21)'!$B$6,'raw2'!$D$2:$D$226,'(2020-21)'!C$7)</f>
        <v>18</v>
      </c>
      <c r="E15">
        <f>SUMIFS('raw2'!$E$2:$E$226,'raw2'!$B$2:$B$226,'(2020-21)'!$A15,'raw2'!$C$2:$C$226,'(2020-21)'!$E$6,'raw2'!$D$2:$D$226,'(2020-21)'!E$7)</f>
        <v>0</v>
      </c>
      <c r="F15">
        <f>SUMIFS('raw2'!$E$2:$E$226,'raw2'!$B$2:$B$226,'(2020-21)'!$A15,'raw2'!$C$2:$C$226,'(2020-21)'!$E$6,'raw2'!$D$2:$D$226,'(2020-21)'!F$7)</f>
        <v>8</v>
      </c>
      <c r="H15">
        <f>SUMIFS('raw2'!$E$2:$E$226,'raw2'!$B$2:$B$226,'(2020-21)'!$A15,'raw2'!$C$2:$C$226,'(2020-21)'!$H$6,'raw2'!$D$2:$D$226,'(2020-21)'!H$7)</f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f>SUMIFS('raw2'!$E$2:$E$226,'raw2'!$B$2:$B$226,'(2020-21)'!$A16,'raw2'!$C$2:$C$226,'(2020-21)'!$B$6,'raw2'!$D$2:$D$226,'(2020-21)'!B$7)</f>
        <v>7</v>
      </c>
      <c r="C16">
        <f>SUMIFS('raw2'!$E$2:$E$226,'raw2'!$B$2:$B$226,'(2020-21)'!$A16,'raw2'!$C$2:$C$226,'(2020-21)'!$B$6,'raw2'!$D$2:$D$226,'(2020-21)'!C$7)</f>
        <v>15</v>
      </c>
      <c r="E16">
        <f>SUMIFS('raw2'!$E$2:$E$226,'raw2'!$B$2:$B$226,'(2020-21)'!$A16,'raw2'!$C$2:$C$226,'(2020-21)'!$E$6,'raw2'!$D$2:$D$226,'(2020-21)'!E$7)</f>
        <v>0</v>
      </c>
      <c r="F16">
        <f>SUMIFS('raw2'!$E$2:$E$226,'raw2'!$B$2:$B$226,'(2020-21)'!$A16,'raw2'!$C$2:$C$226,'(2020-21)'!$E$6,'raw2'!$D$2:$D$226,'(2020-21)'!F$7)</f>
        <v>2</v>
      </c>
      <c r="H16">
        <f>SUMIFS('raw2'!$E$2:$E$226,'raw2'!$B$2:$B$226,'(2020-21)'!$A16,'raw2'!$C$2:$C$226,'(2020-21)'!$H$6,'raw2'!$D$2:$D$226,'(2020-21)'!H$7)</f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f>SUMIFS('raw2'!$E$2:$E$226,'raw2'!$B$2:$B$226,'(2020-21)'!$A17,'raw2'!$C$2:$C$226,'(2020-21)'!$B$6,'raw2'!$D$2:$D$226,'(2020-21)'!B$7)</f>
        <v>9</v>
      </c>
      <c r="C17">
        <f>SUMIFS('raw2'!$E$2:$E$226,'raw2'!$B$2:$B$226,'(2020-21)'!$A17,'raw2'!$C$2:$C$226,'(2020-21)'!$B$6,'raw2'!$D$2:$D$226,'(2020-21)'!C$7)</f>
        <v>5</v>
      </c>
      <c r="E17">
        <f>SUMIFS('raw2'!$E$2:$E$226,'raw2'!$B$2:$B$226,'(2020-21)'!$A17,'raw2'!$C$2:$C$226,'(2020-21)'!$E$6,'raw2'!$D$2:$D$226,'(2020-21)'!E$7)</f>
        <v>0</v>
      </c>
      <c r="F17">
        <f>SUMIFS('raw2'!$E$2:$E$226,'raw2'!$B$2:$B$226,'(2020-21)'!$A17,'raw2'!$C$2:$C$226,'(2020-21)'!$E$6,'raw2'!$D$2:$D$226,'(2020-21)'!F$7)</f>
        <v>2</v>
      </c>
      <c r="H17">
        <f>SUMIFS('raw2'!$E$2:$E$226,'raw2'!$B$2:$B$226,'(2020-21)'!$A17,'raw2'!$C$2:$C$226,'(2020-21)'!$H$6,'raw2'!$D$2:$D$226,'(2020-21)'!H$7)</f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f>SUMIFS('raw2'!$E$2:$E$226,'raw2'!$B$2:$B$226,'(2020-21)'!$A18,'raw2'!$C$2:$C$226,'(2020-21)'!$B$6,'raw2'!$D$2:$D$226,'(2020-21)'!B$7)</f>
        <v>6</v>
      </c>
      <c r="C18">
        <f>SUMIFS('raw2'!$E$2:$E$226,'raw2'!$B$2:$B$226,'(2020-21)'!$A18,'raw2'!$C$2:$C$226,'(2020-21)'!$B$6,'raw2'!$D$2:$D$226,'(2020-21)'!C$7)</f>
        <v>9</v>
      </c>
      <c r="E18">
        <f>SUMIFS('raw2'!$E$2:$E$226,'raw2'!$B$2:$B$226,'(2020-21)'!$A18,'raw2'!$C$2:$C$226,'(2020-21)'!$E$6,'raw2'!$D$2:$D$226,'(2020-21)'!E$7)</f>
        <v>0</v>
      </c>
      <c r="F18">
        <f>SUMIFS('raw2'!$E$2:$E$226,'raw2'!$B$2:$B$226,'(2020-21)'!$A18,'raw2'!$C$2:$C$226,'(2020-21)'!$E$6,'raw2'!$D$2:$D$226,'(2020-21)'!F$7)</f>
        <v>8</v>
      </c>
      <c r="H18">
        <f>SUMIFS('raw2'!$E$2:$E$226,'raw2'!$B$2:$B$226,'(2020-21)'!$A18,'raw2'!$C$2:$C$226,'(2020-21)'!$H$6,'raw2'!$D$2:$D$226,'(2020-21)'!H$7)</f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f>SUMIFS('raw2'!$E$2:$E$226,'raw2'!$B$2:$B$226,'(2020-21)'!$A19,'raw2'!$C$2:$C$226,'(2020-21)'!$B$6,'raw2'!$D$2:$D$226,'(2020-21)'!B$7)</f>
        <v>13</v>
      </c>
      <c r="C19">
        <f>SUMIFS('raw2'!$E$2:$E$226,'raw2'!$B$2:$B$226,'(2020-21)'!$A19,'raw2'!$C$2:$C$226,'(2020-21)'!$B$6,'raw2'!$D$2:$D$226,'(2020-21)'!C$7)</f>
        <v>18</v>
      </c>
      <c r="E19">
        <f>SUMIFS('raw2'!$E$2:$E$226,'raw2'!$B$2:$B$226,'(2020-21)'!$A19,'raw2'!$C$2:$C$226,'(2020-21)'!$E$6,'raw2'!$D$2:$D$226,'(2020-21)'!E$7)</f>
        <v>0</v>
      </c>
      <c r="F19">
        <f>SUMIFS('raw2'!$E$2:$E$226,'raw2'!$B$2:$B$226,'(2020-21)'!$A19,'raw2'!$C$2:$C$226,'(2020-21)'!$E$6,'raw2'!$D$2:$D$226,'(2020-21)'!F$7)</f>
        <v>16</v>
      </c>
      <c r="H19">
        <f>SUMIFS('raw2'!$E$2:$E$226,'raw2'!$B$2:$B$226,'(2020-21)'!$A19,'raw2'!$C$2:$C$226,'(2020-21)'!$H$6,'raw2'!$D$2:$D$226,'(2020-21)'!H$7)</f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f>SUMIFS('raw2'!$E$2:$E$226,'raw2'!$B$2:$B$226,'(2020-21)'!$A20,'raw2'!$C$2:$C$226,'(2020-21)'!$B$6,'raw2'!$D$2:$D$226,'(2020-21)'!B$7)</f>
        <v>10</v>
      </c>
      <c r="C20">
        <f>SUMIFS('raw2'!$E$2:$E$226,'raw2'!$B$2:$B$226,'(2020-21)'!$A20,'raw2'!$C$2:$C$226,'(2020-21)'!$B$6,'raw2'!$D$2:$D$226,'(2020-21)'!C$7)</f>
        <v>11</v>
      </c>
      <c r="E20">
        <f>SUMIFS('raw2'!$E$2:$E$226,'raw2'!$B$2:$B$226,'(2020-21)'!$A20,'raw2'!$C$2:$C$226,'(2020-21)'!$E$6,'raw2'!$D$2:$D$226,'(2020-21)'!E$7)</f>
        <v>1</v>
      </c>
      <c r="F20">
        <f>SUMIFS('raw2'!$E$2:$E$226,'raw2'!$B$2:$B$226,'(2020-21)'!$A20,'raw2'!$C$2:$C$226,'(2020-21)'!$E$6,'raw2'!$D$2:$D$226,'(2020-21)'!F$7)</f>
        <v>3</v>
      </c>
      <c r="H20">
        <f>SUMIFS('raw2'!$E$2:$E$226,'raw2'!$B$2:$B$226,'(2020-21)'!$A20,'raw2'!$C$2:$C$226,'(2020-21)'!$H$6,'raw2'!$D$2:$D$226,'(2020-21)'!H$7)</f>
        <v>5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f>SUMIFS('raw2'!$E$2:$E$226,'raw2'!$B$2:$B$226,'(2020-21)'!$A21,'raw2'!$C$2:$C$226,'(2020-21)'!$B$6,'raw2'!$D$2:$D$226,'(2020-21)'!B$7)</f>
        <v>5</v>
      </c>
      <c r="C21">
        <f>SUMIFS('raw2'!$E$2:$E$226,'raw2'!$B$2:$B$226,'(2020-21)'!$A21,'raw2'!$C$2:$C$226,'(2020-21)'!$B$6,'raw2'!$D$2:$D$226,'(2020-21)'!C$7)</f>
        <v>6</v>
      </c>
      <c r="E21">
        <f>SUMIFS('raw2'!$E$2:$E$226,'raw2'!$B$2:$B$226,'(2020-21)'!$A21,'raw2'!$C$2:$C$226,'(2020-21)'!$E$6,'raw2'!$D$2:$D$226,'(2020-21)'!E$7)</f>
        <v>0</v>
      </c>
      <c r="F21">
        <f>SUMIFS('raw2'!$E$2:$E$226,'raw2'!$B$2:$B$226,'(2020-21)'!$A21,'raw2'!$C$2:$C$226,'(2020-21)'!$E$6,'raw2'!$D$2:$D$226,'(2020-21)'!F$7)</f>
        <v>2</v>
      </c>
      <c r="H21">
        <f>SUMIFS('raw2'!$E$2:$E$226,'raw2'!$B$2:$B$226,'(2020-21)'!$A21,'raw2'!$C$2:$C$226,'(2020-21)'!$H$6,'raw2'!$D$2:$D$226,'(2020-21)'!H$7)</f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f>SUMIFS('raw2'!$E$2:$E$226,'raw2'!$B$2:$B$226,'(2020-21)'!$A22,'raw2'!$C$2:$C$226,'(2020-21)'!$B$6,'raw2'!$D$2:$D$226,'(2020-21)'!B$7)</f>
        <v>7</v>
      </c>
      <c r="C22">
        <f>SUMIFS('raw2'!$E$2:$E$226,'raw2'!$B$2:$B$226,'(2020-21)'!$A22,'raw2'!$C$2:$C$226,'(2020-21)'!$B$6,'raw2'!$D$2:$D$226,'(2020-21)'!C$7)</f>
        <v>13</v>
      </c>
      <c r="E22">
        <f>SUMIFS('raw2'!$E$2:$E$226,'raw2'!$B$2:$B$226,'(2020-21)'!$A22,'raw2'!$C$2:$C$226,'(2020-21)'!$E$6,'raw2'!$D$2:$D$226,'(2020-21)'!E$7)</f>
        <v>0</v>
      </c>
      <c r="F22">
        <f>SUMIFS('raw2'!$E$2:$E$226,'raw2'!$B$2:$B$226,'(2020-21)'!$A22,'raw2'!$C$2:$C$226,'(2020-21)'!$E$6,'raw2'!$D$2:$D$226,'(2020-21)'!F$7)</f>
        <v>4</v>
      </c>
      <c r="H22">
        <f>SUMIFS('raw2'!$E$2:$E$226,'raw2'!$B$2:$B$226,'(2020-21)'!$A22,'raw2'!$C$2:$C$226,'(2020-21)'!$H$6,'raw2'!$D$2:$D$226,'(2020-21)'!H$7)</f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f>SUMIFS('raw2'!$E$2:$E$226,'raw2'!$B$2:$B$226,'(2020-21)'!$A23,'raw2'!$C$2:$C$226,'(2020-21)'!$B$6,'raw2'!$D$2:$D$226,'(2020-21)'!B$7)</f>
        <v>13</v>
      </c>
      <c r="C23">
        <f>SUMIFS('raw2'!$E$2:$E$226,'raw2'!$B$2:$B$226,'(2020-21)'!$A23,'raw2'!$C$2:$C$226,'(2020-21)'!$B$6,'raw2'!$D$2:$D$226,'(2020-21)'!C$7)</f>
        <v>35</v>
      </c>
      <c r="E23">
        <f>SUMIFS('raw2'!$E$2:$E$226,'raw2'!$B$2:$B$226,'(2020-21)'!$A23,'raw2'!$C$2:$C$226,'(2020-21)'!$E$6,'raw2'!$D$2:$D$226,'(2020-21)'!E$7)</f>
        <v>1</v>
      </c>
      <c r="F23">
        <f>SUMIFS('raw2'!$E$2:$E$226,'raw2'!$B$2:$B$226,'(2020-21)'!$A23,'raw2'!$C$2:$C$226,'(2020-21)'!$E$6,'raw2'!$D$2:$D$226,'(2020-21)'!F$7)</f>
        <v>24</v>
      </c>
      <c r="H23">
        <f>SUMIFS('raw2'!$E$2:$E$226,'raw2'!$B$2:$B$226,'(2020-21)'!$A23,'raw2'!$C$2:$C$226,'(2020-21)'!$H$6,'raw2'!$D$2:$D$226,'(2020-21)'!H$7)</f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f>SUMIFS('raw2'!$E$2:$E$226,'raw2'!$B$2:$B$226,'(2020-21)'!$A24,'raw2'!$C$2:$C$226,'(2020-21)'!$B$6,'raw2'!$D$2:$D$226,'(2020-21)'!B$7)</f>
        <v>42</v>
      </c>
      <c r="C24">
        <f>SUMIFS('raw2'!$E$2:$E$226,'raw2'!$B$2:$B$226,'(2020-21)'!$A24,'raw2'!$C$2:$C$226,'(2020-21)'!$B$6,'raw2'!$D$2:$D$226,'(2020-21)'!C$7)</f>
        <v>26</v>
      </c>
      <c r="E24">
        <f>SUMIFS('raw2'!$E$2:$E$226,'raw2'!$B$2:$B$226,'(2020-21)'!$A24,'raw2'!$C$2:$C$226,'(2020-21)'!$E$6,'raw2'!$D$2:$D$226,'(2020-21)'!E$7)</f>
        <v>1</v>
      </c>
      <c r="F24">
        <f>SUMIFS('raw2'!$E$2:$E$226,'raw2'!$B$2:$B$226,'(2020-21)'!$A24,'raw2'!$C$2:$C$226,'(2020-21)'!$E$6,'raw2'!$D$2:$D$226,'(2020-21)'!F$7)</f>
        <v>31</v>
      </c>
      <c r="H24">
        <f>SUMIFS('raw2'!$E$2:$E$226,'raw2'!$B$2:$B$226,'(2020-21)'!$A24,'raw2'!$C$2:$C$226,'(2020-21)'!$H$6,'raw2'!$D$2:$D$226,'(2020-21)'!H$7)</f>
        <v>13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f>SUMIFS('raw2'!$E$2:$E$226,'raw2'!$B$2:$B$226,'(2020-21)'!$A25,'raw2'!$C$2:$C$226,'(2020-21)'!$B$6,'raw2'!$D$2:$D$226,'(2020-21)'!B$7)</f>
        <v>18</v>
      </c>
      <c r="C25">
        <f>SUMIFS('raw2'!$E$2:$E$226,'raw2'!$B$2:$B$226,'(2020-21)'!$A25,'raw2'!$C$2:$C$226,'(2020-21)'!$B$6,'raw2'!$D$2:$D$226,'(2020-21)'!C$7)</f>
        <v>46</v>
      </c>
      <c r="E25">
        <f>SUMIFS('raw2'!$E$2:$E$226,'raw2'!$B$2:$B$226,'(2020-21)'!$A25,'raw2'!$C$2:$C$226,'(2020-21)'!$E$6,'raw2'!$D$2:$D$226,'(2020-21)'!E$7)</f>
        <v>2</v>
      </c>
      <c r="F25">
        <f>SUMIFS('raw2'!$E$2:$E$226,'raw2'!$B$2:$B$226,'(2020-21)'!$A25,'raw2'!$C$2:$C$226,'(2020-21)'!$E$6,'raw2'!$D$2:$D$226,'(2020-21)'!F$7)</f>
        <v>16</v>
      </c>
      <c r="H25">
        <f>SUMIFS('raw2'!$E$2:$E$226,'raw2'!$B$2:$B$226,'(2020-21)'!$A25,'raw2'!$C$2:$C$226,'(2020-21)'!$H$6,'raw2'!$D$2:$D$226,'(2020-21)'!H$7)</f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f>SUMIFS('raw2'!$E$2:$E$226,'raw2'!$B$2:$B$226,'(2020-21)'!$A26,'raw2'!$C$2:$C$226,'(2020-21)'!$B$6,'raw2'!$D$2:$D$226,'(2020-21)'!B$7)</f>
        <v>7</v>
      </c>
      <c r="C26">
        <f>SUMIFS('raw2'!$E$2:$E$226,'raw2'!$B$2:$B$226,'(2020-21)'!$A26,'raw2'!$C$2:$C$226,'(2020-21)'!$B$6,'raw2'!$D$2:$D$226,'(2020-21)'!C$7)</f>
        <v>9</v>
      </c>
      <c r="E26">
        <f>SUMIFS('raw2'!$E$2:$E$226,'raw2'!$B$2:$B$226,'(2020-21)'!$A26,'raw2'!$C$2:$C$226,'(2020-21)'!$E$6,'raw2'!$D$2:$D$226,'(2020-21)'!E$7)</f>
        <v>0</v>
      </c>
      <c r="F26">
        <f>SUMIFS('raw2'!$E$2:$E$226,'raw2'!$B$2:$B$226,'(2020-21)'!$A26,'raw2'!$C$2:$C$226,'(2020-21)'!$E$6,'raw2'!$D$2:$D$226,'(2020-21)'!F$7)</f>
        <v>5</v>
      </c>
      <c r="H26">
        <f>SUMIFS('raw2'!$E$2:$E$226,'raw2'!$B$2:$B$226,'(2020-21)'!$A26,'raw2'!$C$2:$C$226,'(2020-21)'!$H$6,'raw2'!$D$2:$D$226,'(2020-21)'!H$7)</f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f>SUMIFS('raw2'!$E$2:$E$226,'raw2'!$B$2:$B$226,'(2020-21)'!$A27,'raw2'!$C$2:$C$226,'(2020-21)'!$B$6,'raw2'!$D$2:$D$226,'(2020-21)'!B$7)</f>
        <v>14</v>
      </c>
      <c r="C27">
        <f>SUMIFS('raw2'!$E$2:$E$226,'raw2'!$B$2:$B$226,'(2020-21)'!$A27,'raw2'!$C$2:$C$226,'(2020-21)'!$B$6,'raw2'!$D$2:$D$226,'(2020-21)'!C$7)</f>
        <v>8</v>
      </c>
      <c r="E27">
        <f>SUMIFS('raw2'!$E$2:$E$226,'raw2'!$B$2:$B$226,'(2020-21)'!$A27,'raw2'!$C$2:$C$226,'(2020-21)'!$E$6,'raw2'!$D$2:$D$226,'(2020-21)'!E$7)</f>
        <v>1</v>
      </c>
      <c r="F27">
        <f>SUMIFS('raw2'!$E$2:$E$226,'raw2'!$B$2:$B$226,'(2020-21)'!$A27,'raw2'!$C$2:$C$226,'(2020-21)'!$E$6,'raw2'!$D$2:$D$226,'(2020-21)'!F$7)</f>
        <v>7</v>
      </c>
      <c r="H27">
        <f>SUMIFS('raw2'!$E$2:$E$226,'raw2'!$B$2:$B$226,'(2020-21)'!$A27,'raw2'!$C$2:$C$226,'(2020-21)'!$H$6,'raw2'!$D$2:$D$226,'(2020-21)'!H$7)</f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f>SUMIFS('raw2'!$E$2:$E$226,'raw2'!$B$2:$B$226,'(2020-21)'!$A28,'raw2'!$C$2:$C$226,'(2020-21)'!$B$6,'raw2'!$D$2:$D$226,'(2020-21)'!B$7)</f>
        <v>26</v>
      </c>
      <c r="C28">
        <f>SUMIFS('raw2'!$E$2:$E$226,'raw2'!$B$2:$B$226,'(2020-21)'!$A28,'raw2'!$C$2:$C$226,'(2020-21)'!$B$6,'raw2'!$D$2:$D$226,'(2020-21)'!C$7)</f>
        <v>39</v>
      </c>
      <c r="E28">
        <f>SUMIFS('raw2'!$E$2:$E$226,'raw2'!$B$2:$B$226,'(2020-21)'!$A28,'raw2'!$C$2:$C$226,'(2020-21)'!$E$6,'raw2'!$D$2:$D$226,'(2020-21)'!E$7)</f>
        <v>0</v>
      </c>
      <c r="F28">
        <f>SUMIFS('raw2'!$E$2:$E$226,'raw2'!$B$2:$B$226,'(2020-21)'!$A28,'raw2'!$C$2:$C$226,'(2020-21)'!$E$6,'raw2'!$D$2:$D$226,'(2020-21)'!F$7)</f>
        <v>13</v>
      </c>
      <c r="H28">
        <f>SUMIFS('raw2'!$E$2:$E$226,'raw2'!$B$2:$B$226,'(2020-21)'!$A28,'raw2'!$C$2:$C$226,'(2020-21)'!$H$6,'raw2'!$D$2:$D$226,'(2020-21)'!H$7)</f>
        <v>0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f>SUMIFS('raw2'!$E$2:$E$226,'raw2'!$B$2:$B$226,'(2020-21)'!$A29,'raw2'!$C$2:$C$226,'(2020-21)'!$B$6,'raw2'!$D$2:$D$226,'(2020-21)'!B$7)</f>
        <v>4</v>
      </c>
      <c r="C29">
        <f>SUMIFS('raw2'!$E$2:$E$226,'raw2'!$B$2:$B$226,'(2020-21)'!$A29,'raw2'!$C$2:$C$226,'(2020-21)'!$B$6,'raw2'!$D$2:$D$226,'(2020-21)'!C$7)</f>
        <v>16</v>
      </c>
      <c r="E29">
        <f>SUMIFS('raw2'!$E$2:$E$226,'raw2'!$B$2:$B$226,'(2020-21)'!$A29,'raw2'!$C$2:$C$226,'(2020-21)'!$E$6,'raw2'!$D$2:$D$226,'(2020-21)'!E$7)</f>
        <v>0</v>
      </c>
      <c r="F29">
        <f>SUMIFS('raw2'!$E$2:$E$226,'raw2'!$B$2:$B$226,'(2020-21)'!$A29,'raw2'!$C$2:$C$226,'(2020-21)'!$E$6,'raw2'!$D$2:$D$226,'(2020-21)'!F$7)</f>
        <v>5</v>
      </c>
      <c r="H29">
        <f>SUMIFS('raw2'!$E$2:$E$226,'raw2'!$B$2:$B$226,'(2020-21)'!$A29,'raw2'!$C$2:$C$226,'(2020-21)'!$H$6,'raw2'!$D$2:$D$226,'(2020-21)'!H$7)</f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f>SUMIFS('raw2'!$E$2:$E$226,'raw2'!$B$2:$B$226,'(2020-21)'!$A30,'raw2'!$C$2:$C$226,'(2020-21)'!$B$6,'raw2'!$D$2:$D$226,'(2020-21)'!B$7)</f>
        <v>149</v>
      </c>
      <c r="C30">
        <f>SUMIFS('raw2'!$E$2:$E$226,'raw2'!$B$2:$B$226,'(2020-21)'!$A30,'raw2'!$C$2:$C$226,'(2020-21)'!$B$6,'raw2'!$D$2:$D$226,'(2020-21)'!C$7)</f>
        <v>115</v>
      </c>
      <c r="E30">
        <f>SUMIFS('raw2'!$E$2:$E$226,'raw2'!$B$2:$B$226,'(2020-21)'!$A30,'raw2'!$C$2:$C$226,'(2020-21)'!$E$6,'raw2'!$D$2:$D$226,'(2020-21)'!E$7)</f>
        <v>18</v>
      </c>
      <c r="F30">
        <f>SUMIFS('raw2'!$E$2:$E$226,'raw2'!$B$2:$B$226,'(2020-21)'!$A30,'raw2'!$C$2:$C$226,'(2020-21)'!$E$6,'raw2'!$D$2:$D$226,'(2020-21)'!F$7)</f>
        <v>43</v>
      </c>
      <c r="H30">
        <f>SUMIFS('raw2'!$E$2:$E$226,'raw2'!$B$2:$B$226,'(2020-21)'!$A30,'raw2'!$C$2:$C$226,'(2020-21)'!$H$6,'raw2'!$D$2:$D$226,'(2020-21)'!H$7)</f>
        <v>69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f>SUMIFS('raw2'!$E$2:$E$226,'raw2'!$B$2:$B$226,'(2020-21)'!$A31,'raw2'!$C$2:$C$226,'(2020-21)'!$B$6,'raw2'!$D$2:$D$226,'(2020-21)'!B$7)</f>
        <v>20</v>
      </c>
      <c r="C31">
        <f>SUMIFS('raw2'!$E$2:$E$226,'raw2'!$B$2:$B$226,'(2020-21)'!$A31,'raw2'!$C$2:$C$226,'(2020-21)'!$B$6,'raw2'!$D$2:$D$226,'(2020-21)'!C$7)</f>
        <v>27</v>
      </c>
      <c r="E31">
        <f>SUMIFS('raw2'!$E$2:$E$226,'raw2'!$B$2:$B$226,'(2020-21)'!$A31,'raw2'!$C$2:$C$226,'(2020-21)'!$E$6,'raw2'!$D$2:$D$226,'(2020-21)'!E$7)</f>
        <v>2</v>
      </c>
      <c r="F31">
        <f>SUMIFS('raw2'!$E$2:$E$226,'raw2'!$B$2:$B$226,'(2020-21)'!$A31,'raw2'!$C$2:$C$226,'(2020-21)'!$E$6,'raw2'!$D$2:$D$226,'(2020-21)'!F$7)</f>
        <v>1</v>
      </c>
      <c r="H31">
        <f>SUMIFS('raw2'!$E$2:$E$226,'raw2'!$B$2:$B$226,'(2020-21)'!$A31,'raw2'!$C$2:$C$226,'(2020-21)'!$H$6,'raw2'!$D$2:$D$226,'(2020-21)'!H$7)</f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f>SUMIFS('raw2'!$E$2:$E$226,'raw2'!$B$2:$B$226,'(2020-21)'!$A32,'raw2'!$C$2:$C$226,'(2020-21)'!$B$6,'raw2'!$D$2:$D$226,'(2020-21)'!B$7)</f>
        <v>23</v>
      </c>
      <c r="C32">
        <f>SUMIFS('raw2'!$E$2:$E$226,'raw2'!$B$2:$B$226,'(2020-21)'!$A32,'raw2'!$C$2:$C$226,'(2020-21)'!$B$6,'raw2'!$D$2:$D$226,'(2020-21)'!C$7)</f>
        <v>26</v>
      </c>
      <c r="E32">
        <f>SUMIFS('raw2'!$E$2:$E$226,'raw2'!$B$2:$B$226,'(2020-21)'!$A32,'raw2'!$C$2:$C$226,'(2020-21)'!$E$6,'raw2'!$D$2:$D$226,'(2020-21)'!E$7)</f>
        <v>3</v>
      </c>
      <c r="F32">
        <f>SUMIFS('raw2'!$E$2:$E$226,'raw2'!$B$2:$B$226,'(2020-21)'!$A32,'raw2'!$C$2:$C$226,'(2020-21)'!$E$6,'raw2'!$D$2:$D$226,'(2020-21)'!F$7)</f>
        <v>17</v>
      </c>
      <c r="H32">
        <f>SUMIFS('raw2'!$E$2:$E$226,'raw2'!$B$2:$B$226,'(2020-21)'!$A32,'raw2'!$C$2:$C$226,'(2020-21)'!$H$6,'raw2'!$D$2:$D$226,'(2020-21)'!H$7)</f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f>SUMIFS('raw2'!$E$2:$E$226,'raw2'!$B$2:$B$226,'(2020-21)'!$A33,'raw2'!$C$2:$C$226,'(2020-21)'!$B$6,'raw2'!$D$2:$D$226,'(2020-21)'!B$7)</f>
        <v>4</v>
      </c>
      <c r="C33">
        <f>SUMIFS('raw2'!$E$2:$E$226,'raw2'!$B$2:$B$226,'(2020-21)'!$A33,'raw2'!$C$2:$C$226,'(2020-21)'!$B$6,'raw2'!$D$2:$D$226,'(2020-21)'!C$7)</f>
        <v>23</v>
      </c>
      <c r="E33">
        <f>SUMIFS('raw2'!$E$2:$E$226,'raw2'!$B$2:$B$226,'(2020-21)'!$A33,'raw2'!$C$2:$C$226,'(2020-21)'!$E$6,'raw2'!$D$2:$D$226,'(2020-21)'!E$7)</f>
        <v>0</v>
      </c>
      <c r="F33">
        <f>SUMIFS('raw2'!$E$2:$E$226,'raw2'!$B$2:$B$226,'(2020-21)'!$A33,'raw2'!$C$2:$C$226,'(2020-21)'!$E$6,'raw2'!$D$2:$D$226,'(2020-21)'!F$7)</f>
        <v>11</v>
      </c>
      <c r="H33">
        <f>SUMIFS('raw2'!$E$2:$E$226,'raw2'!$B$2:$B$226,'(2020-21)'!$A33,'raw2'!$C$2:$C$226,'(2020-21)'!$H$6,'raw2'!$D$2:$D$226,'(2020-21)'!H$7)</f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f>SUMIFS('raw2'!$E$2:$E$226,'raw2'!$B$2:$B$226,'(2020-21)'!$A34,'raw2'!$C$2:$C$226,'(2020-21)'!$B$6,'raw2'!$D$2:$D$226,'(2020-21)'!B$7)</f>
        <v>16</v>
      </c>
      <c r="C34">
        <f>SUMIFS('raw2'!$E$2:$E$226,'raw2'!$B$2:$B$226,'(2020-21)'!$A34,'raw2'!$C$2:$C$226,'(2020-21)'!$B$6,'raw2'!$D$2:$D$226,'(2020-21)'!C$7)</f>
        <v>14</v>
      </c>
      <c r="E34">
        <f>SUMIFS('raw2'!$E$2:$E$226,'raw2'!$B$2:$B$226,'(2020-21)'!$A34,'raw2'!$C$2:$C$226,'(2020-21)'!$E$6,'raw2'!$D$2:$D$226,'(2020-21)'!E$7)</f>
        <v>4</v>
      </c>
      <c r="F34">
        <f>SUMIFS('raw2'!$E$2:$E$226,'raw2'!$B$2:$B$226,'(2020-21)'!$A34,'raw2'!$C$2:$C$226,'(2020-21)'!$E$6,'raw2'!$D$2:$D$226,'(2020-21)'!F$7)</f>
        <v>11</v>
      </c>
      <c r="H34">
        <f>SUMIFS('raw2'!$E$2:$E$226,'raw2'!$B$2:$B$226,'(2020-21)'!$A34,'raw2'!$C$2:$C$226,'(2020-21)'!$H$6,'raw2'!$D$2:$D$226,'(2020-21)'!H$7)</f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f>SUMIFS('raw2'!$E$2:$E$226,'raw2'!$B$2:$B$226,'(2020-21)'!$A35,'raw2'!$C$2:$C$226,'(2020-21)'!$B$6,'raw2'!$D$2:$D$226,'(2020-21)'!B$7)</f>
        <v>5</v>
      </c>
      <c r="C35">
        <f>SUMIFS('raw2'!$E$2:$E$226,'raw2'!$B$2:$B$226,'(2020-21)'!$A35,'raw2'!$C$2:$C$226,'(2020-21)'!$B$6,'raw2'!$D$2:$D$226,'(2020-21)'!C$7)</f>
        <v>19</v>
      </c>
      <c r="E35">
        <f>SUMIFS('raw2'!$E$2:$E$226,'raw2'!$B$2:$B$226,'(2020-21)'!$A35,'raw2'!$C$2:$C$226,'(2020-21)'!$E$6,'raw2'!$D$2:$D$226,'(2020-21)'!E$7)</f>
        <v>0</v>
      </c>
      <c r="F35">
        <f>SUMIFS('raw2'!$E$2:$E$226,'raw2'!$B$2:$B$226,'(2020-21)'!$A35,'raw2'!$C$2:$C$226,'(2020-21)'!$E$6,'raw2'!$D$2:$D$226,'(2020-21)'!F$7)</f>
        <v>14</v>
      </c>
      <c r="H35">
        <f>SUMIFS('raw2'!$E$2:$E$226,'raw2'!$B$2:$B$226,'(2020-21)'!$A35,'raw2'!$C$2:$C$226,'(2020-21)'!$H$6,'raw2'!$D$2:$D$226,'(2020-21)'!H$7)</f>
        <v>4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f>SUMIFS('raw2'!$E$2:$E$226,'raw2'!$B$2:$B$226,'(2020-21)'!$A36,'raw2'!$C$2:$C$226,'(2020-21)'!$B$6,'raw2'!$D$2:$D$226,'(2020-21)'!B$7)</f>
        <v>1</v>
      </c>
      <c r="C36">
        <f>SUMIFS('raw2'!$E$2:$E$226,'raw2'!$B$2:$B$226,'(2020-21)'!$A36,'raw2'!$C$2:$C$226,'(2020-21)'!$B$6,'raw2'!$D$2:$D$226,'(2020-21)'!C$7)</f>
        <v>3</v>
      </c>
      <c r="E36">
        <f>SUMIFS('raw2'!$E$2:$E$226,'raw2'!$B$2:$B$226,'(2020-21)'!$A36,'raw2'!$C$2:$C$226,'(2020-21)'!$E$6,'raw2'!$D$2:$D$226,'(2020-21)'!E$7)</f>
        <v>0</v>
      </c>
      <c r="F36">
        <f>SUMIFS('raw2'!$E$2:$E$226,'raw2'!$B$2:$B$226,'(2020-21)'!$A36,'raw2'!$C$2:$C$226,'(2020-21)'!$E$6,'raw2'!$D$2:$D$226,'(2020-21)'!F$7)</f>
        <v>1</v>
      </c>
      <c r="H36">
        <f>SUMIFS('raw2'!$E$2:$E$226,'raw2'!$B$2:$B$226,'(2020-21)'!$A36,'raw2'!$C$2:$C$226,'(2020-21)'!$H$6,'raw2'!$D$2:$D$226,'(2020-21)'!H$7)</f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f>SUMIFS('raw2'!$E$2:$E$226,'raw2'!$B$2:$B$226,'(2020-21)'!$A37,'raw2'!$C$2:$C$226,'(2020-21)'!$B$6,'raw2'!$D$2:$D$226,'(2020-21)'!B$7)</f>
        <v>0</v>
      </c>
      <c r="C37">
        <f>SUMIFS('raw2'!$E$2:$E$226,'raw2'!$B$2:$B$226,'(2020-21)'!$A37,'raw2'!$C$2:$C$226,'(2020-21)'!$B$6,'raw2'!$D$2:$D$226,'(2020-21)'!C$7)</f>
        <v>0</v>
      </c>
      <c r="E37">
        <f>SUMIFS('raw2'!$E$2:$E$226,'raw2'!$B$2:$B$226,'(2020-21)'!$A37,'raw2'!$C$2:$C$226,'(2020-21)'!$E$6,'raw2'!$D$2:$D$226,'(2020-21)'!E$7)</f>
        <v>0</v>
      </c>
      <c r="F37">
        <f>SUMIFS('raw2'!$E$2:$E$226,'raw2'!$B$2:$B$226,'(2020-21)'!$A37,'raw2'!$C$2:$C$226,'(2020-21)'!$E$6,'raw2'!$D$2:$D$226,'(2020-21)'!F$7)</f>
        <v>0</v>
      </c>
      <c r="H37">
        <f>SUMIFS('raw2'!$E$2:$E$226,'raw2'!$B$2:$B$226,'(2020-21)'!$A37,'raw2'!$C$2:$C$226,'(2020-21)'!$H$6,'raw2'!$D$2:$D$226,'(2020-21)'!H$7)</f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f>SUMIFS('raw2'!$E$2:$E$226,'raw2'!$B$2:$B$226,'(2020-21)'!$A38,'raw2'!$C$2:$C$226,'(2020-21)'!$B$6,'raw2'!$D$2:$D$226,'(2020-21)'!B$7)</f>
        <v>19</v>
      </c>
      <c r="C38">
        <f>SUMIFS('raw2'!$E$2:$E$226,'raw2'!$B$2:$B$226,'(2020-21)'!$A38,'raw2'!$C$2:$C$226,'(2020-21)'!$B$6,'raw2'!$D$2:$D$226,'(2020-21)'!C$7)</f>
        <v>55</v>
      </c>
      <c r="E38">
        <f>SUMIFS('raw2'!$E$2:$E$226,'raw2'!$B$2:$B$226,'(2020-21)'!$A38,'raw2'!$C$2:$C$226,'(2020-21)'!$E$6,'raw2'!$D$2:$D$226,'(2020-21)'!E$7)</f>
        <v>1</v>
      </c>
      <c r="F38">
        <f>SUMIFS('raw2'!$E$2:$E$226,'raw2'!$B$2:$B$226,'(2020-21)'!$A38,'raw2'!$C$2:$C$226,'(2020-21)'!$E$6,'raw2'!$D$2:$D$226,'(2020-21)'!F$7)</f>
        <v>32</v>
      </c>
      <c r="H38">
        <f>SUMIFS('raw2'!$E$2:$E$226,'raw2'!$B$2:$B$226,'(2020-21)'!$A38,'raw2'!$C$2:$C$226,'(2020-21)'!$H$6,'raw2'!$D$2:$D$226,'(2020-21)'!H$7)</f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f>SUMIFS('raw2'!$E$2:$E$226,'raw2'!$B$2:$B$226,'(2020-21)'!$A39,'raw2'!$C$2:$C$226,'(2020-21)'!$B$6,'raw2'!$D$2:$D$226,'(2020-21)'!B$7)</f>
        <v>25</v>
      </c>
      <c r="C39">
        <f>SUMIFS('raw2'!$E$2:$E$226,'raw2'!$B$2:$B$226,'(2020-21)'!$A39,'raw2'!$C$2:$C$226,'(2020-21)'!$B$6,'raw2'!$D$2:$D$226,'(2020-21)'!C$7)</f>
        <v>31</v>
      </c>
      <c r="E39">
        <f>SUMIFS('raw2'!$E$2:$E$226,'raw2'!$B$2:$B$226,'(2020-21)'!$A39,'raw2'!$C$2:$C$226,'(2020-21)'!$E$6,'raw2'!$D$2:$D$226,'(2020-21)'!E$7)</f>
        <v>2</v>
      </c>
      <c r="F39">
        <f>SUMIFS('raw2'!$E$2:$E$226,'raw2'!$B$2:$B$226,'(2020-21)'!$A39,'raw2'!$C$2:$C$226,'(2020-21)'!$E$6,'raw2'!$D$2:$D$226,'(2020-21)'!F$7)</f>
        <v>8</v>
      </c>
      <c r="H39">
        <f>SUMIFS('raw2'!$E$2:$E$226,'raw2'!$B$2:$B$226,'(2020-21)'!$A39,'raw2'!$C$2:$C$226,'(2020-21)'!$H$6,'raw2'!$D$2:$D$226,'(2020-21)'!H$7)</f>
        <v>1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f>SUMIFS('raw2'!$E$2:$E$226,'raw2'!$B$2:$B$226,'(2020-21)'!$A40,'raw2'!$C$2:$C$226,'(2020-21)'!$B$6,'raw2'!$D$2:$D$226,'(2020-21)'!B$7)</f>
        <v>16</v>
      </c>
      <c r="C40">
        <f>SUMIFS('raw2'!$E$2:$E$226,'raw2'!$B$2:$B$226,'(2020-21)'!$A40,'raw2'!$C$2:$C$226,'(2020-21)'!$B$6,'raw2'!$D$2:$D$226,'(2020-21)'!C$7)</f>
        <v>19</v>
      </c>
      <c r="E40">
        <f>SUMIFS('raw2'!$E$2:$E$226,'raw2'!$B$2:$B$226,'(2020-21)'!$A40,'raw2'!$C$2:$C$226,'(2020-21)'!$E$6,'raw2'!$D$2:$D$226,'(2020-21)'!E$7)</f>
        <v>1</v>
      </c>
      <c r="F40">
        <f>SUMIFS('raw2'!$E$2:$E$226,'raw2'!$B$2:$B$226,'(2020-21)'!$A40,'raw2'!$C$2:$C$226,'(2020-21)'!$E$6,'raw2'!$D$2:$D$226,'(2020-21)'!F$7)</f>
        <v>4</v>
      </c>
      <c r="H40">
        <f>SUMIFS('raw2'!$E$2:$E$226,'raw2'!$B$2:$B$226,'(2020-21)'!$A40,'raw2'!$C$2:$C$226,'(2020-21)'!$H$6,'raw2'!$D$2:$D$226,'(2020-21)'!H$7)</f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f>SUMIFS('raw2'!$E$2:$E$226,'raw2'!$B$2:$B$226,'(2020-21)'!$A41,'raw2'!$C$2:$C$226,'(2020-21)'!$B$6,'raw2'!$D$2:$D$226,'(2020-21)'!B$7)</f>
        <v>7</v>
      </c>
      <c r="C41">
        <f>SUMIFS('raw2'!$E$2:$E$226,'raw2'!$B$2:$B$226,'(2020-21)'!$A41,'raw2'!$C$2:$C$226,'(2020-21)'!$B$6,'raw2'!$D$2:$D$226,'(2020-21)'!C$7)</f>
        <v>14</v>
      </c>
      <c r="E41">
        <f>SUMIFS('raw2'!$E$2:$E$226,'raw2'!$B$2:$B$226,'(2020-21)'!$A41,'raw2'!$C$2:$C$226,'(2020-21)'!$E$6,'raw2'!$D$2:$D$226,'(2020-21)'!E$7)</f>
        <v>0</v>
      </c>
      <c r="F41">
        <f>SUMIFS('raw2'!$E$2:$E$226,'raw2'!$B$2:$B$226,'(2020-21)'!$A41,'raw2'!$C$2:$C$226,'(2020-21)'!$E$6,'raw2'!$D$2:$D$226,'(2020-21)'!F$7)</f>
        <v>6</v>
      </c>
      <c r="H41">
        <f>SUMIFS('raw2'!$E$2:$E$226,'raw2'!$B$2:$B$226,'(2020-21)'!$A41,'raw2'!$C$2:$C$226,'(2020-21)'!$H$6,'raw2'!$D$2:$D$226,'(2020-21)'!H$7)</f>
        <v>0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f>SUMIFS('raw2'!$E$2:$E$226,'raw2'!$B$2:$B$226,'(2020-21)'!$A42,'raw2'!$C$2:$C$226,'(2020-21)'!$B$6,'raw2'!$D$2:$D$226,'(2020-21)'!B$7)</f>
        <v>13</v>
      </c>
      <c r="C42">
        <f>SUMIFS('raw2'!$E$2:$E$226,'raw2'!$B$2:$B$226,'(2020-21)'!$A42,'raw2'!$C$2:$C$226,'(2020-21)'!$B$6,'raw2'!$D$2:$D$226,'(2020-21)'!C$7)</f>
        <v>47</v>
      </c>
      <c r="E42">
        <f>SUMIFS('raw2'!$E$2:$E$226,'raw2'!$B$2:$B$226,'(2020-21)'!$A42,'raw2'!$C$2:$C$226,'(2020-21)'!$E$6,'raw2'!$D$2:$D$226,'(2020-21)'!E$7)</f>
        <v>0</v>
      </c>
      <c r="F42">
        <f>SUMIFS('raw2'!$E$2:$E$226,'raw2'!$B$2:$B$226,'(2020-21)'!$A42,'raw2'!$C$2:$C$226,'(2020-21)'!$E$6,'raw2'!$D$2:$D$226,'(2020-21)'!F$7)</f>
        <v>13</v>
      </c>
      <c r="H42">
        <f>SUMIFS('raw2'!$E$2:$E$226,'raw2'!$B$2:$B$226,'(2020-21)'!$A42,'raw2'!$C$2:$C$226,'(2020-21)'!$H$6,'raw2'!$D$2:$D$226,'(2020-21)'!H$7)</f>
        <v>0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f>SUMIFS('raw2'!$E$2:$E$226,'raw2'!$B$2:$B$226,'(2020-21)'!$A43,'raw2'!$C$2:$C$226,'(2020-21)'!$B$6,'raw2'!$D$2:$D$226,'(2020-21)'!B$7)</f>
        <v>34</v>
      </c>
      <c r="C43">
        <f>SUMIFS('raw2'!$E$2:$E$226,'raw2'!$B$2:$B$226,'(2020-21)'!$A43,'raw2'!$C$2:$C$226,'(2020-21)'!$B$6,'raw2'!$D$2:$D$226,'(2020-21)'!C$7)</f>
        <v>10</v>
      </c>
      <c r="E43">
        <f>SUMIFS('raw2'!$E$2:$E$226,'raw2'!$B$2:$B$226,'(2020-21)'!$A43,'raw2'!$C$2:$C$226,'(2020-21)'!$E$6,'raw2'!$D$2:$D$226,'(2020-21)'!E$7)</f>
        <v>2</v>
      </c>
      <c r="F43">
        <f>SUMIFS('raw2'!$E$2:$E$226,'raw2'!$B$2:$B$226,'(2020-21)'!$A43,'raw2'!$C$2:$C$226,'(2020-21)'!$E$6,'raw2'!$D$2:$D$226,'(2020-21)'!F$7)</f>
        <v>9</v>
      </c>
      <c r="H43">
        <f>SUMIFS('raw2'!$E$2:$E$226,'raw2'!$B$2:$B$226,'(2020-21)'!$A43,'raw2'!$C$2:$C$226,'(2020-21)'!$H$6,'raw2'!$D$2:$D$226,'(2020-21)'!H$7)</f>
        <v>2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f>SUMIFS('raw2'!$E$2:$E$226,'raw2'!$B$2:$B$226,'(2020-21)'!$A44,'raw2'!$C$2:$C$226,'(2020-21)'!$B$6,'raw2'!$D$2:$D$226,'(2020-21)'!B$7)</f>
        <v>20</v>
      </c>
      <c r="C44">
        <f>SUMIFS('raw2'!$E$2:$E$226,'raw2'!$B$2:$B$226,'(2020-21)'!$A44,'raw2'!$C$2:$C$226,'(2020-21)'!$B$6,'raw2'!$D$2:$D$226,'(2020-21)'!C$7)</f>
        <v>13</v>
      </c>
      <c r="E44">
        <f>SUMIFS('raw2'!$E$2:$E$226,'raw2'!$B$2:$B$226,'(2020-21)'!$A44,'raw2'!$C$2:$C$226,'(2020-21)'!$E$6,'raw2'!$D$2:$D$226,'(2020-21)'!E$7)</f>
        <v>1</v>
      </c>
      <c r="F44">
        <f>SUMIFS('raw2'!$E$2:$E$226,'raw2'!$B$2:$B$226,'(2020-21)'!$A44,'raw2'!$C$2:$C$226,'(2020-21)'!$E$6,'raw2'!$D$2:$D$226,'(2020-21)'!F$7)</f>
        <v>11</v>
      </c>
      <c r="H44">
        <f>SUMIFS('raw2'!$E$2:$E$226,'raw2'!$B$2:$B$226,'(2020-21)'!$A44,'raw2'!$C$2:$C$226,'(2020-21)'!$H$6,'raw2'!$D$2:$D$226,'(2020-21)'!H$7)</f>
        <v>3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f>SUMIFS('raw2'!$E$2:$E$226,'raw2'!$B$2:$B$226,'(2020-21)'!$A45,'raw2'!$C$2:$C$226,'(2020-21)'!$B$6,'raw2'!$D$2:$D$226,'(2020-21)'!B$7)</f>
        <v>13</v>
      </c>
      <c r="C45">
        <f>SUMIFS('raw2'!$E$2:$E$226,'raw2'!$B$2:$B$226,'(2020-21)'!$A45,'raw2'!$C$2:$C$226,'(2020-21)'!$B$6,'raw2'!$D$2:$D$226,'(2020-21)'!C$7)</f>
        <v>11</v>
      </c>
      <c r="E45">
        <f>SUMIFS('raw2'!$E$2:$E$226,'raw2'!$B$2:$B$226,'(2020-21)'!$A45,'raw2'!$C$2:$C$226,'(2020-21)'!$E$6,'raw2'!$D$2:$D$226,'(2020-21)'!E$7)</f>
        <v>1</v>
      </c>
      <c r="F45">
        <f>SUMIFS('raw2'!$E$2:$E$226,'raw2'!$B$2:$B$226,'(2020-21)'!$A45,'raw2'!$C$2:$C$226,'(2020-21)'!$E$6,'raw2'!$D$2:$D$226,'(2020-21)'!F$7)</f>
        <v>5</v>
      </c>
      <c r="H45">
        <f>SUMIFS('raw2'!$E$2:$E$226,'raw2'!$B$2:$B$226,'(2020-21)'!$A45,'raw2'!$C$2:$C$226,'(2020-21)'!$H$6,'raw2'!$D$2:$D$226,'(2020-21)'!H$7)</f>
        <v>1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f>SUMIFS('raw2'!$E$2:$E$226,'raw2'!$B$2:$B$226,'(2020-21)'!$A46,'raw2'!$C$2:$C$226,'(2020-21)'!$B$6,'raw2'!$D$2:$D$226,'(2020-21)'!B$7)</f>
        <v>9</v>
      </c>
      <c r="C46">
        <f>SUMIFS('raw2'!$E$2:$E$226,'raw2'!$B$2:$B$226,'(2020-21)'!$A46,'raw2'!$C$2:$C$226,'(2020-21)'!$B$6,'raw2'!$D$2:$D$226,'(2020-21)'!C$7)</f>
        <v>14</v>
      </c>
      <c r="E46">
        <f>SUMIFS('raw2'!$E$2:$E$226,'raw2'!$B$2:$B$226,'(2020-21)'!$A46,'raw2'!$C$2:$C$226,'(2020-21)'!$E$6,'raw2'!$D$2:$D$226,'(2020-21)'!E$7)</f>
        <v>0</v>
      </c>
      <c r="F46">
        <f>SUMIFS('raw2'!$E$2:$E$226,'raw2'!$B$2:$B$226,'(2020-21)'!$A46,'raw2'!$C$2:$C$226,'(2020-21)'!$E$6,'raw2'!$D$2:$D$226,'(2020-21)'!F$7)</f>
        <v>8</v>
      </c>
      <c r="H46">
        <f>SUMIFS('raw2'!$E$2:$E$226,'raw2'!$B$2:$B$226,'(2020-21)'!$A46,'raw2'!$C$2:$C$226,'(2020-21)'!$H$6,'raw2'!$D$2:$D$226,'(2020-21)'!H$7)</f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f>SUMIFS('raw2'!$E$2:$E$226,'raw2'!$B$2:$B$226,'(2020-21)'!$A47,'raw2'!$C$2:$C$226,'(2020-21)'!$B$6,'raw2'!$D$2:$D$226,'(2020-21)'!B$7)</f>
        <v>8</v>
      </c>
      <c r="C47">
        <f>SUMIFS('raw2'!$E$2:$E$226,'raw2'!$B$2:$B$226,'(2020-21)'!$A47,'raw2'!$C$2:$C$226,'(2020-21)'!$B$6,'raw2'!$D$2:$D$226,'(2020-21)'!C$7)</f>
        <v>23</v>
      </c>
      <c r="E47">
        <f>SUMIFS('raw2'!$E$2:$E$226,'raw2'!$B$2:$B$226,'(2020-21)'!$A47,'raw2'!$C$2:$C$226,'(2020-21)'!$E$6,'raw2'!$D$2:$D$226,'(2020-21)'!E$7)</f>
        <v>0</v>
      </c>
      <c r="F47">
        <f>SUMIFS('raw2'!$E$2:$E$226,'raw2'!$B$2:$B$226,'(2020-21)'!$A47,'raw2'!$C$2:$C$226,'(2020-21)'!$E$6,'raw2'!$D$2:$D$226,'(2020-21)'!F$7)</f>
        <v>4</v>
      </c>
      <c r="H47">
        <f>SUMIFS('raw2'!$E$2:$E$226,'raw2'!$B$2:$B$226,'(2020-21)'!$A47,'raw2'!$C$2:$C$226,'(2020-21)'!$H$6,'raw2'!$D$2:$D$226,'(2020-21)'!H$7)</f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f>SUMIFS('raw2'!$E$2:$E$226,'raw2'!$B$2:$B$226,'(2020-21)'!$A48,'raw2'!$C$2:$C$226,'(2020-21)'!$B$6,'raw2'!$D$2:$D$226,'(2020-21)'!B$7)</f>
        <v>10</v>
      </c>
      <c r="C48">
        <f>SUMIFS('raw2'!$E$2:$E$226,'raw2'!$B$2:$B$226,'(2020-21)'!$A48,'raw2'!$C$2:$C$226,'(2020-21)'!$B$6,'raw2'!$D$2:$D$226,'(2020-21)'!C$7)</f>
        <v>11</v>
      </c>
      <c r="E48">
        <f>SUMIFS('raw2'!$E$2:$E$226,'raw2'!$B$2:$B$226,'(2020-21)'!$A48,'raw2'!$C$2:$C$226,'(2020-21)'!$E$6,'raw2'!$D$2:$D$226,'(2020-21)'!E$7)</f>
        <v>1</v>
      </c>
      <c r="F48">
        <f>SUMIFS('raw2'!$E$2:$E$226,'raw2'!$B$2:$B$226,'(2020-21)'!$A48,'raw2'!$C$2:$C$226,'(2020-21)'!$E$6,'raw2'!$D$2:$D$226,'(2020-21)'!F$7)</f>
        <v>3</v>
      </c>
      <c r="H48">
        <f>SUMIFS('raw2'!$E$2:$E$226,'raw2'!$B$2:$B$226,'(2020-21)'!$A48,'raw2'!$C$2:$C$226,'(2020-21)'!$H$6,'raw2'!$D$2:$D$226,'(2020-21)'!H$7)</f>
        <v>5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f>SUMIFS('raw2'!$E$2:$E$226,'raw2'!$B$2:$B$226,'(2020-21)'!$A49,'raw2'!$C$2:$C$226,'(2020-21)'!$B$6,'raw2'!$D$2:$D$226,'(2020-21)'!B$7)</f>
        <v>17</v>
      </c>
      <c r="C49">
        <f>SUMIFS('raw2'!$E$2:$E$226,'raw2'!$B$2:$B$226,'(2020-21)'!$A49,'raw2'!$C$2:$C$226,'(2020-21)'!$B$6,'raw2'!$D$2:$D$226,'(2020-21)'!C$7)</f>
        <v>9</v>
      </c>
      <c r="E49">
        <f>SUMIFS('raw2'!$E$2:$E$226,'raw2'!$B$2:$B$226,'(2020-21)'!$A49,'raw2'!$C$2:$C$226,'(2020-21)'!$E$6,'raw2'!$D$2:$D$226,'(2020-21)'!E$7)</f>
        <v>2</v>
      </c>
      <c r="F49">
        <f>SUMIFS('raw2'!$E$2:$E$226,'raw2'!$B$2:$B$226,'(2020-21)'!$A49,'raw2'!$C$2:$C$226,'(2020-21)'!$E$6,'raw2'!$D$2:$D$226,'(2020-21)'!F$7)</f>
        <v>6</v>
      </c>
      <c r="H49">
        <f>SUMIFS('raw2'!$E$2:$E$226,'raw2'!$B$2:$B$226,'(2020-21)'!$A49,'raw2'!$C$2:$C$226,'(2020-21)'!$H$6,'raw2'!$D$2:$D$226,'(2020-21)'!H$7)</f>
        <v>2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f>SUMIFS('raw2'!$E$2:$E$226,'raw2'!$B$2:$B$226,'(2020-21)'!$A50,'raw2'!$C$2:$C$226,'(2020-21)'!$B$6,'raw2'!$D$2:$D$226,'(2020-21)'!B$7)</f>
        <v>16</v>
      </c>
      <c r="C50">
        <f>SUMIFS('raw2'!$E$2:$E$226,'raw2'!$B$2:$B$226,'(2020-21)'!$A50,'raw2'!$C$2:$C$226,'(2020-21)'!$B$6,'raw2'!$D$2:$D$226,'(2020-21)'!C$7)</f>
        <v>18</v>
      </c>
      <c r="E50">
        <f>SUMIFS('raw2'!$E$2:$E$226,'raw2'!$B$2:$B$226,'(2020-21)'!$A50,'raw2'!$C$2:$C$226,'(2020-21)'!$E$6,'raw2'!$D$2:$D$226,'(2020-21)'!E$7)</f>
        <v>0</v>
      </c>
      <c r="F50">
        <f>SUMIFS('raw2'!$E$2:$E$226,'raw2'!$B$2:$B$226,'(2020-21)'!$A50,'raw2'!$C$2:$C$226,'(2020-21)'!$E$6,'raw2'!$D$2:$D$226,'(2020-21)'!F$7)</f>
        <v>5</v>
      </c>
      <c r="H50">
        <f>SUMIFS('raw2'!$E$2:$E$226,'raw2'!$B$2:$B$226,'(2020-21)'!$A50,'raw2'!$C$2:$C$226,'(2020-21)'!$H$6,'raw2'!$D$2:$D$226,'(2020-21)'!H$7)</f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f>SUMIFS('raw2'!$E$2:$E$226,'raw2'!$B$2:$B$226,'(2020-21)'!$A51,'raw2'!$C$2:$C$226,'(2020-21)'!$B$6,'raw2'!$D$2:$D$226,'(2020-21)'!B$7)</f>
        <v>7</v>
      </c>
      <c r="C51">
        <f>SUMIFS('raw2'!$E$2:$E$226,'raw2'!$B$2:$B$226,'(2020-21)'!$A51,'raw2'!$C$2:$C$226,'(2020-21)'!$B$6,'raw2'!$D$2:$D$226,'(2020-21)'!C$7)</f>
        <v>21</v>
      </c>
      <c r="E51">
        <f>SUMIFS('raw2'!$E$2:$E$226,'raw2'!$B$2:$B$226,'(2020-21)'!$A51,'raw2'!$C$2:$C$226,'(2020-21)'!$E$6,'raw2'!$D$2:$D$226,'(2020-21)'!E$7)</f>
        <v>0</v>
      </c>
      <c r="F51">
        <f>SUMIFS('raw2'!$E$2:$E$226,'raw2'!$B$2:$B$226,'(2020-21)'!$A51,'raw2'!$C$2:$C$226,'(2020-21)'!$E$6,'raw2'!$D$2:$D$226,'(2020-21)'!F$7)</f>
        <v>5</v>
      </c>
      <c r="H51">
        <f>SUMIFS('raw2'!$E$2:$E$226,'raw2'!$B$2:$B$226,'(2020-21)'!$A51,'raw2'!$C$2:$C$226,'(2020-21)'!$H$6,'raw2'!$D$2:$D$226,'(2020-21)'!H$7)</f>
        <v>1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f>SUMIFS('raw2'!$E$2:$E$226,'raw2'!$B$2:$B$226,'(2020-21)'!$A52,'raw2'!$C$2:$C$226,'(2020-21)'!$B$6,'raw2'!$D$2:$D$226,'(2020-21)'!B$7)</f>
        <v>3</v>
      </c>
      <c r="C52">
        <f>SUMIFS('raw2'!$E$2:$E$226,'raw2'!$B$2:$B$226,'(2020-21)'!$A52,'raw2'!$C$2:$C$226,'(2020-21)'!$B$6,'raw2'!$D$2:$D$226,'(2020-21)'!C$7)</f>
        <v>6</v>
      </c>
      <c r="E52">
        <f>SUMIFS('raw2'!$E$2:$E$226,'raw2'!$B$2:$B$226,'(2020-21)'!$A52,'raw2'!$C$2:$C$226,'(2020-21)'!$E$6,'raw2'!$D$2:$D$226,'(2020-21)'!E$7)</f>
        <v>0</v>
      </c>
      <c r="F52">
        <f>SUMIFS('raw2'!$E$2:$E$226,'raw2'!$B$2:$B$226,'(2020-21)'!$A52,'raw2'!$C$2:$C$226,'(2020-21)'!$E$6,'raw2'!$D$2:$D$226,'(2020-21)'!F$7)</f>
        <v>3</v>
      </c>
      <c r="H52">
        <f>SUMIFS('raw2'!$E$2:$E$226,'raw2'!$B$2:$B$226,'(2020-21)'!$A52,'raw2'!$C$2:$C$226,'(2020-21)'!$H$6,'raw2'!$D$2:$D$226,'(2020-21)'!H$7)</f>
        <v>1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f>SUMIFS('raw2'!$E$2:$E$226,'raw2'!$B$2:$B$226,'(2020-21)'!$A53,'raw2'!$C$2:$C$226,'(2020-21)'!$B$6,'raw2'!$D$2:$D$226,'(2020-21)'!B$7)</f>
        <v>6</v>
      </c>
      <c r="C53">
        <f>SUMIFS('raw2'!$E$2:$E$226,'raw2'!$B$2:$B$226,'(2020-21)'!$A53,'raw2'!$C$2:$C$226,'(2020-21)'!$B$6,'raw2'!$D$2:$D$226,'(2020-21)'!C$7)</f>
        <v>18</v>
      </c>
      <c r="E53">
        <f>SUMIFS('raw2'!$E$2:$E$226,'raw2'!$B$2:$B$226,'(2020-21)'!$A53,'raw2'!$C$2:$C$226,'(2020-21)'!$E$6,'raw2'!$D$2:$D$226,'(2020-21)'!E$7)</f>
        <v>1</v>
      </c>
      <c r="F53">
        <f>SUMIFS('raw2'!$E$2:$E$226,'raw2'!$B$2:$B$226,'(2020-21)'!$A53,'raw2'!$C$2:$C$226,'(2020-21)'!$E$6,'raw2'!$D$2:$D$226,'(2020-21)'!F$7)</f>
        <v>10</v>
      </c>
      <c r="H53">
        <f>SUMIFS('raw2'!$E$2:$E$226,'raw2'!$B$2:$B$226,'(2020-21)'!$A53,'raw2'!$C$2:$C$226,'(2020-21)'!$H$6,'raw2'!$D$2:$D$226,'(2020-21)'!H$7)</f>
        <v>1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f>SUMIFS('raw2'!$E$2:$E$226,'raw2'!$B$2:$B$226,'(2020-21)'!$A54,'raw2'!$C$2:$C$226,'(2020-21)'!$B$6,'raw2'!$D$2:$D$226,'(2020-21)'!B$7)</f>
        <v>5</v>
      </c>
      <c r="C54">
        <f>SUMIFS('raw2'!$E$2:$E$226,'raw2'!$B$2:$B$226,'(2020-21)'!$A54,'raw2'!$C$2:$C$226,'(2020-21)'!$B$6,'raw2'!$D$2:$D$226,'(2020-21)'!C$7)</f>
        <v>17</v>
      </c>
      <c r="E54">
        <f>SUMIFS('raw2'!$E$2:$E$226,'raw2'!$B$2:$B$226,'(2020-21)'!$A54,'raw2'!$C$2:$C$226,'(2020-21)'!$E$6,'raw2'!$D$2:$D$226,'(2020-21)'!E$7)</f>
        <v>1</v>
      </c>
      <c r="F54">
        <f>SUMIFS('raw2'!$E$2:$E$226,'raw2'!$B$2:$B$226,'(2020-21)'!$A54,'raw2'!$C$2:$C$226,'(2020-21)'!$E$6,'raw2'!$D$2:$D$226,'(2020-21)'!F$7)</f>
        <v>11</v>
      </c>
      <c r="H54">
        <f>SUMIFS('raw2'!$E$2:$E$226,'raw2'!$B$2:$B$226,'(2020-21)'!$A54,'raw2'!$C$2:$C$226,'(2020-21)'!$H$6,'raw2'!$D$2:$D$226,'(2020-21)'!H$7)</f>
        <v>1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f>SUMIFS('raw2'!$E$2:$E$226,'raw2'!$B$2:$B$226,'(2020-21)'!$A55,'raw2'!$C$2:$C$226,'(2020-21)'!$B$6,'raw2'!$D$2:$D$226,'(2020-21)'!B$7)</f>
        <v>11</v>
      </c>
      <c r="C55">
        <f>SUMIFS('raw2'!$E$2:$E$226,'raw2'!$B$2:$B$226,'(2020-21)'!$A55,'raw2'!$C$2:$C$226,'(2020-21)'!$B$6,'raw2'!$D$2:$D$226,'(2020-21)'!C$7)</f>
        <v>8</v>
      </c>
      <c r="E55">
        <f>SUMIFS('raw2'!$E$2:$E$226,'raw2'!$B$2:$B$226,'(2020-21)'!$A55,'raw2'!$C$2:$C$226,'(2020-21)'!$E$6,'raw2'!$D$2:$D$226,'(2020-21)'!E$7)</f>
        <v>1</v>
      </c>
      <c r="F55">
        <f>SUMIFS('raw2'!$E$2:$E$226,'raw2'!$B$2:$B$226,'(2020-21)'!$A55,'raw2'!$C$2:$C$226,'(2020-21)'!$E$6,'raw2'!$D$2:$D$226,'(2020-21)'!F$7)</f>
        <v>3</v>
      </c>
      <c r="H55">
        <f>SUMIFS('raw2'!$E$2:$E$226,'raw2'!$B$2:$B$226,'(2020-21)'!$A55,'raw2'!$C$2:$C$226,'(2020-21)'!$H$6,'raw2'!$D$2:$D$226,'(2020-21)'!H$7)</f>
        <v>0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f>SUMIFS('raw2'!$E$2:$E$226,'raw2'!$B$2:$B$226,'(2020-21)'!$A56,'raw2'!$C$2:$C$226,'(2020-21)'!$B$6,'raw2'!$D$2:$D$226,'(2020-21)'!B$7)</f>
        <v>28</v>
      </c>
      <c r="C56">
        <f>SUMIFS('raw2'!$E$2:$E$226,'raw2'!$B$2:$B$226,'(2020-21)'!$A56,'raw2'!$C$2:$C$226,'(2020-21)'!$B$6,'raw2'!$D$2:$D$226,'(2020-21)'!C$7)</f>
        <v>34</v>
      </c>
      <c r="E56">
        <f>SUMIFS('raw2'!$E$2:$E$226,'raw2'!$B$2:$B$226,'(2020-21)'!$A56,'raw2'!$C$2:$C$226,'(2020-21)'!$E$6,'raw2'!$D$2:$D$226,'(2020-21)'!E$7)</f>
        <v>0</v>
      </c>
      <c r="F56">
        <f>SUMIFS('raw2'!$E$2:$E$226,'raw2'!$B$2:$B$226,'(2020-21)'!$A56,'raw2'!$C$2:$C$226,'(2020-21)'!$E$6,'raw2'!$D$2:$D$226,'(2020-21)'!F$7)</f>
        <v>11</v>
      </c>
      <c r="H56">
        <f>SUMIFS('raw2'!$E$2:$E$226,'raw2'!$B$2:$B$226,'(2020-21)'!$A56,'raw2'!$C$2:$C$226,'(2020-21)'!$H$6,'raw2'!$D$2:$D$226,'(2020-21)'!H$7)</f>
        <v>1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f>SUMIFS('raw2'!$E$2:$E$226,'raw2'!$B$2:$B$226,'(2020-21)'!$A57,'raw2'!$C$2:$C$226,'(2020-21)'!$B$6,'raw2'!$D$2:$D$226,'(2020-21)'!B$7)</f>
        <v>6</v>
      </c>
      <c r="C57">
        <f>SUMIFS('raw2'!$E$2:$E$226,'raw2'!$B$2:$B$226,'(2020-21)'!$A57,'raw2'!$C$2:$C$226,'(2020-21)'!$B$6,'raw2'!$D$2:$D$226,'(2020-21)'!C$7)</f>
        <v>15</v>
      </c>
      <c r="E57">
        <f>SUMIFS('raw2'!$E$2:$E$226,'raw2'!$B$2:$B$226,'(2020-21)'!$A57,'raw2'!$C$2:$C$226,'(2020-21)'!$E$6,'raw2'!$D$2:$D$226,'(2020-21)'!E$7)</f>
        <v>0</v>
      </c>
      <c r="F57">
        <f>SUMIFS('raw2'!$E$2:$E$226,'raw2'!$B$2:$B$226,'(2020-21)'!$A57,'raw2'!$C$2:$C$226,'(2020-21)'!$E$6,'raw2'!$D$2:$D$226,'(2020-21)'!F$7)</f>
        <v>17</v>
      </c>
      <c r="H57">
        <f>SUMIFS('raw2'!$E$2:$E$226,'raw2'!$B$2:$B$226,'(2020-21)'!$A57,'raw2'!$C$2:$C$226,'(2020-21)'!$H$6,'raw2'!$D$2:$D$226,'(2020-21)'!H$7)</f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f>SUMIFS('raw2'!$E$2:$E$226,'raw2'!$B$2:$B$226,'(2020-21)'!$A58,'raw2'!$C$2:$C$226,'(2020-21)'!$B$6,'raw2'!$D$2:$D$226,'(2020-21)'!B$7)</f>
        <v>27</v>
      </c>
      <c r="C58">
        <f>SUMIFS('raw2'!$E$2:$E$226,'raw2'!$B$2:$B$226,'(2020-21)'!$A58,'raw2'!$C$2:$C$226,'(2020-21)'!$B$6,'raw2'!$D$2:$D$226,'(2020-21)'!C$7)</f>
        <v>20</v>
      </c>
      <c r="E58">
        <f>SUMIFS('raw2'!$E$2:$E$226,'raw2'!$B$2:$B$226,'(2020-21)'!$A58,'raw2'!$C$2:$C$226,'(2020-21)'!$E$6,'raw2'!$D$2:$D$226,'(2020-21)'!E$7)</f>
        <v>3</v>
      </c>
      <c r="F58">
        <f>SUMIFS('raw2'!$E$2:$E$226,'raw2'!$B$2:$B$226,'(2020-21)'!$A58,'raw2'!$C$2:$C$226,'(2020-21)'!$E$6,'raw2'!$D$2:$D$226,'(2020-21)'!F$7)</f>
        <v>14</v>
      </c>
      <c r="H58">
        <f>SUMIFS('raw2'!$E$2:$E$226,'raw2'!$B$2:$B$226,'(2020-21)'!$A58,'raw2'!$C$2:$C$226,'(2020-21)'!$H$6,'raw2'!$D$2:$D$226,'(2020-21)'!H$7)</f>
        <v>3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7B4A-B4D4-45FA-A119-0A10E5AA9233}">
  <sheetPr codeName="Sheet10"/>
  <dimension ref="A1:AJ115"/>
  <sheetViews>
    <sheetView workbookViewId="0">
      <pane ySplit="6" topLeftCell="A7" activePane="bottomLeft" state="frozen"/>
      <selection pane="bottomLeft"/>
    </sheetView>
  </sheetViews>
  <sheetFormatPr defaultColWidth="8.7265625" defaultRowHeight="14.5" x14ac:dyDescent="0.35"/>
  <cols>
    <col min="1" max="1" width="22.7265625" style="1" customWidth="1"/>
    <col min="2" max="3" width="12.7265625" style="1" customWidth="1"/>
    <col min="4" max="4" width="4.7265625" style="1" customWidth="1"/>
    <col min="5" max="6" width="12.7265625" style="1" customWidth="1"/>
    <col min="7" max="7" width="4.7265625" style="1" customWidth="1"/>
    <col min="8" max="8" width="12.7265625" style="1" customWidth="1"/>
    <col min="9" max="12" width="8.7265625" style="1"/>
    <col min="13" max="13" width="8.7265625" style="1" customWidth="1"/>
    <col min="14" max="14" width="7.453125" style="1" hidden="1" customWidth="1"/>
    <col min="15" max="15" width="8.7265625" style="1" customWidth="1"/>
    <col min="16" max="16384" width="8.7265625" style="1"/>
  </cols>
  <sheetData>
    <row r="1" spans="1:36" s="3" customFormat="1" ht="17" x14ac:dyDescent="0.5">
      <c r="A1" s="46" t="s">
        <v>185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36" ht="30.75" customHeight="1" x14ac:dyDescent="0.35">
      <c r="A2" s="47" t="s">
        <v>186</v>
      </c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spans="1:36" ht="15" customHeight="1" thickBot="1" x14ac:dyDescent="0.4">
      <c r="A3" s="48" t="s">
        <v>187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6" s="3" customFormat="1" ht="31.5" customHeight="1" thickBot="1" x14ac:dyDescent="0.4">
      <c r="A4" s="2"/>
      <c r="B4" s="76" t="s">
        <v>188</v>
      </c>
      <c r="C4" s="76"/>
      <c r="D4" s="77"/>
      <c r="E4" s="76" t="s">
        <v>2</v>
      </c>
      <c r="F4" s="76"/>
      <c r="G4" s="78"/>
      <c r="H4" s="79" t="s">
        <v>189</v>
      </c>
      <c r="I4" s="2"/>
      <c r="J4" s="2"/>
      <c r="K4" s="2"/>
      <c r="L4" s="2"/>
      <c r="M4" s="2"/>
      <c r="N4" s="6"/>
      <c r="O4" s="6"/>
      <c r="Q4" s="6"/>
      <c r="R4" s="6"/>
      <c r="T4" s="6"/>
      <c r="U4" s="6"/>
      <c r="V4" s="6"/>
      <c r="W4" s="6"/>
      <c r="X4" s="6"/>
    </row>
    <row r="5" spans="1:36" s="8" customFormat="1" ht="17" thickBot="1" x14ac:dyDescent="0.4">
      <c r="A5" s="7" t="s">
        <v>190</v>
      </c>
      <c r="B5" s="80" t="s">
        <v>5</v>
      </c>
      <c r="C5" s="80" t="s">
        <v>6</v>
      </c>
      <c r="D5" s="81"/>
      <c r="E5" s="80" t="s">
        <v>5</v>
      </c>
      <c r="F5" s="80" t="s">
        <v>6</v>
      </c>
      <c r="G5" s="81"/>
      <c r="H5" s="80"/>
      <c r="P5" s="4"/>
    </row>
    <row r="6" spans="1:36" ht="15" customHeight="1" x14ac:dyDescent="0.35">
      <c r="A6" s="9" t="s">
        <v>7</v>
      </c>
      <c r="B6" s="10">
        <f ca="1">ROUND(FIRE1402_working!B8,0)</f>
        <v>707</v>
      </c>
      <c r="C6" s="10">
        <f ca="1">ROUND(FIRE1402_working!C8,0)</f>
        <v>930</v>
      </c>
      <c r="D6" s="10"/>
      <c r="E6" s="10">
        <f ca="1">ROUND(FIRE1402_working!E8,0)</f>
        <v>50</v>
      </c>
      <c r="F6" s="10">
        <f ca="1">ROUND(FIRE1402_working!F8,0)</f>
        <v>434</v>
      </c>
      <c r="G6" s="10"/>
      <c r="H6" s="10">
        <f ca="1">ROUND(FIRE1402_working!H8,0)</f>
        <v>116</v>
      </c>
      <c r="I6" s="4"/>
      <c r="J6" s="87"/>
      <c r="K6" s="4"/>
      <c r="L6" s="4"/>
      <c r="N6" s="11"/>
      <c r="O6" s="11"/>
      <c r="Q6" s="11"/>
      <c r="R6" s="11"/>
      <c r="T6" s="12"/>
      <c r="U6" s="12"/>
      <c r="V6" s="12"/>
      <c r="W6" s="12"/>
      <c r="X6" s="1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x14ac:dyDescent="0.35">
      <c r="A7" s="22" t="s">
        <v>8</v>
      </c>
      <c r="B7" s="10">
        <f ca="1">ROUND(FIRE1402_working!B9,0)</f>
        <v>449</v>
      </c>
      <c r="C7" s="10">
        <f ca="1">ROUND(FIRE1402_working!C9,0)</f>
        <v>652</v>
      </c>
      <c r="D7" s="10"/>
      <c r="E7" s="10">
        <f ca="1">ROUND(FIRE1402_working!E9,0)</f>
        <v>26</v>
      </c>
      <c r="F7" s="10">
        <f ca="1">ROUND(FIRE1402_working!F9,0)</f>
        <v>336</v>
      </c>
      <c r="G7" s="10"/>
      <c r="H7" s="10">
        <f ca="1">ROUND(FIRE1402_working!H9,0)</f>
        <v>41</v>
      </c>
      <c r="J7" s="87"/>
    </row>
    <row r="8" spans="1:36" x14ac:dyDescent="0.35">
      <c r="A8" s="22" t="s">
        <v>9</v>
      </c>
      <c r="B8" s="10">
        <f ca="1">ROUND(FIRE1402_working!B10,0)</f>
        <v>258</v>
      </c>
      <c r="C8" s="10">
        <f ca="1">ROUND(FIRE1402_working!C10,0)</f>
        <v>278</v>
      </c>
      <c r="D8" s="10"/>
      <c r="E8" s="10">
        <f ca="1">ROUND(FIRE1402_working!E10,0)</f>
        <v>24</v>
      </c>
      <c r="F8" s="10">
        <f ca="1">ROUND(FIRE1402_working!F10,0)</f>
        <v>98</v>
      </c>
      <c r="G8" s="10"/>
      <c r="H8" s="10">
        <f ca="1">ROUND(FIRE1402_working!H10,0)</f>
        <v>75</v>
      </c>
      <c r="J8" s="87"/>
    </row>
    <row r="9" spans="1:36" x14ac:dyDescent="0.35">
      <c r="A9" s="22" t="s">
        <v>10</v>
      </c>
      <c r="B9" s="10">
        <f ca="1">ROUND(FIRE1402_working!B11,0)</f>
        <v>361</v>
      </c>
      <c r="C9" s="10">
        <f ca="1">ROUND(FIRE1402_working!C11,0)</f>
        <v>431</v>
      </c>
      <c r="D9" s="10"/>
      <c r="E9" s="10">
        <f ca="1">ROUND(FIRE1402_working!E11,0)</f>
        <v>35</v>
      </c>
      <c r="F9" s="10">
        <f ca="1">ROUND(FIRE1402_working!F11,0)</f>
        <v>155</v>
      </c>
      <c r="G9" s="10"/>
      <c r="H9" s="10">
        <f ca="1">ROUND(FIRE1402_working!H11,0)</f>
        <v>82</v>
      </c>
      <c r="J9" s="87"/>
    </row>
    <row r="10" spans="1:36" x14ac:dyDescent="0.35">
      <c r="A10" s="22" t="s">
        <v>11</v>
      </c>
      <c r="B10" s="10">
        <f ca="1">ROUND(FIRE1402_working!B12,0)</f>
        <v>178</v>
      </c>
      <c r="C10" s="10">
        <f ca="1">ROUND(FIRE1402_working!C12,0)</f>
        <v>356</v>
      </c>
      <c r="D10" s="10"/>
      <c r="E10" s="10">
        <f ca="1">ROUND(FIRE1402_working!E12,0)</f>
        <v>8</v>
      </c>
      <c r="F10" s="10">
        <f ca="1">ROUND(FIRE1402_working!F12,0)</f>
        <v>182</v>
      </c>
      <c r="G10" s="10"/>
      <c r="H10" s="10">
        <f ca="1">ROUND(FIRE1402_working!H12,0)</f>
        <v>8</v>
      </c>
      <c r="J10" s="87"/>
    </row>
    <row r="11" spans="1:36" x14ac:dyDescent="0.35">
      <c r="A11" s="22" t="s">
        <v>12</v>
      </c>
      <c r="B11" s="10">
        <f ca="1">ROUND(FIRE1402_working!B13,0)</f>
        <v>168</v>
      </c>
      <c r="C11" s="10">
        <f ca="1">ROUND(FIRE1402_working!C13,0)</f>
        <v>143</v>
      </c>
      <c r="D11" s="10"/>
      <c r="E11" s="10">
        <f ca="1">ROUND(FIRE1402_working!E13,0)</f>
        <v>7</v>
      </c>
      <c r="F11" s="10">
        <f ca="1">ROUND(FIRE1402_working!F13,0)</f>
        <v>97</v>
      </c>
      <c r="G11" s="10"/>
      <c r="H11" s="10">
        <f ca="1">ROUND(FIRE1402_working!H13,0)</f>
        <v>26</v>
      </c>
      <c r="J11" s="87"/>
    </row>
    <row r="12" spans="1:36" x14ac:dyDescent="0.35">
      <c r="A12" s="1" t="s">
        <v>13</v>
      </c>
      <c r="B12" s="19">
        <f ca="1">ROUND(FIRE1402_working!B14,0)</f>
        <v>8</v>
      </c>
      <c r="C12" s="19">
        <f ca="1">ROUND(FIRE1402_working!C14,0)</f>
        <v>15</v>
      </c>
      <c r="D12" s="19"/>
      <c r="E12" s="19">
        <f ca="1">ROUND(FIRE1402_working!E14,0)</f>
        <v>0</v>
      </c>
      <c r="F12" s="19">
        <f ca="1">ROUND(FIRE1402_working!F14,0)</f>
        <v>2</v>
      </c>
      <c r="G12" s="19"/>
      <c r="H12" s="19">
        <f ca="1">ROUND(FIRE1402_working!H14,0)</f>
        <v>0</v>
      </c>
      <c r="J12" s="87"/>
    </row>
    <row r="13" spans="1:36" x14ac:dyDescent="0.35">
      <c r="A13" s="1" t="s">
        <v>14</v>
      </c>
      <c r="B13" s="19">
        <f ca="1">ROUND(FIRE1402_working!B15,0)</f>
        <v>0</v>
      </c>
      <c r="C13" s="19">
        <f ca="1">ROUND(FIRE1402_working!C15,0)</f>
        <v>18</v>
      </c>
      <c r="D13" s="19"/>
      <c r="E13" s="19">
        <f ca="1">ROUND(FIRE1402_working!E15,0)</f>
        <v>0</v>
      </c>
      <c r="F13" s="19">
        <f ca="1">ROUND(FIRE1402_working!F15,0)</f>
        <v>8</v>
      </c>
      <c r="G13" s="19"/>
      <c r="H13" s="19">
        <f ca="1">ROUND(FIRE1402_working!H15,0)</f>
        <v>0</v>
      </c>
      <c r="J13" s="87"/>
    </row>
    <row r="14" spans="1:36" x14ac:dyDescent="0.35">
      <c r="A14" s="1" t="s">
        <v>15</v>
      </c>
      <c r="B14" s="19">
        <f ca="1">ROUND(FIRE1402_working!B16,0)</f>
        <v>7</v>
      </c>
      <c r="C14" s="19">
        <f ca="1">ROUND(FIRE1402_working!C16,0)</f>
        <v>15</v>
      </c>
      <c r="D14" s="19"/>
      <c r="E14" s="19">
        <f ca="1">ROUND(FIRE1402_working!E16,0)</f>
        <v>0</v>
      </c>
      <c r="F14" s="19">
        <f ca="1">ROUND(FIRE1402_working!F16,0)</f>
        <v>2</v>
      </c>
      <c r="G14" s="19"/>
      <c r="H14" s="19">
        <f ca="1">ROUND(FIRE1402_working!H16,0)</f>
        <v>0</v>
      </c>
      <c r="J14" s="87"/>
    </row>
    <row r="15" spans="1:36" x14ac:dyDescent="0.35">
      <c r="A15" s="1" t="s">
        <v>16</v>
      </c>
      <c r="B15" s="19">
        <f ca="1">ROUND(FIRE1402_working!B17,0)</f>
        <v>9</v>
      </c>
      <c r="C15" s="19">
        <f ca="1">ROUND(FIRE1402_working!C17,0)</f>
        <v>5</v>
      </c>
      <c r="D15" s="19"/>
      <c r="E15" s="19">
        <f ca="1">ROUND(FIRE1402_working!E17,0)</f>
        <v>0</v>
      </c>
      <c r="F15" s="19">
        <f ca="1">ROUND(FIRE1402_working!F17,0)</f>
        <v>2</v>
      </c>
      <c r="G15" s="19"/>
      <c r="H15" s="19">
        <f ca="1">ROUND(FIRE1402_working!H17,0)</f>
        <v>0</v>
      </c>
      <c r="J15" s="87"/>
    </row>
    <row r="16" spans="1:36" x14ac:dyDescent="0.35">
      <c r="A16" s="1" t="s">
        <v>17</v>
      </c>
      <c r="B16" s="19">
        <f ca="1">ROUND(FIRE1402_working!B18,0)</f>
        <v>6</v>
      </c>
      <c r="C16" s="19">
        <f ca="1">ROUND(FIRE1402_working!C18,0)</f>
        <v>9</v>
      </c>
      <c r="D16" s="19"/>
      <c r="E16" s="19">
        <f ca="1">ROUND(FIRE1402_working!E18,0)</f>
        <v>0</v>
      </c>
      <c r="F16" s="19">
        <f ca="1">ROUND(FIRE1402_working!F18,0)</f>
        <v>8</v>
      </c>
      <c r="G16" s="19"/>
      <c r="H16" s="19">
        <f ca="1">ROUND(FIRE1402_working!H18,0)</f>
        <v>0</v>
      </c>
      <c r="J16" s="87"/>
    </row>
    <row r="17" spans="1:10" x14ac:dyDescent="0.35">
      <c r="A17" s="1" t="s">
        <v>18</v>
      </c>
      <c r="B17" s="19">
        <f ca="1">ROUND(FIRE1402_working!B19,0)</f>
        <v>13</v>
      </c>
      <c r="C17" s="19">
        <f ca="1">ROUND(FIRE1402_working!C19,0)</f>
        <v>18</v>
      </c>
      <c r="D17" s="19"/>
      <c r="E17" s="19">
        <f ca="1">ROUND(FIRE1402_working!E19,0)</f>
        <v>0</v>
      </c>
      <c r="F17" s="19">
        <f ca="1">ROUND(FIRE1402_working!F19,0)</f>
        <v>16</v>
      </c>
      <c r="G17" s="19"/>
      <c r="H17" s="19">
        <f ca="1">ROUND(FIRE1402_working!H19,0)</f>
        <v>0</v>
      </c>
      <c r="J17" s="87"/>
    </row>
    <row r="18" spans="1:10" x14ac:dyDescent="0.35">
      <c r="A18" s="1" t="s">
        <v>19</v>
      </c>
      <c r="B18" s="19">
        <f ca="1">ROUND(FIRE1402_working!B20,0)</f>
        <v>10</v>
      </c>
      <c r="C18" s="19">
        <f ca="1">ROUND(FIRE1402_working!C20,0)</f>
        <v>11</v>
      </c>
      <c r="D18" s="19"/>
      <c r="E18" s="19">
        <f ca="1">ROUND(FIRE1402_working!E20,0)</f>
        <v>1</v>
      </c>
      <c r="F18" s="19">
        <f ca="1">ROUND(FIRE1402_working!F20,0)</f>
        <v>3</v>
      </c>
      <c r="G18" s="19"/>
      <c r="H18" s="19">
        <f ca="1">ROUND(FIRE1402_working!H20,0)</f>
        <v>5</v>
      </c>
      <c r="J18" s="87"/>
    </row>
    <row r="19" spans="1:10" x14ac:dyDescent="0.35">
      <c r="A19" s="1" t="s">
        <v>20</v>
      </c>
      <c r="B19" s="19">
        <f ca="1">ROUND(FIRE1402_working!B21,0)</f>
        <v>5</v>
      </c>
      <c r="C19" s="19">
        <f ca="1">ROUND(FIRE1402_working!C21,0)</f>
        <v>6</v>
      </c>
      <c r="D19" s="19"/>
      <c r="E19" s="19">
        <f ca="1">ROUND(FIRE1402_working!E21,0)</f>
        <v>0</v>
      </c>
      <c r="F19" s="19">
        <f ca="1">ROUND(FIRE1402_working!F21,0)</f>
        <v>2</v>
      </c>
      <c r="G19" s="19"/>
      <c r="H19" s="19">
        <f ca="1">ROUND(FIRE1402_working!H21,0)</f>
        <v>0</v>
      </c>
      <c r="J19" s="87"/>
    </row>
    <row r="20" spans="1:10" x14ac:dyDescent="0.35">
      <c r="A20" s="1" t="s">
        <v>21</v>
      </c>
      <c r="B20" s="19">
        <f ca="1">ROUND(FIRE1402_working!B22,0)</f>
        <v>7</v>
      </c>
      <c r="C20" s="19">
        <f ca="1">ROUND(FIRE1402_working!C22,0)</f>
        <v>13</v>
      </c>
      <c r="D20" s="19"/>
      <c r="E20" s="19">
        <f ca="1">ROUND(FIRE1402_working!E22,0)</f>
        <v>0</v>
      </c>
      <c r="F20" s="19">
        <f ca="1">ROUND(FIRE1402_working!F22,0)</f>
        <v>4</v>
      </c>
      <c r="G20" s="19"/>
      <c r="H20" s="19">
        <f ca="1">ROUND(FIRE1402_working!H22,0)</f>
        <v>0</v>
      </c>
      <c r="J20" s="87"/>
    </row>
    <row r="21" spans="1:10" x14ac:dyDescent="0.35">
      <c r="A21" s="1" t="s">
        <v>22</v>
      </c>
      <c r="B21" s="19">
        <f ca="1">ROUND(FIRE1402_working!B23,0)</f>
        <v>13</v>
      </c>
      <c r="C21" s="19">
        <f ca="1">ROUND(FIRE1402_working!C23,0)</f>
        <v>35</v>
      </c>
      <c r="D21" s="19"/>
      <c r="E21" s="19">
        <f ca="1">ROUND(FIRE1402_working!E23,0)</f>
        <v>1</v>
      </c>
      <c r="F21" s="19">
        <f ca="1">ROUND(FIRE1402_working!F23,0)</f>
        <v>24</v>
      </c>
      <c r="G21" s="19"/>
      <c r="H21" s="19">
        <f ca="1">ROUND(FIRE1402_working!H23,0)</f>
        <v>1</v>
      </c>
      <c r="J21" s="87"/>
    </row>
    <row r="22" spans="1:10" x14ac:dyDescent="0.35">
      <c r="A22" s="1" t="s">
        <v>23</v>
      </c>
      <c r="B22" s="19">
        <f ca="1">ROUND(FIRE1402_working!B24,0)</f>
        <v>42</v>
      </c>
      <c r="C22" s="19">
        <f ca="1">ROUND(FIRE1402_working!C24,0)</f>
        <v>26</v>
      </c>
      <c r="D22" s="19"/>
      <c r="E22" s="19">
        <f ca="1">ROUND(FIRE1402_working!E24,0)</f>
        <v>1</v>
      </c>
      <c r="F22" s="19">
        <f ca="1">ROUND(FIRE1402_working!F24,0)</f>
        <v>31</v>
      </c>
      <c r="G22" s="19"/>
      <c r="H22" s="19">
        <f ca="1">ROUND(FIRE1402_working!H24,0)</f>
        <v>13</v>
      </c>
      <c r="J22" s="87"/>
    </row>
    <row r="23" spans="1:10" x14ac:dyDescent="0.35">
      <c r="A23" s="1" t="s">
        <v>24</v>
      </c>
      <c r="B23" s="19">
        <f ca="1">ROUND(FIRE1402_working!B25,0)</f>
        <v>18</v>
      </c>
      <c r="C23" s="19">
        <f ca="1">ROUND(FIRE1402_working!C25,0)</f>
        <v>46</v>
      </c>
      <c r="D23" s="19"/>
      <c r="E23" s="19">
        <f ca="1">ROUND(FIRE1402_working!E25,0)</f>
        <v>2</v>
      </c>
      <c r="F23" s="19">
        <f ca="1">ROUND(FIRE1402_working!F25,0)</f>
        <v>16</v>
      </c>
      <c r="G23" s="19"/>
      <c r="H23" s="19">
        <f ca="1">ROUND(FIRE1402_working!H25,0)</f>
        <v>0</v>
      </c>
      <c r="J23" s="87"/>
    </row>
    <row r="24" spans="1:10" x14ac:dyDescent="0.35">
      <c r="A24" s="1" t="s">
        <v>25</v>
      </c>
      <c r="B24" s="19">
        <f ca="1">ROUND(FIRE1402_working!B26,0)</f>
        <v>7</v>
      </c>
      <c r="C24" s="19">
        <f ca="1">ROUND(FIRE1402_working!C26,0)</f>
        <v>9</v>
      </c>
      <c r="D24" s="19"/>
      <c r="E24" s="19">
        <f ca="1">ROUND(FIRE1402_working!E26,0)</f>
        <v>0</v>
      </c>
      <c r="F24" s="19">
        <f ca="1">ROUND(FIRE1402_working!F26,0)</f>
        <v>5</v>
      </c>
      <c r="G24" s="19"/>
      <c r="H24" s="19">
        <f ca="1">ROUND(FIRE1402_working!H26,0)</f>
        <v>0</v>
      </c>
      <c r="J24" s="87"/>
    </row>
    <row r="25" spans="1:10" x14ac:dyDescent="0.35">
      <c r="A25" s="1" t="s">
        <v>26</v>
      </c>
      <c r="B25" s="19">
        <f ca="1">ROUND(FIRE1402_working!B27,0)</f>
        <v>14</v>
      </c>
      <c r="C25" s="19">
        <f ca="1">ROUND(FIRE1402_working!C27,0)</f>
        <v>8</v>
      </c>
      <c r="D25" s="19"/>
      <c r="E25" s="19">
        <f ca="1">ROUND(FIRE1402_working!E27,0)</f>
        <v>1</v>
      </c>
      <c r="F25" s="19">
        <f ca="1">ROUND(FIRE1402_working!F27,0)</f>
        <v>7</v>
      </c>
      <c r="G25" s="19"/>
      <c r="H25" s="19">
        <f ca="1">ROUND(FIRE1402_working!H27,0)</f>
        <v>0</v>
      </c>
      <c r="J25" s="87"/>
    </row>
    <row r="26" spans="1:10" x14ac:dyDescent="0.35">
      <c r="A26" s="1" t="s">
        <v>27</v>
      </c>
      <c r="B26" s="19">
        <f ca="1">ROUND(FIRE1402_working!B28,0)</f>
        <v>26</v>
      </c>
      <c r="C26" s="19">
        <f ca="1">ROUND(FIRE1402_working!C28,0)</f>
        <v>39</v>
      </c>
      <c r="D26" s="19"/>
      <c r="E26" s="19">
        <f ca="1">ROUND(FIRE1402_working!E28,0)</f>
        <v>0</v>
      </c>
      <c r="F26" s="19">
        <f ca="1">ROUND(FIRE1402_working!F28,0)</f>
        <v>13</v>
      </c>
      <c r="G26" s="19"/>
      <c r="H26" s="19">
        <f ca="1">ROUND(FIRE1402_working!H28,0)</f>
        <v>0</v>
      </c>
      <c r="J26" s="87"/>
    </row>
    <row r="27" spans="1:10" x14ac:dyDescent="0.35">
      <c r="A27" s="1" t="s">
        <v>28</v>
      </c>
      <c r="B27" s="19">
        <f ca="1">ROUND(FIRE1402_working!B29,0)</f>
        <v>4</v>
      </c>
      <c r="C27" s="19">
        <f ca="1">ROUND(FIRE1402_working!C29,0)</f>
        <v>16</v>
      </c>
      <c r="D27" s="19"/>
      <c r="E27" s="19">
        <f ca="1">ROUND(FIRE1402_working!E29,0)</f>
        <v>0</v>
      </c>
      <c r="F27" s="19">
        <f ca="1">ROUND(FIRE1402_working!F29,0)</f>
        <v>5</v>
      </c>
      <c r="G27" s="19"/>
      <c r="H27" s="19">
        <f ca="1">ROUND(FIRE1402_working!H29,0)</f>
        <v>0</v>
      </c>
      <c r="J27" s="87"/>
    </row>
    <row r="28" spans="1:10" x14ac:dyDescent="0.35">
      <c r="A28" s="1" t="s">
        <v>29</v>
      </c>
      <c r="B28" s="19">
        <f ca="1">ROUND(FIRE1402_working!B30,0)</f>
        <v>149</v>
      </c>
      <c r="C28" s="19">
        <f ca="1">ROUND(FIRE1402_working!C30,0)</f>
        <v>115</v>
      </c>
      <c r="D28" s="19"/>
      <c r="E28" s="19">
        <f ca="1">ROUND(FIRE1402_working!E30,0)</f>
        <v>18</v>
      </c>
      <c r="F28" s="19">
        <f ca="1">ROUND(FIRE1402_working!F30,0)</f>
        <v>43</v>
      </c>
      <c r="G28" s="19"/>
      <c r="H28" s="19">
        <f ca="1">ROUND(FIRE1402_working!H30,0)</f>
        <v>69</v>
      </c>
      <c r="J28" s="87"/>
    </row>
    <row r="29" spans="1:10" x14ac:dyDescent="0.35">
      <c r="A29" s="1" t="s">
        <v>30</v>
      </c>
      <c r="B29" s="19">
        <f ca="1">ROUND(FIRE1402_working!B31,0)</f>
        <v>20</v>
      </c>
      <c r="C29" s="19">
        <f ca="1">ROUND(FIRE1402_working!C31,0)</f>
        <v>27</v>
      </c>
      <c r="D29" s="19"/>
      <c r="E29" s="19">
        <f ca="1">ROUND(FIRE1402_working!E31,0)</f>
        <v>2</v>
      </c>
      <c r="F29" s="19">
        <f ca="1">ROUND(FIRE1402_working!F31,0)</f>
        <v>1</v>
      </c>
      <c r="G29" s="19"/>
      <c r="H29" s="19">
        <f ca="1">ROUND(FIRE1402_working!H31,0)</f>
        <v>1</v>
      </c>
      <c r="J29" s="87"/>
    </row>
    <row r="30" spans="1:10" x14ac:dyDescent="0.35">
      <c r="A30" s="1" t="s">
        <v>31</v>
      </c>
      <c r="B30" s="19">
        <f ca="1">ROUND(FIRE1402_working!B32,0)</f>
        <v>23</v>
      </c>
      <c r="C30" s="19">
        <f ca="1">ROUND(FIRE1402_working!C32,0)</f>
        <v>26</v>
      </c>
      <c r="D30" s="19"/>
      <c r="E30" s="19">
        <f ca="1">ROUND(FIRE1402_working!E32,0)</f>
        <v>3</v>
      </c>
      <c r="F30" s="19">
        <f ca="1">ROUND(FIRE1402_working!F32,0)</f>
        <v>17</v>
      </c>
      <c r="G30" s="19"/>
      <c r="H30" s="19">
        <f ca="1">ROUND(FIRE1402_working!H32,0)</f>
        <v>0</v>
      </c>
      <c r="J30" s="87"/>
    </row>
    <row r="31" spans="1:10" x14ac:dyDescent="0.35">
      <c r="A31" s="1" t="s">
        <v>32</v>
      </c>
      <c r="B31" s="19">
        <f ca="1">ROUND(FIRE1402_working!B33,0)</f>
        <v>4</v>
      </c>
      <c r="C31" s="19">
        <f ca="1">ROUND(FIRE1402_working!C33,0)</f>
        <v>23</v>
      </c>
      <c r="D31" s="19"/>
      <c r="E31" s="19">
        <f ca="1">ROUND(FIRE1402_working!E33,0)</f>
        <v>0</v>
      </c>
      <c r="F31" s="19">
        <f ca="1">ROUND(FIRE1402_working!F33,0)</f>
        <v>11</v>
      </c>
      <c r="G31" s="19"/>
      <c r="H31" s="19">
        <f ca="1">ROUND(FIRE1402_working!H33,0)</f>
        <v>0</v>
      </c>
      <c r="J31" s="87"/>
    </row>
    <row r="32" spans="1:10" x14ac:dyDescent="0.35">
      <c r="A32" s="1" t="s">
        <v>33</v>
      </c>
      <c r="B32" s="19">
        <f ca="1">ROUND(FIRE1402_working!B34,0)</f>
        <v>16</v>
      </c>
      <c r="C32" s="19">
        <f ca="1">ROUND(FIRE1402_working!C34,0)</f>
        <v>14</v>
      </c>
      <c r="D32" s="19"/>
      <c r="E32" s="19">
        <f ca="1">ROUND(FIRE1402_working!E34,0)</f>
        <v>4</v>
      </c>
      <c r="F32" s="19">
        <f ca="1">ROUND(FIRE1402_working!F34,0)</f>
        <v>11</v>
      </c>
      <c r="G32" s="19"/>
      <c r="H32" s="19">
        <f ca="1">ROUND(FIRE1402_working!H34,0)</f>
        <v>0</v>
      </c>
      <c r="J32" s="87"/>
    </row>
    <row r="33" spans="1:10" x14ac:dyDescent="0.35">
      <c r="A33" s="1" t="s">
        <v>34</v>
      </c>
      <c r="B33" s="19">
        <f ca="1">ROUND(FIRE1402_working!B35,0)</f>
        <v>5</v>
      </c>
      <c r="C33" s="19">
        <f ca="1">ROUND(FIRE1402_working!C35,0)</f>
        <v>19</v>
      </c>
      <c r="D33" s="19"/>
      <c r="E33" s="19">
        <f ca="1">ROUND(FIRE1402_working!E35,0)</f>
        <v>0</v>
      </c>
      <c r="F33" s="19">
        <f ca="1">ROUND(FIRE1402_working!F35,0)</f>
        <v>14</v>
      </c>
      <c r="G33" s="19"/>
      <c r="H33" s="19">
        <f ca="1">ROUND(FIRE1402_working!H35,0)</f>
        <v>4</v>
      </c>
      <c r="J33" s="87"/>
    </row>
    <row r="34" spans="1:10" x14ac:dyDescent="0.35">
      <c r="A34" s="1" t="s">
        <v>35</v>
      </c>
      <c r="B34" s="19">
        <f ca="1">ROUND(FIRE1402_working!B36,0)</f>
        <v>1</v>
      </c>
      <c r="C34" s="19">
        <f ca="1">ROUND(FIRE1402_working!C36,0)</f>
        <v>3</v>
      </c>
      <c r="D34" s="19"/>
      <c r="E34" s="19">
        <f ca="1">ROUND(FIRE1402_working!E36,0)</f>
        <v>0</v>
      </c>
      <c r="F34" s="19">
        <f ca="1">ROUND(FIRE1402_working!F36,0)</f>
        <v>1</v>
      </c>
      <c r="G34" s="19"/>
      <c r="H34" s="19">
        <f ca="1">ROUND(FIRE1402_working!H36,0)</f>
        <v>0</v>
      </c>
      <c r="J34" s="87"/>
    </row>
    <row r="35" spans="1:10" x14ac:dyDescent="0.35">
      <c r="A35" s="1" t="s">
        <v>36</v>
      </c>
      <c r="B35" s="19">
        <f ca="1">ROUND(FIRE1402_working!B37,0)</f>
        <v>0</v>
      </c>
      <c r="C35" s="19">
        <f ca="1">ROUND(FIRE1402_working!C37,0)</f>
        <v>0</v>
      </c>
      <c r="D35" s="19"/>
      <c r="E35" s="19">
        <f ca="1">ROUND(FIRE1402_working!E37,0)</f>
        <v>0</v>
      </c>
      <c r="F35" s="19">
        <f ca="1">ROUND(FIRE1402_working!F37,0)</f>
        <v>0</v>
      </c>
      <c r="G35" s="19"/>
      <c r="H35" s="19">
        <f ca="1">ROUND(FIRE1402_working!H37,0)</f>
        <v>0</v>
      </c>
      <c r="J35" s="87"/>
    </row>
    <row r="36" spans="1:10" x14ac:dyDescent="0.35">
      <c r="A36" s="1" t="s">
        <v>37</v>
      </c>
      <c r="B36" s="19">
        <f ca="1">ROUND(FIRE1402_working!B38,0)</f>
        <v>19</v>
      </c>
      <c r="C36" s="19">
        <f ca="1">ROUND(FIRE1402_working!C38,0)</f>
        <v>55</v>
      </c>
      <c r="D36" s="19"/>
      <c r="E36" s="19">
        <f ca="1">ROUND(FIRE1402_working!E38,0)</f>
        <v>1</v>
      </c>
      <c r="F36" s="19">
        <f ca="1">ROUND(FIRE1402_working!F38,0)</f>
        <v>32</v>
      </c>
      <c r="G36" s="19"/>
      <c r="H36" s="19">
        <f ca="1">ROUND(FIRE1402_working!H38,0)</f>
        <v>0</v>
      </c>
      <c r="J36" s="87"/>
    </row>
    <row r="37" spans="1:10" x14ac:dyDescent="0.35">
      <c r="A37" s="1" t="s">
        <v>38</v>
      </c>
      <c r="B37" s="19">
        <f ca="1">ROUND(FIRE1402_working!B39,0)</f>
        <v>25</v>
      </c>
      <c r="C37" s="19">
        <f ca="1">ROUND(FIRE1402_working!C39,0)</f>
        <v>31</v>
      </c>
      <c r="D37" s="19"/>
      <c r="E37" s="19">
        <f ca="1">ROUND(FIRE1402_working!E39,0)</f>
        <v>2</v>
      </c>
      <c r="F37" s="19">
        <f ca="1">ROUND(FIRE1402_working!F39,0)</f>
        <v>8</v>
      </c>
      <c r="G37" s="19"/>
      <c r="H37" s="19">
        <f ca="1">ROUND(FIRE1402_working!H39,0)</f>
        <v>1</v>
      </c>
      <c r="J37" s="87"/>
    </row>
    <row r="38" spans="1:10" x14ac:dyDescent="0.35">
      <c r="A38" s="1" t="s">
        <v>39</v>
      </c>
      <c r="B38" s="19">
        <f ca="1">ROUND(FIRE1402_working!B40,0)</f>
        <v>16</v>
      </c>
      <c r="C38" s="19">
        <f ca="1">ROUND(FIRE1402_working!C40,0)</f>
        <v>19</v>
      </c>
      <c r="D38" s="19"/>
      <c r="E38" s="19">
        <f ca="1">ROUND(FIRE1402_working!E40,0)</f>
        <v>1</v>
      </c>
      <c r="F38" s="19">
        <f ca="1">ROUND(FIRE1402_working!F40,0)</f>
        <v>4</v>
      </c>
      <c r="G38" s="19"/>
      <c r="H38" s="19">
        <f ca="1">ROUND(FIRE1402_working!H40,0)</f>
        <v>1</v>
      </c>
      <c r="J38" s="87"/>
    </row>
    <row r="39" spans="1:10" x14ac:dyDescent="0.35">
      <c r="A39" s="1" t="s">
        <v>40</v>
      </c>
      <c r="B39" s="19">
        <f ca="1">ROUND(FIRE1402_working!B41,0)</f>
        <v>7</v>
      </c>
      <c r="C39" s="19">
        <f ca="1">ROUND(FIRE1402_working!C41,0)</f>
        <v>14</v>
      </c>
      <c r="D39" s="19"/>
      <c r="E39" s="19">
        <f ca="1">ROUND(FIRE1402_working!E41,0)</f>
        <v>0</v>
      </c>
      <c r="F39" s="19">
        <f ca="1">ROUND(FIRE1402_working!F41,0)</f>
        <v>6</v>
      </c>
      <c r="G39" s="19"/>
      <c r="H39" s="19">
        <f ca="1">ROUND(FIRE1402_working!H41,0)</f>
        <v>0</v>
      </c>
      <c r="J39" s="87"/>
    </row>
    <row r="40" spans="1:10" x14ac:dyDescent="0.35">
      <c r="A40" s="1" t="s">
        <v>41</v>
      </c>
      <c r="B40" s="19">
        <f ca="1">ROUND(FIRE1402_working!B42,0)</f>
        <v>13</v>
      </c>
      <c r="C40" s="19">
        <f ca="1">ROUND(FIRE1402_working!C42,0)</f>
        <v>47</v>
      </c>
      <c r="D40" s="19"/>
      <c r="E40" s="19">
        <f ca="1">ROUND(FIRE1402_working!E42,0)</f>
        <v>0</v>
      </c>
      <c r="F40" s="19">
        <f ca="1">ROUND(FIRE1402_working!F42,0)</f>
        <v>13</v>
      </c>
      <c r="G40" s="19"/>
      <c r="H40" s="19">
        <f ca="1">ROUND(FIRE1402_working!H42,0)</f>
        <v>0</v>
      </c>
      <c r="J40" s="87"/>
    </row>
    <row r="41" spans="1:10" x14ac:dyDescent="0.35">
      <c r="A41" s="1" t="s">
        <v>42</v>
      </c>
      <c r="B41" s="19">
        <f ca="1">ROUND(FIRE1402_working!B43,0)</f>
        <v>34</v>
      </c>
      <c r="C41" s="19">
        <f ca="1">ROUND(FIRE1402_working!C43,0)</f>
        <v>10</v>
      </c>
      <c r="D41" s="19"/>
      <c r="E41" s="19">
        <f ca="1">ROUND(FIRE1402_working!E43,0)</f>
        <v>2</v>
      </c>
      <c r="F41" s="19">
        <f ca="1">ROUND(FIRE1402_working!F43,0)</f>
        <v>9</v>
      </c>
      <c r="G41" s="19"/>
      <c r="H41" s="19">
        <f ca="1">ROUND(FIRE1402_working!H43,0)</f>
        <v>2</v>
      </c>
      <c r="J41" s="87"/>
    </row>
    <row r="42" spans="1:10" x14ac:dyDescent="0.35">
      <c r="A42" s="1" t="s">
        <v>43</v>
      </c>
      <c r="B42" s="19">
        <f ca="1">ROUND(FIRE1402_working!B44,0)</f>
        <v>20</v>
      </c>
      <c r="C42" s="19">
        <f ca="1">ROUND(FIRE1402_working!C44,0)</f>
        <v>13</v>
      </c>
      <c r="D42" s="19"/>
      <c r="E42" s="19">
        <f ca="1">ROUND(FIRE1402_working!E44,0)</f>
        <v>1</v>
      </c>
      <c r="F42" s="19">
        <f ca="1">ROUND(FIRE1402_working!F44,0)</f>
        <v>11</v>
      </c>
      <c r="G42" s="19"/>
      <c r="H42" s="19">
        <f ca="1">ROUND(FIRE1402_working!H44,0)</f>
        <v>3</v>
      </c>
      <c r="J42" s="87"/>
    </row>
    <row r="43" spans="1:10" x14ac:dyDescent="0.35">
      <c r="A43" s="1" t="s">
        <v>44</v>
      </c>
      <c r="B43" s="19">
        <f ca="1">ROUND(FIRE1402_working!B45,0)</f>
        <v>13</v>
      </c>
      <c r="C43" s="19">
        <f ca="1">ROUND(FIRE1402_working!C45,0)</f>
        <v>11</v>
      </c>
      <c r="D43" s="19"/>
      <c r="E43" s="19">
        <f ca="1">ROUND(FIRE1402_working!E45,0)</f>
        <v>1</v>
      </c>
      <c r="F43" s="19">
        <f ca="1">ROUND(FIRE1402_working!F45,0)</f>
        <v>5</v>
      </c>
      <c r="G43" s="19"/>
      <c r="H43" s="19">
        <f ca="1">ROUND(FIRE1402_working!H45,0)</f>
        <v>1</v>
      </c>
      <c r="J43" s="87"/>
    </row>
    <row r="44" spans="1:10" x14ac:dyDescent="0.35">
      <c r="A44" s="1" t="s">
        <v>45</v>
      </c>
      <c r="B44" s="19">
        <f ca="1">ROUND(FIRE1402_working!B46,0)</f>
        <v>9</v>
      </c>
      <c r="C44" s="19">
        <f ca="1">ROUND(FIRE1402_working!C46,0)</f>
        <v>14</v>
      </c>
      <c r="D44" s="19"/>
      <c r="E44" s="19">
        <f ca="1">ROUND(FIRE1402_working!E46,0)</f>
        <v>0</v>
      </c>
      <c r="F44" s="19">
        <f ca="1">ROUND(FIRE1402_working!F46,0)</f>
        <v>8</v>
      </c>
      <c r="G44" s="19"/>
      <c r="H44" s="19">
        <f ca="1">ROUND(FIRE1402_working!H46,0)</f>
        <v>0</v>
      </c>
      <c r="J44" s="87"/>
    </row>
    <row r="45" spans="1:10" x14ac:dyDescent="0.35">
      <c r="A45" s="1" t="s">
        <v>46</v>
      </c>
      <c r="B45" s="19">
        <f ca="1">ROUND(FIRE1402_working!B47,0)</f>
        <v>8</v>
      </c>
      <c r="C45" s="19">
        <f ca="1">ROUND(FIRE1402_working!C47,0)</f>
        <v>23</v>
      </c>
      <c r="D45" s="19"/>
      <c r="E45" s="19">
        <f ca="1">ROUND(FIRE1402_working!E47,0)</f>
        <v>0</v>
      </c>
      <c r="F45" s="19">
        <f ca="1">ROUND(FIRE1402_working!F47,0)</f>
        <v>4</v>
      </c>
      <c r="G45" s="19"/>
      <c r="H45" s="19">
        <f ca="1">ROUND(FIRE1402_working!H47,0)</f>
        <v>0</v>
      </c>
      <c r="J45" s="87"/>
    </row>
    <row r="46" spans="1:10" x14ac:dyDescent="0.35">
      <c r="A46" s="1" t="s">
        <v>47</v>
      </c>
      <c r="B46" s="19">
        <f ca="1">ROUND(FIRE1402_working!B48,0)</f>
        <v>10</v>
      </c>
      <c r="C46" s="19">
        <f ca="1">ROUND(FIRE1402_working!C48,0)</f>
        <v>11</v>
      </c>
      <c r="D46" s="19"/>
      <c r="E46" s="19">
        <f ca="1">ROUND(FIRE1402_working!E48,0)</f>
        <v>1</v>
      </c>
      <c r="F46" s="19">
        <f ca="1">ROUND(FIRE1402_working!F48,0)</f>
        <v>3</v>
      </c>
      <c r="G46" s="19"/>
      <c r="H46" s="19">
        <f ca="1">ROUND(FIRE1402_working!H48,0)</f>
        <v>5</v>
      </c>
      <c r="J46" s="87"/>
    </row>
    <row r="47" spans="1:10" x14ac:dyDescent="0.35">
      <c r="A47" s="1" t="s">
        <v>48</v>
      </c>
      <c r="B47" s="19">
        <f ca="1">ROUND(FIRE1402_working!B49,0)</f>
        <v>17</v>
      </c>
      <c r="C47" s="19">
        <f ca="1">ROUND(FIRE1402_working!C49,0)</f>
        <v>9</v>
      </c>
      <c r="D47" s="19"/>
      <c r="E47" s="19">
        <f ca="1">ROUND(FIRE1402_working!E49,0)</f>
        <v>2</v>
      </c>
      <c r="F47" s="19">
        <f ca="1">ROUND(FIRE1402_working!F49,0)</f>
        <v>6</v>
      </c>
      <c r="G47" s="19"/>
      <c r="H47" s="19">
        <f ca="1">ROUND(FIRE1402_working!H49,0)</f>
        <v>2</v>
      </c>
      <c r="J47" s="87"/>
    </row>
    <row r="48" spans="1:10" x14ac:dyDescent="0.35">
      <c r="A48" s="1" t="s">
        <v>49</v>
      </c>
      <c r="B48" s="19">
        <f ca="1">ROUND(FIRE1402_working!B50,0)</f>
        <v>16</v>
      </c>
      <c r="C48" s="19">
        <f ca="1">ROUND(FIRE1402_working!C50,0)</f>
        <v>18</v>
      </c>
      <c r="D48" s="19"/>
      <c r="E48" s="19">
        <f ca="1">ROUND(FIRE1402_working!E50,0)</f>
        <v>0</v>
      </c>
      <c r="F48" s="19">
        <f ca="1">ROUND(FIRE1402_working!F50,0)</f>
        <v>5</v>
      </c>
      <c r="G48" s="19"/>
      <c r="H48" s="19">
        <f ca="1">ROUND(FIRE1402_working!H50,0)</f>
        <v>0</v>
      </c>
      <c r="J48" s="87"/>
    </row>
    <row r="49" spans="1:24" x14ac:dyDescent="0.35">
      <c r="A49" s="1" t="s">
        <v>50</v>
      </c>
      <c r="B49" s="19">
        <f ca="1">ROUND(FIRE1402_working!B51,0)</f>
        <v>7</v>
      </c>
      <c r="C49" s="19">
        <f ca="1">ROUND(FIRE1402_working!C51,0)</f>
        <v>21</v>
      </c>
      <c r="D49" s="19"/>
      <c r="E49" s="19">
        <f ca="1">ROUND(FIRE1402_working!E51,0)</f>
        <v>0</v>
      </c>
      <c r="F49" s="19">
        <f ca="1">ROUND(FIRE1402_working!F51,0)</f>
        <v>5</v>
      </c>
      <c r="G49" s="19"/>
      <c r="H49" s="19">
        <f ca="1">ROUND(FIRE1402_working!H51,0)</f>
        <v>1</v>
      </c>
      <c r="J49" s="87"/>
    </row>
    <row r="50" spans="1:24" x14ac:dyDescent="0.35">
      <c r="A50" s="1" t="s">
        <v>51</v>
      </c>
      <c r="B50" s="19">
        <f ca="1">ROUND(FIRE1402_working!B52,0)</f>
        <v>3</v>
      </c>
      <c r="C50" s="19">
        <f ca="1">ROUND(FIRE1402_working!C52,0)</f>
        <v>6</v>
      </c>
      <c r="D50" s="19"/>
      <c r="E50" s="19">
        <f ca="1">ROUND(FIRE1402_working!E52,0)</f>
        <v>0</v>
      </c>
      <c r="F50" s="19">
        <f ca="1">ROUND(FIRE1402_working!F52,0)</f>
        <v>3</v>
      </c>
      <c r="G50" s="19"/>
      <c r="H50" s="19">
        <f ca="1">ROUND(FIRE1402_working!H52,0)</f>
        <v>1</v>
      </c>
      <c r="J50" s="87"/>
    </row>
    <row r="51" spans="1:24" x14ac:dyDescent="0.35">
      <c r="A51" s="1" t="s">
        <v>52</v>
      </c>
      <c r="B51" s="19">
        <f ca="1">ROUND(FIRE1402_working!B53,0)</f>
        <v>6</v>
      </c>
      <c r="C51" s="19">
        <f ca="1">ROUND(FIRE1402_working!C53,0)</f>
        <v>18</v>
      </c>
      <c r="D51" s="19"/>
      <c r="E51" s="19">
        <f ca="1">ROUND(FIRE1402_working!E53,0)</f>
        <v>1</v>
      </c>
      <c r="F51" s="19">
        <f ca="1">ROUND(FIRE1402_working!F53,0)</f>
        <v>10</v>
      </c>
      <c r="G51" s="19"/>
      <c r="H51" s="19">
        <f ca="1">ROUND(FIRE1402_working!H53,0)</f>
        <v>1</v>
      </c>
      <c r="J51" s="87"/>
    </row>
    <row r="52" spans="1:24" x14ac:dyDescent="0.35">
      <c r="A52" s="1" t="s">
        <v>53</v>
      </c>
      <c r="B52" s="19">
        <f ca="1">ROUND(FIRE1402_working!B54,0)</f>
        <v>5</v>
      </c>
      <c r="C52" s="19">
        <f ca="1">ROUND(FIRE1402_working!C54,0)</f>
        <v>17</v>
      </c>
      <c r="D52" s="19"/>
      <c r="E52" s="19">
        <f ca="1">ROUND(FIRE1402_working!E54,0)</f>
        <v>1</v>
      </c>
      <c r="F52" s="19">
        <f ca="1">ROUND(FIRE1402_working!F54,0)</f>
        <v>11</v>
      </c>
      <c r="G52" s="19"/>
      <c r="H52" s="19">
        <f ca="1">ROUND(FIRE1402_working!H54,0)</f>
        <v>1</v>
      </c>
      <c r="J52" s="87"/>
    </row>
    <row r="53" spans="1:24" x14ac:dyDescent="0.35">
      <c r="A53" s="1" t="s">
        <v>54</v>
      </c>
      <c r="B53" s="19">
        <f ca="1">ROUND(FIRE1402_working!B55,0)</f>
        <v>11</v>
      </c>
      <c r="C53" s="19">
        <f ca="1">ROUND(FIRE1402_working!C55,0)</f>
        <v>8</v>
      </c>
      <c r="D53" s="19"/>
      <c r="E53" s="19">
        <f ca="1">ROUND(FIRE1402_working!E55,0)</f>
        <v>1</v>
      </c>
      <c r="F53" s="19">
        <f ca="1">ROUND(FIRE1402_working!F55,0)</f>
        <v>3</v>
      </c>
      <c r="G53" s="19"/>
      <c r="H53" s="19">
        <f ca="1">ROUND(FIRE1402_working!H55,0)</f>
        <v>0</v>
      </c>
      <c r="J53" s="87"/>
    </row>
    <row r="54" spans="1:24" x14ac:dyDescent="0.35">
      <c r="A54" s="1" t="s">
        <v>55</v>
      </c>
      <c r="B54" s="19">
        <f ca="1">ROUND(FIRE1402_working!B56,0)</f>
        <v>28</v>
      </c>
      <c r="C54" s="19">
        <f ca="1">ROUND(FIRE1402_working!C56,0)</f>
        <v>34</v>
      </c>
      <c r="D54" s="19"/>
      <c r="E54" s="19">
        <f ca="1">ROUND(FIRE1402_working!E56,0)</f>
        <v>0</v>
      </c>
      <c r="F54" s="19">
        <f ca="1">ROUND(FIRE1402_working!F56,0)</f>
        <v>11</v>
      </c>
      <c r="G54" s="19"/>
      <c r="H54" s="19">
        <f ca="1">ROUND(FIRE1402_working!H56,0)</f>
        <v>1</v>
      </c>
      <c r="J54" s="87"/>
    </row>
    <row r="55" spans="1:24" x14ac:dyDescent="0.35">
      <c r="A55" s="1" t="s">
        <v>56</v>
      </c>
      <c r="B55" s="19">
        <f ca="1">ROUND(FIRE1402_working!B57,0)</f>
        <v>6</v>
      </c>
      <c r="C55" s="19">
        <f ca="1">ROUND(FIRE1402_working!C57,0)</f>
        <v>15</v>
      </c>
      <c r="D55" s="19"/>
      <c r="E55" s="19">
        <f ca="1">ROUND(FIRE1402_working!E57,0)</f>
        <v>0</v>
      </c>
      <c r="F55" s="19">
        <f ca="1">ROUND(FIRE1402_working!F57,0)</f>
        <v>17</v>
      </c>
      <c r="G55" s="19"/>
      <c r="H55" s="19">
        <f ca="1">ROUND(FIRE1402_working!H57,0)</f>
        <v>0</v>
      </c>
      <c r="J55" s="87"/>
    </row>
    <row r="56" spans="1:24" ht="15" thickBot="1" x14ac:dyDescent="0.4">
      <c r="A56" s="20" t="s">
        <v>57</v>
      </c>
      <c r="B56" s="21">
        <f ca="1">ROUND(FIRE1402_working!B58,0)</f>
        <v>27</v>
      </c>
      <c r="C56" s="21">
        <f ca="1">ROUND(FIRE1402_working!C58,0)</f>
        <v>20</v>
      </c>
      <c r="D56" s="21"/>
      <c r="E56" s="21">
        <f ca="1">ROUND(FIRE1402_working!E58,0)</f>
        <v>3</v>
      </c>
      <c r="F56" s="21">
        <f ca="1">ROUND(FIRE1402_working!F58,0)</f>
        <v>14</v>
      </c>
      <c r="G56" s="21"/>
      <c r="H56" s="21">
        <f ca="1">ROUND(FIRE1402_working!H58,0)</f>
        <v>3</v>
      </c>
      <c r="J56" s="87"/>
    </row>
    <row r="57" spans="1:24" x14ac:dyDescent="0.35">
      <c r="A57" s="22" t="s">
        <v>191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4"/>
    </row>
    <row r="58" spans="1:24" s="26" customFormat="1" ht="13.5" customHeight="1" x14ac:dyDescent="0.35">
      <c r="A58" s="75" t="s">
        <v>192</v>
      </c>
      <c r="B58" s="75"/>
      <c r="C58" s="75"/>
      <c r="D58" s="75"/>
      <c r="E58" s="75"/>
      <c r="F58" s="75"/>
      <c r="G58" s="75"/>
      <c r="H58" s="75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5"/>
    </row>
    <row r="59" spans="1:24" s="26" customFormat="1" x14ac:dyDescent="0.35">
      <c r="A59" s="75" t="s">
        <v>193</v>
      </c>
      <c r="B59" s="75"/>
      <c r="C59" s="75"/>
      <c r="D59" s="75"/>
      <c r="E59" s="75"/>
      <c r="F59" s="75"/>
      <c r="G59" s="75"/>
      <c r="H59" s="75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5"/>
    </row>
    <row r="60" spans="1:24" s="26" customFormat="1" x14ac:dyDescent="0.35">
      <c r="A60" s="1" t="s">
        <v>194</v>
      </c>
      <c r="B60" s="75"/>
      <c r="C60" s="75"/>
      <c r="D60" s="75"/>
      <c r="E60" s="75"/>
      <c r="F60" s="75"/>
      <c r="G60" s="75"/>
      <c r="H60" s="75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5"/>
    </row>
    <row r="61" spans="1:24" x14ac:dyDescent="0.35">
      <c r="A61" s="1" t="s">
        <v>195</v>
      </c>
      <c r="B61" s="40"/>
      <c r="C61" s="40"/>
      <c r="D61" s="40"/>
      <c r="E61" s="40"/>
      <c r="F61" s="40"/>
      <c r="G61" s="40"/>
      <c r="H61" s="40"/>
    </row>
    <row r="62" spans="1:24" ht="28.5" customHeight="1" x14ac:dyDescent="0.35">
      <c r="A62" s="40" t="s">
        <v>196</v>
      </c>
      <c r="B62" s="40"/>
      <c r="C62" s="40"/>
      <c r="D62" s="40"/>
      <c r="E62" s="40"/>
      <c r="F62" s="40"/>
      <c r="G62" s="40"/>
      <c r="H62" s="40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4" x14ac:dyDescent="0.35">
      <c r="A63" s="75" t="s">
        <v>197</v>
      </c>
      <c r="B63" s="75"/>
      <c r="C63" s="75"/>
      <c r="D63" s="75"/>
      <c r="E63" s="75"/>
      <c r="F63" s="40"/>
      <c r="G63" s="40"/>
      <c r="H63" s="4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4" ht="30.75" customHeight="1" x14ac:dyDescent="0.35">
      <c r="A64" s="75" t="s">
        <v>198</v>
      </c>
      <c r="B64" s="75"/>
      <c r="C64" s="75"/>
      <c r="D64" s="40"/>
      <c r="E64" s="40"/>
      <c r="F64" s="40"/>
      <c r="G64" s="40"/>
      <c r="H64" s="4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0" ht="21.75" customHeight="1" x14ac:dyDescent="0.35">
      <c r="A65" s="82" t="s">
        <v>199</v>
      </c>
      <c r="B65" s="82"/>
      <c r="C65" s="82"/>
      <c r="D65" s="82"/>
      <c r="E65" s="82"/>
      <c r="I65" s="26"/>
      <c r="J65" s="26"/>
      <c r="K65" s="26"/>
      <c r="L65" s="26"/>
      <c r="M65" s="26"/>
      <c r="N65" s="26"/>
      <c r="O65" s="26"/>
      <c r="P65" s="26"/>
      <c r="Q65" s="27"/>
      <c r="R65" s="27"/>
      <c r="S65" s="27"/>
      <c r="T65" s="27"/>
    </row>
    <row r="66" spans="1:20" ht="24.75" customHeight="1" x14ac:dyDescent="0.35">
      <c r="A66" s="41" t="s">
        <v>200</v>
      </c>
      <c r="B66" s="41"/>
      <c r="C66" s="41"/>
      <c r="D66" s="41"/>
      <c r="E66" s="40"/>
      <c r="G66" s="75"/>
      <c r="H66" s="4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35">
      <c r="A67" s="83" t="s">
        <v>201</v>
      </c>
      <c r="G67" s="45"/>
      <c r="H67" s="45"/>
    </row>
    <row r="105" spans="14:14" x14ac:dyDescent="0.35">
      <c r="N105" s="4" t="s">
        <v>202</v>
      </c>
    </row>
    <row r="106" spans="14:14" x14ac:dyDescent="0.35">
      <c r="N106" s="4" t="s">
        <v>203</v>
      </c>
    </row>
    <row r="107" spans="14:14" x14ac:dyDescent="0.35">
      <c r="N107" s="4" t="s">
        <v>204</v>
      </c>
    </row>
    <row r="108" spans="14:14" x14ac:dyDescent="0.35">
      <c r="N108" s="4" t="s">
        <v>205</v>
      </c>
    </row>
    <row r="109" spans="14:14" x14ac:dyDescent="0.35">
      <c r="N109" s="4" t="s">
        <v>206</v>
      </c>
    </row>
    <row r="110" spans="14:14" x14ac:dyDescent="0.35">
      <c r="N110" s="4" t="s">
        <v>207</v>
      </c>
    </row>
    <row r="111" spans="14:14" x14ac:dyDescent="0.35">
      <c r="N111" s="4" t="s">
        <v>208</v>
      </c>
    </row>
    <row r="112" spans="14:14" x14ac:dyDescent="0.35">
      <c r="N112" s="4" t="s">
        <v>209</v>
      </c>
    </row>
    <row r="113" spans="14:14" x14ac:dyDescent="0.35">
      <c r="N113" s="1" t="s">
        <v>210</v>
      </c>
    </row>
    <row r="114" spans="14:14" x14ac:dyDescent="0.35">
      <c r="N114" s="1" t="s">
        <v>211</v>
      </c>
    </row>
    <row r="115" spans="14:14" x14ac:dyDescent="0.35">
      <c r="N115" s="1" t="s">
        <v>187</v>
      </c>
    </row>
  </sheetData>
  <dataValidations count="1">
    <dataValidation type="list" allowBlank="1" showInputMessage="1" showErrorMessage="1" sqref="A3" xr:uid="{83F30B3B-DDCF-46B4-B8F7-9DFCA1041B74}">
      <formula1>$N$105:$N$115</formula1>
    </dataValidation>
  </dataValidations>
  <hyperlinks>
    <hyperlink ref="A58" location="'FRS geographical categories'!A1" display="1 For a list of FRAs and whether they are considered &quot;Metropolitan&quot;, &quot;Non Metropolitan&quot;, &quot;Predominately Rural&quot;, &quot;Significantly Rural&quot;" xr:uid="{645C0414-56EB-4801-AECC-44BE3C40DEF7}"/>
    <hyperlink ref="A64" r:id="rId1" display="The statistics in this table are National Statistics." xr:uid="{80184AE6-798F-4F39-9589-C5527A04D1C3}"/>
    <hyperlink ref="A63:E63" r:id="rId2" display="https://www.gov.uk/government/collections/fire-statistics" xr:uid="{ACC74456-A172-469A-B536-7543005CB988}"/>
    <hyperlink ref="A66" r:id="rId3" xr:uid="{2B0FE55F-73D9-4DBB-9A98-631012865BC2}"/>
    <hyperlink ref="A59" location="FRS_geog_cats" display="1 For a list of FRAs and whether they are considered &quot;Metropolitan&quot;, &quot;Non Metropolitan&quot;, &quot;Predominately Rural&quot;, &quot;Significantly Rural&quot; or &quot;Predominantely Urban&quot; please see the FRS geographical categories sheet." xr:uid="{4B72230A-099B-4C17-9854-FEDC34B0CB7A}"/>
  </hyperlinks>
  <pageMargins left="0.7" right="0.7" top="0.75" bottom="0.75" header="0.3" footer="0.3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CE3-1FB9-4DDD-92FA-ACC0B92FF046}">
  <sheetPr codeName="Sheet11"/>
  <dimension ref="A1:J51"/>
  <sheetViews>
    <sheetView workbookViewId="0">
      <pane ySplit="1" topLeftCell="A2" activePane="bottomLeft" state="frozen"/>
      <selection pane="bottomLeft"/>
    </sheetView>
  </sheetViews>
  <sheetFormatPr defaultColWidth="8.54296875" defaultRowHeight="14.5" x14ac:dyDescent="0.35"/>
  <cols>
    <col min="1" max="1" width="21.54296875" style="1" customWidth="1"/>
    <col min="2" max="2" width="19.54296875" style="1" bestFit="1" customWidth="1"/>
    <col min="3" max="3" width="20.453125" style="1" bestFit="1" customWidth="1"/>
    <col min="4" max="16384" width="8.54296875" style="1"/>
  </cols>
  <sheetData>
    <row r="1" spans="1:3" ht="17" thickBot="1" x14ac:dyDescent="0.4">
      <c r="A1" s="15" t="s">
        <v>212</v>
      </c>
      <c r="B1" s="15" t="s">
        <v>213</v>
      </c>
      <c r="C1" s="15" t="s">
        <v>214</v>
      </c>
    </row>
    <row r="2" spans="1:3" x14ac:dyDescent="0.35">
      <c r="A2" s="1" t="s">
        <v>13</v>
      </c>
      <c r="B2" s="1" t="s">
        <v>10</v>
      </c>
      <c r="C2" s="1" t="s">
        <v>8</v>
      </c>
    </row>
    <row r="3" spans="1:3" x14ac:dyDescent="0.35">
      <c r="A3" s="1" t="s">
        <v>14</v>
      </c>
      <c r="B3" s="1" t="s">
        <v>11</v>
      </c>
      <c r="C3" s="1" t="s">
        <v>8</v>
      </c>
    </row>
    <row r="4" spans="1:3" x14ac:dyDescent="0.35">
      <c r="A4" s="1" t="s">
        <v>15</v>
      </c>
      <c r="B4" s="1" t="s">
        <v>10</v>
      </c>
      <c r="C4" s="1" t="s">
        <v>8</v>
      </c>
    </row>
    <row r="5" spans="1:3" x14ac:dyDescent="0.35">
      <c r="A5" s="1" t="s">
        <v>16</v>
      </c>
      <c r="B5" s="1" t="s">
        <v>11</v>
      </c>
      <c r="C5" s="1" t="s">
        <v>8</v>
      </c>
    </row>
    <row r="6" spans="1:3" x14ac:dyDescent="0.35">
      <c r="A6" s="1" t="s">
        <v>17</v>
      </c>
      <c r="B6" s="1" t="s">
        <v>12</v>
      </c>
      <c r="C6" s="1" t="s">
        <v>8</v>
      </c>
    </row>
    <row r="7" spans="1:3" x14ac:dyDescent="0.35">
      <c r="A7" s="1" t="s">
        <v>18</v>
      </c>
      <c r="B7" s="1" t="s">
        <v>11</v>
      </c>
      <c r="C7" s="1" t="s">
        <v>8</v>
      </c>
    </row>
    <row r="8" spans="1:3" x14ac:dyDescent="0.35">
      <c r="A8" s="1" t="s">
        <v>19</v>
      </c>
      <c r="B8" s="1" t="s">
        <v>10</v>
      </c>
      <c r="C8" s="1" t="s">
        <v>8</v>
      </c>
    </row>
    <row r="9" spans="1:3" x14ac:dyDescent="0.35">
      <c r="A9" s="1" t="s">
        <v>20</v>
      </c>
      <c r="B9" s="1" t="s">
        <v>12</v>
      </c>
      <c r="C9" s="1" t="s">
        <v>8</v>
      </c>
    </row>
    <row r="10" spans="1:3" x14ac:dyDescent="0.35">
      <c r="A10" s="1" t="s">
        <v>21</v>
      </c>
      <c r="B10" s="1" t="s">
        <v>12</v>
      </c>
      <c r="C10" s="1" t="s">
        <v>8</v>
      </c>
    </row>
    <row r="11" spans="1:3" x14ac:dyDescent="0.35">
      <c r="A11" s="1" t="s">
        <v>22</v>
      </c>
      <c r="B11" s="1" t="s">
        <v>11</v>
      </c>
      <c r="C11" s="1" t="s">
        <v>8</v>
      </c>
    </row>
    <row r="12" spans="1:3" x14ac:dyDescent="0.35">
      <c r="A12" s="1" t="s">
        <v>23</v>
      </c>
      <c r="B12" s="1" t="s">
        <v>12</v>
      </c>
      <c r="C12" s="1" t="s">
        <v>8</v>
      </c>
    </row>
    <row r="13" spans="1:3" x14ac:dyDescent="0.35">
      <c r="A13" s="1" t="s">
        <v>24</v>
      </c>
      <c r="B13" s="1" t="s">
        <v>11</v>
      </c>
      <c r="C13" s="1" t="s">
        <v>8</v>
      </c>
    </row>
    <row r="14" spans="1:3" x14ac:dyDescent="0.35">
      <c r="A14" s="1" t="s">
        <v>25</v>
      </c>
      <c r="B14" s="1" t="s">
        <v>12</v>
      </c>
      <c r="C14" s="1" t="s">
        <v>8</v>
      </c>
    </row>
    <row r="15" spans="1:3" x14ac:dyDescent="0.35">
      <c r="A15" s="1" t="s">
        <v>26</v>
      </c>
      <c r="B15" s="1" t="s">
        <v>11</v>
      </c>
      <c r="C15" s="1" t="s">
        <v>8</v>
      </c>
    </row>
    <row r="16" spans="1:3" x14ac:dyDescent="0.35">
      <c r="A16" s="1" t="s">
        <v>27</v>
      </c>
      <c r="B16" s="1" t="s">
        <v>11</v>
      </c>
      <c r="C16" s="1" t="s">
        <v>8</v>
      </c>
    </row>
    <row r="17" spans="1:3" x14ac:dyDescent="0.35">
      <c r="A17" s="1" t="s">
        <v>28</v>
      </c>
      <c r="B17" s="1" t="s">
        <v>11</v>
      </c>
      <c r="C17" s="1" t="s">
        <v>8</v>
      </c>
    </row>
    <row r="18" spans="1:3" x14ac:dyDescent="0.35">
      <c r="A18" s="1" t="s">
        <v>29</v>
      </c>
      <c r="B18" s="1" t="s">
        <v>10</v>
      </c>
      <c r="C18" s="1" t="s">
        <v>9</v>
      </c>
    </row>
    <row r="19" spans="1:3" x14ac:dyDescent="0.35">
      <c r="A19" s="1" t="s">
        <v>30</v>
      </c>
      <c r="B19" s="1" t="s">
        <v>10</v>
      </c>
      <c r="C19" s="1" t="s">
        <v>9</v>
      </c>
    </row>
    <row r="20" spans="1:3" x14ac:dyDescent="0.35">
      <c r="A20" s="1" t="s">
        <v>31</v>
      </c>
      <c r="B20" s="1" t="s">
        <v>10</v>
      </c>
      <c r="C20" s="1" t="s">
        <v>8</v>
      </c>
    </row>
    <row r="21" spans="1:3" x14ac:dyDescent="0.35">
      <c r="A21" s="1" t="s">
        <v>32</v>
      </c>
      <c r="B21" s="1" t="s">
        <v>11</v>
      </c>
      <c r="C21" s="1" t="s">
        <v>8</v>
      </c>
    </row>
    <row r="22" spans="1:3" x14ac:dyDescent="0.35">
      <c r="A22" s="1" t="s">
        <v>33</v>
      </c>
      <c r="B22" s="1" t="s">
        <v>10</v>
      </c>
      <c r="C22" s="1" t="s">
        <v>8</v>
      </c>
    </row>
    <row r="23" spans="1:3" x14ac:dyDescent="0.35">
      <c r="A23" s="1" t="s">
        <v>34</v>
      </c>
      <c r="B23" s="1" t="s">
        <v>11</v>
      </c>
      <c r="C23" s="1" t="s">
        <v>8</v>
      </c>
    </row>
    <row r="24" spans="1:3" x14ac:dyDescent="0.35">
      <c r="A24" s="1" t="s">
        <v>76</v>
      </c>
      <c r="B24" s="1" t="s">
        <v>12</v>
      </c>
      <c r="C24" s="1" t="s">
        <v>8</v>
      </c>
    </row>
    <row r="25" spans="1:3" x14ac:dyDescent="0.35">
      <c r="A25" s="1" t="s">
        <v>183</v>
      </c>
      <c r="B25" s="1" t="s">
        <v>12</v>
      </c>
      <c r="C25" s="1" t="s">
        <v>8</v>
      </c>
    </row>
    <row r="26" spans="1:3" x14ac:dyDescent="0.35">
      <c r="A26" s="1" t="s">
        <v>37</v>
      </c>
      <c r="B26" s="1" t="s">
        <v>11</v>
      </c>
      <c r="C26" s="1" t="s">
        <v>8</v>
      </c>
    </row>
    <row r="27" spans="1:3" x14ac:dyDescent="0.35">
      <c r="A27" s="1" t="s">
        <v>38</v>
      </c>
      <c r="B27" s="1" t="s">
        <v>10</v>
      </c>
      <c r="C27" s="1" t="s">
        <v>8</v>
      </c>
    </row>
    <row r="28" spans="1:3" x14ac:dyDescent="0.35">
      <c r="A28" s="1" t="s">
        <v>39</v>
      </c>
      <c r="B28" s="1" t="s">
        <v>11</v>
      </c>
      <c r="C28" s="1" t="s">
        <v>8</v>
      </c>
    </row>
    <row r="29" spans="1:3" x14ac:dyDescent="0.35">
      <c r="A29" s="1" t="s">
        <v>40</v>
      </c>
      <c r="B29" s="1" t="s">
        <v>12</v>
      </c>
      <c r="C29" s="1" t="s">
        <v>8</v>
      </c>
    </row>
    <row r="30" spans="1:3" x14ac:dyDescent="0.35">
      <c r="A30" s="1" t="s">
        <v>41</v>
      </c>
      <c r="B30" s="1" t="s">
        <v>10</v>
      </c>
      <c r="C30" s="1" t="s">
        <v>9</v>
      </c>
    </row>
    <row r="31" spans="1:3" x14ac:dyDescent="0.35">
      <c r="A31" s="1" t="s">
        <v>42</v>
      </c>
      <c r="B31" s="1" t="s">
        <v>12</v>
      </c>
      <c r="C31" s="1" t="s">
        <v>8</v>
      </c>
    </row>
    <row r="32" spans="1:3" x14ac:dyDescent="0.35">
      <c r="A32" s="1" t="s">
        <v>43</v>
      </c>
      <c r="B32" s="1" t="s">
        <v>12</v>
      </c>
      <c r="C32" s="1" t="s">
        <v>8</v>
      </c>
    </row>
    <row r="33" spans="1:10" x14ac:dyDescent="0.35">
      <c r="A33" s="1" t="s">
        <v>44</v>
      </c>
      <c r="B33" s="1" t="s">
        <v>11</v>
      </c>
      <c r="C33" s="1" t="s">
        <v>8</v>
      </c>
    </row>
    <row r="34" spans="1:10" x14ac:dyDescent="0.35">
      <c r="A34" s="1" t="s">
        <v>45</v>
      </c>
      <c r="B34" s="1" t="s">
        <v>12</v>
      </c>
      <c r="C34" s="1" t="s">
        <v>8</v>
      </c>
    </row>
    <row r="35" spans="1:10" x14ac:dyDescent="0.35">
      <c r="A35" s="1" t="s">
        <v>46</v>
      </c>
      <c r="B35" s="1" t="s">
        <v>10</v>
      </c>
      <c r="C35" s="1" t="s">
        <v>8</v>
      </c>
    </row>
    <row r="36" spans="1:10" x14ac:dyDescent="0.35">
      <c r="A36" s="1" t="s">
        <v>47</v>
      </c>
      <c r="B36" s="1" t="s">
        <v>12</v>
      </c>
      <c r="C36" s="1" t="s">
        <v>8</v>
      </c>
    </row>
    <row r="37" spans="1:10" x14ac:dyDescent="0.35">
      <c r="A37" s="1" t="s">
        <v>48</v>
      </c>
      <c r="B37" s="1" t="s">
        <v>12</v>
      </c>
      <c r="C37" s="1" t="s">
        <v>8</v>
      </c>
    </row>
    <row r="38" spans="1:10" x14ac:dyDescent="0.35">
      <c r="A38" s="1" t="s">
        <v>49</v>
      </c>
      <c r="B38" s="1" t="s">
        <v>10</v>
      </c>
      <c r="C38" s="1" t="s">
        <v>9</v>
      </c>
    </row>
    <row r="39" spans="1:10" x14ac:dyDescent="0.35">
      <c r="A39" s="1" t="s">
        <v>50</v>
      </c>
      <c r="B39" s="1" t="s">
        <v>11</v>
      </c>
      <c r="C39" s="1" t="s">
        <v>8</v>
      </c>
    </row>
    <row r="40" spans="1:10" x14ac:dyDescent="0.35">
      <c r="A40" s="1" t="s">
        <v>51</v>
      </c>
      <c r="B40" s="1" t="s">
        <v>12</v>
      </c>
      <c r="C40" s="1" t="s">
        <v>8</v>
      </c>
    </row>
    <row r="41" spans="1:10" x14ac:dyDescent="0.35">
      <c r="A41" s="1" t="s">
        <v>52</v>
      </c>
      <c r="B41" s="1" t="s">
        <v>10</v>
      </c>
      <c r="C41" s="1" t="s">
        <v>8</v>
      </c>
    </row>
    <row r="42" spans="1:10" x14ac:dyDescent="0.35">
      <c r="A42" s="1" t="s">
        <v>53</v>
      </c>
      <c r="B42" s="1" t="s">
        <v>10</v>
      </c>
      <c r="C42" s="1" t="s">
        <v>9</v>
      </c>
    </row>
    <row r="43" spans="1:10" x14ac:dyDescent="0.35">
      <c r="A43" s="1" t="s">
        <v>54</v>
      </c>
      <c r="B43" s="1" t="s">
        <v>11</v>
      </c>
      <c r="C43" s="1" t="s">
        <v>8</v>
      </c>
    </row>
    <row r="44" spans="1:10" x14ac:dyDescent="0.35">
      <c r="A44" s="1" t="s">
        <v>55</v>
      </c>
      <c r="B44" s="1" t="s">
        <v>10</v>
      </c>
      <c r="C44" s="1" t="s">
        <v>9</v>
      </c>
    </row>
    <row r="45" spans="1:10" x14ac:dyDescent="0.35">
      <c r="A45" s="1" t="s">
        <v>56</v>
      </c>
      <c r="B45" s="1" t="s">
        <v>11</v>
      </c>
      <c r="C45" s="1" t="s">
        <v>8</v>
      </c>
    </row>
    <row r="46" spans="1:10" ht="15" thickBot="1" x14ac:dyDescent="0.4">
      <c r="A46" s="16" t="s">
        <v>57</v>
      </c>
      <c r="B46" s="16" t="s">
        <v>10</v>
      </c>
      <c r="C46" s="16" t="s">
        <v>9</v>
      </c>
    </row>
    <row r="47" spans="1:10" x14ac:dyDescent="0.35">
      <c r="A47" s="75" t="s">
        <v>215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x14ac:dyDescent="0.35">
      <c r="A48" s="17" t="s">
        <v>216</v>
      </c>
    </row>
    <row r="49" spans="1:1" x14ac:dyDescent="0.35">
      <c r="A49" s="17" t="s">
        <v>217</v>
      </c>
    </row>
    <row r="50" spans="1:1" x14ac:dyDescent="0.35">
      <c r="A50" s="17" t="s">
        <v>218</v>
      </c>
    </row>
    <row r="51" spans="1:1" x14ac:dyDescent="0.35">
      <c r="A51" s="83" t="s">
        <v>201</v>
      </c>
    </row>
  </sheetData>
  <hyperlinks>
    <hyperlink ref="A47" r:id="rId1" display="1  Rural Urban classifications of Fire and Rescue Service as defined by Department for Environment, Food and Rural Affairs (DEFRA).. LINK" xr:uid="{AC20890F-F4C3-4D75-9EAC-90FDE813ED60}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99DA-D152-45AB-98D5-816F06705F48}">
  <sheetPr>
    <tabColor rgb="FFFF0000"/>
  </sheetPr>
  <dimension ref="A4:G12"/>
  <sheetViews>
    <sheetView workbookViewId="0">
      <selection activeCell="E18" sqref="E18"/>
    </sheetView>
  </sheetViews>
  <sheetFormatPr defaultRowHeight="14.5" x14ac:dyDescent="0.35"/>
  <cols>
    <col min="2" max="2" width="7.26953125" bestFit="1" customWidth="1"/>
    <col min="3" max="3" width="14.26953125" bestFit="1" customWidth="1"/>
    <col min="4" max="4" width="12" bestFit="1" customWidth="1"/>
    <col min="5" max="5" width="12.26953125" bestFit="1" customWidth="1"/>
    <col min="6" max="6" width="12" bestFit="1" customWidth="1"/>
    <col min="7" max="7" width="16.26953125" bestFit="1" customWidth="1"/>
  </cols>
  <sheetData>
    <row r="4" spans="1:7" x14ac:dyDescent="0.35">
      <c r="C4" s="91" t="s">
        <v>1</v>
      </c>
      <c r="D4" s="91"/>
      <c r="E4" s="91" t="s">
        <v>2</v>
      </c>
      <c r="F4" s="91"/>
      <c r="G4" t="s">
        <v>86</v>
      </c>
    </row>
    <row r="5" spans="1:7" x14ac:dyDescent="0.35">
      <c r="A5" t="s">
        <v>219</v>
      </c>
      <c r="B5" t="s">
        <v>77</v>
      </c>
      <c r="C5" t="s">
        <v>220</v>
      </c>
      <c r="D5" t="s">
        <v>221</v>
      </c>
      <c r="E5" t="s">
        <v>222</v>
      </c>
      <c r="F5" t="s">
        <v>223</v>
      </c>
      <c r="G5" t="s">
        <v>224</v>
      </c>
    </row>
    <row r="6" spans="1:7" x14ac:dyDescent="0.35">
      <c r="A6" t="s">
        <v>7</v>
      </c>
      <c r="B6" t="s">
        <v>184</v>
      </c>
      <c r="C6">
        <v>707</v>
      </c>
      <c r="D6">
        <v>930</v>
      </c>
      <c r="E6">
        <v>50</v>
      </c>
      <c r="F6">
        <v>434</v>
      </c>
      <c r="G6">
        <v>116</v>
      </c>
    </row>
    <row r="7" spans="1:7" x14ac:dyDescent="0.35">
      <c r="A7" t="s">
        <v>7</v>
      </c>
      <c r="B7" t="s">
        <v>75</v>
      </c>
      <c r="C7">
        <v>954</v>
      </c>
      <c r="D7">
        <v>1117</v>
      </c>
      <c r="E7">
        <v>74</v>
      </c>
      <c r="F7">
        <v>711</v>
      </c>
      <c r="G7">
        <v>48</v>
      </c>
    </row>
    <row r="8" spans="1:7" x14ac:dyDescent="0.35">
      <c r="A8" t="s">
        <v>7</v>
      </c>
      <c r="B8" t="s">
        <v>72</v>
      </c>
      <c r="C8">
        <v>970</v>
      </c>
      <c r="D8">
        <v>1227</v>
      </c>
      <c r="E8">
        <v>62</v>
      </c>
      <c r="F8">
        <v>703</v>
      </c>
      <c r="G8">
        <v>69</v>
      </c>
    </row>
    <row r="9" spans="1:7" x14ac:dyDescent="0.35">
      <c r="A9" t="s">
        <v>7</v>
      </c>
      <c r="B9" t="s">
        <v>71</v>
      </c>
      <c r="C9">
        <v>850</v>
      </c>
      <c r="D9">
        <v>1149</v>
      </c>
      <c r="E9">
        <v>50</v>
      </c>
      <c r="F9">
        <v>630</v>
      </c>
      <c r="G9">
        <v>77</v>
      </c>
    </row>
    <row r="10" spans="1:7" x14ac:dyDescent="0.35">
      <c r="A10" t="s">
        <v>7</v>
      </c>
      <c r="B10" t="s">
        <v>70</v>
      </c>
      <c r="C10">
        <v>902</v>
      </c>
      <c r="D10">
        <v>1204</v>
      </c>
      <c r="E10">
        <v>52</v>
      </c>
      <c r="F10">
        <v>717</v>
      </c>
      <c r="G10">
        <v>75</v>
      </c>
    </row>
    <row r="12" spans="1:7" x14ac:dyDescent="0.35">
      <c r="C12" s="86"/>
      <c r="D12" s="86"/>
      <c r="E12" s="86"/>
      <c r="F12" s="86"/>
      <c r="G12" s="86"/>
    </row>
  </sheetData>
  <mergeCells count="2"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52EF-A638-4416-9763-C76ADC2FE9B4}">
  <sheetPr codeName="Sheet3">
    <tabColor rgb="FFFF0000"/>
  </sheetPr>
  <dimension ref="A4:J70"/>
  <sheetViews>
    <sheetView workbookViewId="0">
      <selection activeCell="F24" sqref="F24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66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816</v>
      </c>
      <c r="C8">
        <f t="shared" ref="C8:H8" si="0">SUM(C14:C58)</f>
        <v>1378</v>
      </c>
      <c r="E8">
        <f t="shared" si="0"/>
        <v>57</v>
      </c>
      <c r="F8">
        <f t="shared" si="0"/>
        <v>862</v>
      </c>
      <c r="H8">
        <f t="shared" si="0"/>
        <v>122</v>
      </c>
    </row>
    <row r="9" spans="1:10" x14ac:dyDescent="0.35">
      <c r="A9" t="s">
        <v>8</v>
      </c>
      <c r="B9">
        <f>SUMIF($J$14:$J$58,$A9,B$14:B$58)</f>
        <v>559</v>
      </c>
      <c r="C9">
        <f t="shared" ref="C9:H10" si="1">SUMIF($J$14:$J$58,$A9,C$14:C$58)</f>
        <v>880</v>
      </c>
      <c r="E9">
        <f t="shared" si="1"/>
        <v>49</v>
      </c>
      <c r="F9">
        <f t="shared" si="1"/>
        <v>719</v>
      </c>
      <c r="H9">
        <f t="shared" si="1"/>
        <v>72</v>
      </c>
    </row>
    <row r="10" spans="1:10" x14ac:dyDescent="0.35">
      <c r="A10" t="s">
        <v>9</v>
      </c>
      <c r="B10">
        <f>SUMIF($J$14:$J$58,$A10,B$14:B$58)</f>
        <v>257</v>
      </c>
      <c r="C10">
        <f t="shared" si="1"/>
        <v>498</v>
      </c>
      <c r="E10">
        <f t="shared" si="1"/>
        <v>8</v>
      </c>
      <c r="F10">
        <f t="shared" si="1"/>
        <v>143</v>
      </c>
      <c r="H10">
        <f t="shared" si="1"/>
        <v>50</v>
      </c>
    </row>
    <row r="11" spans="1:10" x14ac:dyDescent="0.35">
      <c r="A11" t="s">
        <v>10</v>
      </c>
      <c r="B11">
        <f t="shared" ref="B11:H13" si="2">SUMIF($I$14:$I$58,$A11,B$14:B$58)</f>
        <v>386</v>
      </c>
      <c r="C11">
        <f t="shared" si="2"/>
        <v>696</v>
      </c>
      <c r="E11">
        <f t="shared" si="2"/>
        <v>15</v>
      </c>
      <c r="F11">
        <f t="shared" si="2"/>
        <v>275</v>
      </c>
      <c r="H11">
        <f t="shared" si="2"/>
        <v>58</v>
      </c>
    </row>
    <row r="12" spans="1:10" x14ac:dyDescent="0.35">
      <c r="A12" t="s">
        <v>11</v>
      </c>
      <c r="B12">
        <f t="shared" si="2"/>
        <v>273</v>
      </c>
      <c r="C12">
        <f t="shared" si="2"/>
        <v>452</v>
      </c>
      <c r="E12">
        <f t="shared" si="2"/>
        <v>17</v>
      </c>
      <c r="F12">
        <f t="shared" si="2"/>
        <v>339</v>
      </c>
      <c r="H12">
        <f t="shared" si="2"/>
        <v>43</v>
      </c>
    </row>
    <row r="13" spans="1:10" x14ac:dyDescent="0.35">
      <c r="A13" t="s">
        <v>12</v>
      </c>
      <c r="B13">
        <f>SUMIF($I$14:$I$58,$A13,B$14:B$58)</f>
        <v>157</v>
      </c>
      <c r="C13">
        <f t="shared" si="2"/>
        <v>230</v>
      </c>
      <c r="E13">
        <f t="shared" si="2"/>
        <v>25</v>
      </c>
      <c r="F13">
        <f t="shared" si="2"/>
        <v>248</v>
      </c>
      <c r="H13">
        <f t="shared" si="2"/>
        <v>21</v>
      </c>
    </row>
    <row r="14" spans="1:10" x14ac:dyDescent="0.35">
      <c r="A14" t="s">
        <v>13</v>
      </c>
      <c r="B14">
        <v>29</v>
      </c>
      <c r="C14">
        <v>44</v>
      </c>
      <c r="E14">
        <v>3</v>
      </c>
      <c r="F14">
        <v>18</v>
      </c>
      <c r="H14">
        <v>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17</v>
      </c>
      <c r="C15">
        <v>23</v>
      </c>
      <c r="E15">
        <v>0</v>
      </c>
      <c r="F15">
        <v>6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4</v>
      </c>
      <c r="C16">
        <v>21</v>
      </c>
      <c r="E16">
        <v>0</v>
      </c>
      <c r="F16">
        <v>5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12</v>
      </c>
      <c r="C17">
        <v>13</v>
      </c>
      <c r="E17">
        <v>0</v>
      </c>
      <c r="F17">
        <v>12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4</v>
      </c>
      <c r="C18">
        <v>12</v>
      </c>
      <c r="E18">
        <v>2</v>
      </c>
      <c r="F18">
        <v>29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5</v>
      </c>
      <c r="C19">
        <v>24</v>
      </c>
      <c r="E19">
        <v>0</v>
      </c>
      <c r="F19">
        <v>15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9</v>
      </c>
      <c r="C20">
        <v>18</v>
      </c>
      <c r="E20">
        <v>1</v>
      </c>
      <c r="F20">
        <v>14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5</v>
      </c>
      <c r="C21">
        <v>19</v>
      </c>
      <c r="E21">
        <v>0</v>
      </c>
      <c r="F21">
        <v>4</v>
      </c>
      <c r="H21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6</v>
      </c>
      <c r="C22">
        <v>9</v>
      </c>
      <c r="E22">
        <v>4</v>
      </c>
      <c r="F22">
        <v>12</v>
      </c>
      <c r="H22">
        <v>2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10</v>
      </c>
      <c r="C23">
        <v>29</v>
      </c>
      <c r="E23">
        <v>2</v>
      </c>
      <c r="F23">
        <v>39</v>
      </c>
      <c r="H23"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53</v>
      </c>
      <c r="C24">
        <v>62</v>
      </c>
      <c r="E24">
        <v>4</v>
      </c>
      <c r="F24">
        <v>103</v>
      </c>
      <c r="H24">
        <v>2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32</v>
      </c>
      <c r="C25">
        <v>102</v>
      </c>
      <c r="E25">
        <v>1</v>
      </c>
      <c r="F25">
        <v>11</v>
      </c>
      <c r="H25">
        <v>17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3</v>
      </c>
      <c r="C26">
        <v>8</v>
      </c>
      <c r="E26">
        <v>3</v>
      </c>
      <c r="F26">
        <v>5</v>
      </c>
      <c r="H26">
        <v>2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21</v>
      </c>
      <c r="C27">
        <v>38</v>
      </c>
      <c r="E27">
        <v>0</v>
      </c>
      <c r="F27">
        <v>20</v>
      </c>
      <c r="H27">
        <v>4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37</v>
      </c>
      <c r="C28">
        <v>54</v>
      </c>
      <c r="E28">
        <v>3</v>
      </c>
      <c r="F28">
        <v>67</v>
      </c>
      <c r="H28"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16</v>
      </c>
      <c r="C29">
        <v>15</v>
      </c>
      <c r="E29">
        <v>1</v>
      </c>
      <c r="F29">
        <v>6</v>
      </c>
      <c r="H29">
        <v>2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149</v>
      </c>
      <c r="C30">
        <v>270</v>
      </c>
      <c r="E30">
        <v>3</v>
      </c>
      <c r="F30">
        <v>28</v>
      </c>
      <c r="H30">
        <v>41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17</v>
      </c>
      <c r="C31">
        <v>52</v>
      </c>
      <c r="E31">
        <v>0</v>
      </c>
      <c r="F31">
        <v>7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20</v>
      </c>
      <c r="C32">
        <v>31</v>
      </c>
      <c r="E32">
        <v>1</v>
      </c>
      <c r="F32">
        <v>16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28</v>
      </c>
      <c r="C33">
        <v>18</v>
      </c>
      <c r="E33">
        <v>0</v>
      </c>
      <c r="F33">
        <v>27</v>
      </c>
      <c r="H33">
        <v>4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16</v>
      </c>
      <c r="C34">
        <v>18</v>
      </c>
      <c r="E34">
        <v>2</v>
      </c>
      <c r="F34">
        <v>28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6</v>
      </c>
      <c r="C35">
        <v>5</v>
      </c>
      <c r="E35">
        <v>1</v>
      </c>
      <c r="F35">
        <v>20</v>
      </c>
      <c r="H35">
        <v>1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10</v>
      </c>
      <c r="C36">
        <v>12</v>
      </c>
      <c r="E36">
        <v>0</v>
      </c>
      <c r="F36">
        <v>6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1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30</v>
      </c>
      <c r="C38">
        <v>28</v>
      </c>
      <c r="E38">
        <v>3</v>
      </c>
      <c r="F38">
        <v>32</v>
      </c>
      <c r="H38">
        <v>2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8</v>
      </c>
      <c r="C39">
        <v>16</v>
      </c>
      <c r="E39">
        <v>0</v>
      </c>
      <c r="F39">
        <v>22</v>
      </c>
      <c r="H39">
        <v>3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11</v>
      </c>
      <c r="C40">
        <v>16</v>
      </c>
      <c r="E40">
        <v>0</v>
      </c>
      <c r="F40">
        <v>13</v>
      </c>
      <c r="H40">
        <v>7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7</v>
      </c>
      <c r="C41">
        <v>14</v>
      </c>
      <c r="E41">
        <v>1</v>
      </c>
      <c r="F41">
        <v>20</v>
      </c>
      <c r="H41">
        <v>1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16</v>
      </c>
      <c r="C42">
        <v>53</v>
      </c>
      <c r="E42">
        <v>1</v>
      </c>
      <c r="F42">
        <v>36</v>
      </c>
      <c r="H42">
        <v>7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26</v>
      </c>
      <c r="C43">
        <v>8</v>
      </c>
      <c r="E43">
        <v>6</v>
      </c>
      <c r="F43">
        <v>10</v>
      </c>
      <c r="H43">
        <v>10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12</v>
      </c>
      <c r="C44">
        <v>44</v>
      </c>
      <c r="E44">
        <v>3</v>
      </c>
      <c r="F44">
        <v>12</v>
      </c>
      <c r="H44"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8</v>
      </c>
      <c r="C45">
        <v>21</v>
      </c>
      <c r="E45">
        <v>1</v>
      </c>
      <c r="F45">
        <v>22</v>
      </c>
      <c r="H45">
        <v>2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6</v>
      </c>
      <c r="C46">
        <v>12</v>
      </c>
      <c r="E46">
        <v>0</v>
      </c>
      <c r="F46">
        <v>11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20</v>
      </c>
      <c r="C47">
        <v>22</v>
      </c>
      <c r="E47">
        <v>0</v>
      </c>
      <c r="F47">
        <v>16</v>
      </c>
      <c r="H47"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14</v>
      </c>
      <c r="C48">
        <v>23</v>
      </c>
      <c r="E48">
        <v>2</v>
      </c>
      <c r="F48">
        <v>24</v>
      </c>
      <c r="H48">
        <v>4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0</v>
      </c>
      <c r="C49">
        <v>0</v>
      </c>
      <c r="E49">
        <v>0</v>
      </c>
      <c r="F49">
        <v>0</v>
      </c>
      <c r="H49">
        <v>0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12</v>
      </c>
      <c r="C50">
        <v>21</v>
      </c>
      <c r="E50">
        <v>0</v>
      </c>
      <c r="F50">
        <v>18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19</v>
      </c>
      <c r="C51">
        <v>16</v>
      </c>
      <c r="E51">
        <v>2</v>
      </c>
      <c r="F51">
        <v>21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11</v>
      </c>
      <c r="C52">
        <v>7</v>
      </c>
      <c r="E52">
        <v>0</v>
      </c>
      <c r="F52">
        <v>11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23</v>
      </c>
      <c r="C53">
        <v>28</v>
      </c>
      <c r="E53">
        <v>0</v>
      </c>
      <c r="F53">
        <v>13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0</v>
      </c>
      <c r="C54">
        <v>6</v>
      </c>
      <c r="E54">
        <v>1</v>
      </c>
      <c r="F54">
        <v>2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15</v>
      </c>
      <c r="C55">
        <v>9</v>
      </c>
      <c r="E55">
        <v>1</v>
      </c>
      <c r="F55">
        <v>4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32</v>
      </c>
      <c r="C56">
        <v>43</v>
      </c>
      <c r="E56">
        <v>0</v>
      </c>
      <c r="F56">
        <v>20</v>
      </c>
      <c r="H56">
        <v>2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6</v>
      </c>
      <c r="C57">
        <v>41</v>
      </c>
      <c r="E57">
        <v>2</v>
      </c>
      <c r="F57">
        <v>24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31</v>
      </c>
      <c r="C58">
        <v>53</v>
      </c>
      <c r="E58">
        <v>3</v>
      </c>
      <c r="F58">
        <v>32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9B48-DF51-43B4-A51A-D67478BF6D06}">
  <sheetPr codeName="Sheet4">
    <tabColor rgb="FFFF0000"/>
  </sheetPr>
  <dimension ref="A4:J70"/>
  <sheetViews>
    <sheetView workbookViewId="0">
      <selection activeCell="E21" sqref="E21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67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939</v>
      </c>
      <c r="C8">
        <f t="shared" ref="C8:H8" si="0">SUM(C14:C58)</f>
        <v>1319</v>
      </c>
      <c r="E8">
        <f t="shared" si="0"/>
        <v>56</v>
      </c>
      <c r="F8">
        <f t="shared" si="0"/>
        <v>801</v>
      </c>
      <c r="H8">
        <f t="shared" si="0"/>
        <v>145</v>
      </c>
    </row>
    <row r="9" spans="1:10" x14ac:dyDescent="0.35">
      <c r="A9" t="s">
        <v>8</v>
      </c>
      <c r="B9">
        <f>SUMIF($J$14:$J$58,$A9,B$14:B$58)</f>
        <v>653</v>
      </c>
      <c r="C9">
        <f t="shared" ref="C9:H10" si="1">SUMIF($J$14:$J$58,$A9,C$14:C$58)</f>
        <v>824</v>
      </c>
      <c r="E9">
        <f t="shared" si="1"/>
        <v>43</v>
      </c>
      <c r="F9">
        <f t="shared" si="1"/>
        <v>646</v>
      </c>
      <c r="H9">
        <f t="shared" si="1"/>
        <v>77</v>
      </c>
    </row>
    <row r="10" spans="1:10" x14ac:dyDescent="0.35">
      <c r="A10" t="s">
        <v>9</v>
      </c>
      <c r="B10">
        <f>SUMIF($J$14:$J$58,$A10,B$14:B$58)</f>
        <v>286</v>
      </c>
      <c r="C10">
        <f t="shared" si="1"/>
        <v>495</v>
      </c>
      <c r="E10">
        <f t="shared" si="1"/>
        <v>13</v>
      </c>
      <c r="F10">
        <f t="shared" si="1"/>
        <v>155</v>
      </c>
      <c r="H10">
        <f t="shared" si="1"/>
        <v>68</v>
      </c>
    </row>
    <row r="11" spans="1:10" x14ac:dyDescent="0.35">
      <c r="A11" t="s">
        <v>10</v>
      </c>
      <c r="B11">
        <f t="shared" ref="B11:H13" si="2">SUMIF($I$14:$I$58,$A11,B$14:B$58)</f>
        <v>426</v>
      </c>
      <c r="C11">
        <f t="shared" si="2"/>
        <v>686</v>
      </c>
      <c r="E11">
        <f t="shared" si="2"/>
        <v>20</v>
      </c>
      <c r="F11">
        <f t="shared" si="2"/>
        <v>247</v>
      </c>
      <c r="H11">
        <f t="shared" si="2"/>
        <v>89</v>
      </c>
    </row>
    <row r="12" spans="1:10" x14ac:dyDescent="0.35">
      <c r="A12" t="s">
        <v>11</v>
      </c>
      <c r="B12">
        <f t="shared" si="2"/>
        <v>286</v>
      </c>
      <c r="C12">
        <f t="shared" si="2"/>
        <v>401</v>
      </c>
      <c r="E12">
        <f t="shared" si="2"/>
        <v>18</v>
      </c>
      <c r="F12">
        <f t="shared" si="2"/>
        <v>376</v>
      </c>
      <c r="H12">
        <f t="shared" si="2"/>
        <v>27</v>
      </c>
    </row>
    <row r="13" spans="1:10" x14ac:dyDescent="0.35">
      <c r="A13" t="s">
        <v>12</v>
      </c>
      <c r="B13">
        <f>SUMIF($I$14:$I$58,$A13,B$14:B$58)</f>
        <v>227</v>
      </c>
      <c r="C13">
        <f t="shared" si="2"/>
        <v>232</v>
      </c>
      <c r="E13">
        <f t="shared" si="2"/>
        <v>18</v>
      </c>
      <c r="F13">
        <f t="shared" si="2"/>
        <v>178</v>
      </c>
      <c r="H13">
        <f t="shared" si="2"/>
        <v>29</v>
      </c>
    </row>
    <row r="14" spans="1:10" x14ac:dyDescent="0.35">
      <c r="A14" t="s">
        <v>13</v>
      </c>
      <c r="B14">
        <v>33</v>
      </c>
      <c r="C14">
        <v>41</v>
      </c>
      <c r="E14">
        <v>0</v>
      </c>
      <c r="F14">
        <v>21</v>
      </c>
      <c r="H14">
        <v>5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14</v>
      </c>
      <c r="C15">
        <v>20</v>
      </c>
      <c r="E15">
        <v>0</v>
      </c>
      <c r="F15">
        <v>6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11</v>
      </c>
      <c r="C16">
        <v>27</v>
      </c>
      <c r="E16">
        <v>0</v>
      </c>
      <c r="F16">
        <v>6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19</v>
      </c>
      <c r="C17">
        <v>13</v>
      </c>
      <c r="E17">
        <v>3</v>
      </c>
      <c r="F17">
        <v>9</v>
      </c>
      <c r="H17">
        <v>2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0</v>
      </c>
      <c r="C18">
        <v>15</v>
      </c>
      <c r="E18">
        <v>1</v>
      </c>
      <c r="F18">
        <v>22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8</v>
      </c>
      <c r="C19">
        <v>24</v>
      </c>
      <c r="E19">
        <v>0</v>
      </c>
      <c r="F19">
        <v>29</v>
      </c>
      <c r="H19">
        <v>2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8</v>
      </c>
      <c r="C20">
        <v>6</v>
      </c>
      <c r="E20">
        <v>0</v>
      </c>
      <c r="F20">
        <v>5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2</v>
      </c>
      <c r="C21">
        <v>5</v>
      </c>
      <c r="E21">
        <v>0</v>
      </c>
      <c r="F21">
        <v>6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11</v>
      </c>
      <c r="C22">
        <v>9</v>
      </c>
      <c r="E22">
        <v>2</v>
      </c>
      <c r="F22">
        <v>5</v>
      </c>
      <c r="H22">
        <v>2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15</v>
      </c>
      <c r="C23">
        <v>33</v>
      </c>
      <c r="E23">
        <v>0</v>
      </c>
      <c r="F23">
        <v>27</v>
      </c>
      <c r="H23">
        <v>3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63</v>
      </c>
      <c r="C24">
        <v>61</v>
      </c>
      <c r="E24">
        <v>4</v>
      </c>
      <c r="F24">
        <v>47</v>
      </c>
      <c r="H24">
        <v>8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38</v>
      </c>
      <c r="C25">
        <v>44</v>
      </c>
      <c r="E25">
        <v>1</v>
      </c>
      <c r="F25">
        <v>54</v>
      </c>
      <c r="H25">
        <v>10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2</v>
      </c>
      <c r="C26">
        <v>13</v>
      </c>
      <c r="E26">
        <v>1</v>
      </c>
      <c r="F26">
        <v>4</v>
      </c>
      <c r="H26">
        <v>1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15</v>
      </c>
      <c r="C27">
        <v>42</v>
      </c>
      <c r="E27">
        <v>2</v>
      </c>
      <c r="F27">
        <v>23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46</v>
      </c>
      <c r="C28">
        <v>40</v>
      </c>
      <c r="E28">
        <v>4</v>
      </c>
      <c r="F28">
        <v>61</v>
      </c>
      <c r="H28">
        <v>3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13</v>
      </c>
      <c r="C29">
        <v>9</v>
      </c>
      <c r="E29">
        <v>0</v>
      </c>
      <c r="F29">
        <v>8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161</v>
      </c>
      <c r="C30">
        <v>252</v>
      </c>
      <c r="E30">
        <v>12</v>
      </c>
      <c r="F30">
        <v>60</v>
      </c>
      <c r="H30">
        <v>38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19</v>
      </c>
      <c r="C31">
        <v>65</v>
      </c>
      <c r="E31">
        <v>0</v>
      </c>
      <c r="F31">
        <v>16</v>
      </c>
      <c r="H31">
        <v>7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16</v>
      </c>
      <c r="C32">
        <v>34</v>
      </c>
      <c r="E32">
        <v>4</v>
      </c>
      <c r="F32">
        <v>18</v>
      </c>
      <c r="H32">
        <v>3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30</v>
      </c>
      <c r="C33">
        <v>21</v>
      </c>
      <c r="E33">
        <v>0</v>
      </c>
      <c r="F33">
        <v>15</v>
      </c>
      <c r="H33"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16</v>
      </c>
      <c r="C34">
        <v>27</v>
      </c>
      <c r="E34">
        <v>2</v>
      </c>
      <c r="F34">
        <v>17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11</v>
      </c>
      <c r="C35">
        <v>7</v>
      </c>
      <c r="E35">
        <v>0</v>
      </c>
      <c r="F35">
        <v>12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1</v>
      </c>
      <c r="C36">
        <v>3</v>
      </c>
      <c r="E36">
        <v>0</v>
      </c>
      <c r="F36">
        <v>4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18</v>
      </c>
      <c r="C38">
        <v>41</v>
      </c>
      <c r="E38">
        <v>5</v>
      </c>
      <c r="F38">
        <v>55</v>
      </c>
      <c r="H38">
        <v>1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11</v>
      </c>
      <c r="C39">
        <v>18</v>
      </c>
      <c r="E39">
        <v>0</v>
      </c>
      <c r="F39">
        <v>5</v>
      </c>
      <c r="H39">
        <v>8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10</v>
      </c>
      <c r="C40">
        <v>24</v>
      </c>
      <c r="E40">
        <v>0</v>
      </c>
      <c r="F40">
        <v>15</v>
      </c>
      <c r="H40">
        <v>2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8</v>
      </c>
      <c r="C41">
        <v>5</v>
      </c>
      <c r="E41">
        <v>1</v>
      </c>
      <c r="F41">
        <v>20</v>
      </c>
      <c r="H41">
        <v>3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24</v>
      </c>
      <c r="C42">
        <v>43</v>
      </c>
      <c r="E42">
        <v>0</v>
      </c>
      <c r="F42">
        <v>28</v>
      </c>
      <c r="H42">
        <v>8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49</v>
      </c>
      <c r="C43">
        <v>44</v>
      </c>
      <c r="E43">
        <v>3</v>
      </c>
      <c r="F43">
        <v>12</v>
      </c>
      <c r="H43">
        <v>3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25</v>
      </c>
      <c r="C44">
        <v>45</v>
      </c>
      <c r="E44">
        <v>2</v>
      </c>
      <c r="F44">
        <v>14</v>
      </c>
      <c r="H44"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16</v>
      </c>
      <c r="C45">
        <v>16</v>
      </c>
      <c r="E45">
        <v>3</v>
      </c>
      <c r="F45">
        <v>19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12</v>
      </c>
      <c r="C46">
        <v>9</v>
      </c>
      <c r="E46">
        <v>1</v>
      </c>
      <c r="F46">
        <v>9</v>
      </c>
      <c r="H46">
        <v>1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19</v>
      </c>
      <c r="C47">
        <v>13</v>
      </c>
      <c r="E47">
        <v>0</v>
      </c>
      <c r="F47">
        <v>13</v>
      </c>
      <c r="H47">
        <v>3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18</v>
      </c>
      <c r="C48">
        <v>12</v>
      </c>
      <c r="E48">
        <v>3</v>
      </c>
      <c r="F48">
        <v>27</v>
      </c>
      <c r="H48">
        <v>3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28</v>
      </c>
      <c r="C49">
        <v>10</v>
      </c>
      <c r="E49">
        <v>0</v>
      </c>
      <c r="F49">
        <v>2</v>
      </c>
      <c r="H49">
        <v>7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10</v>
      </c>
      <c r="C50">
        <v>17</v>
      </c>
      <c r="E50">
        <v>1</v>
      </c>
      <c r="F50">
        <v>12</v>
      </c>
      <c r="H50">
        <v>1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18</v>
      </c>
      <c r="C51">
        <v>18</v>
      </c>
      <c r="E51">
        <v>0</v>
      </c>
      <c r="F51">
        <v>19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8</v>
      </c>
      <c r="C52">
        <v>1</v>
      </c>
      <c r="E52">
        <v>0</v>
      </c>
      <c r="F52">
        <v>6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26</v>
      </c>
      <c r="C53">
        <v>25</v>
      </c>
      <c r="E53">
        <v>1</v>
      </c>
      <c r="F53">
        <v>7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20</v>
      </c>
      <c r="C54">
        <v>27</v>
      </c>
      <c r="E54">
        <v>0</v>
      </c>
      <c r="F54">
        <v>7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6</v>
      </c>
      <c r="C55">
        <v>16</v>
      </c>
      <c r="E55">
        <v>0</v>
      </c>
      <c r="F55">
        <v>5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26</v>
      </c>
      <c r="C56">
        <v>46</v>
      </c>
      <c r="E56">
        <v>0</v>
      </c>
      <c r="F56">
        <v>13</v>
      </c>
      <c r="H56">
        <v>14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9</v>
      </c>
      <c r="C57">
        <v>33</v>
      </c>
      <c r="E57">
        <v>0</v>
      </c>
      <c r="F57">
        <v>19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26</v>
      </c>
      <c r="C58">
        <v>45</v>
      </c>
      <c r="E58">
        <v>0</v>
      </c>
      <c r="F58">
        <v>19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7D4A-DB34-45A5-BC19-7B4319F27015}">
  <sheetPr codeName="Sheet5">
    <tabColor rgb="FFC00000"/>
  </sheetPr>
  <dimension ref="A4:J70"/>
  <sheetViews>
    <sheetView workbookViewId="0">
      <selection activeCell="D20" sqref="D20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68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770</v>
      </c>
      <c r="C8">
        <f t="shared" ref="C8:H8" si="0">SUM(C14:C58)</f>
        <v>1226</v>
      </c>
      <c r="E8">
        <f t="shared" si="0"/>
        <v>52</v>
      </c>
      <c r="F8">
        <f t="shared" si="0"/>
        <v>704</v>
      </c>
      <c r="H8">
        <f t="shared" si="0"/>
        <v>79</v>
      </c>
    </row>
    <row r="9" spans="1:10" x14ac:dyDescent="0.35">
      <c r="A9" t="s">
        <v>8</v>
      </c>
      <c r="B9">
        <f>SUMIF($J$14:$J$58,$A9,B$14:B$58)</f>
        <v>501</v>
      </c>
      <c r="C9">
        <f t="shared" ref="C9:H10" si="1">SUMIF($J$14:$J$58,$A9,C$14:C$58)</f>
        <v>747</v>
      </c>
      <c r="E9">
        <f t="shared" si="1"/>
        <v>49</v>
      </c>
      <c r="F9">
        <f t="shared" si="1"/>
        <v>580</v>
      </c>
      <c r="H9">
        <f t="shared" si="1"/>
        <v>64</v>
      </c>
    </row>
    <row r="10" spans="1:10" x14ac:dyDescent="0.35">
      <c r="A10" t="s">
        <v>9</v>
      </c>
      <c r="B10">
        <f>SUMIF($J$14:$J$58,$A10,B$14:B$58)</f>
        <v>269</v>
      </c>
      <c r="C10">
        <f t="shared" si="1"/>
        <v>479</v>
      </c>
      <c r="E10">
        <f t="shared" si="1"/>
        <v>3</v>
      </c>
      <c r="F10">
        <f t="shared" si="1"/>
        <v>124</v>
      </c>
      <c r="H10">
        <f t="shared" si="1"/>
        <v>15</v>
      </c>
    </row>
    <row r="11" spans="1:10" x14ac:dyDescent="0.35">
      <c r="A11" t="s">
        <v>10</v>
      </c>
      <c r="B11">
        <f t="shared" ref="B11:H13" si="2">SUMIF($I$14:$I$58,$A11,B$14:B$58)</f>
        <v>392</v>
      </c>
      <c r="C11">
        <f t="shared" si="2"/>
        <v>665</v>
      </c>
      <c r="E11">
        <f t="shared" si="2"/>
        <v>17</v>
      </c>
      <c r="F11">
        <f t="shared" si="2"/>
        <v>208</v>
      </c>
      <c r="H11">
        <f t="shared" si="2"/>
        <v>31</v>
      </c>
    </row>
    <row r="12" spans="1:10" x14ac:dyDescent="0.35">
      <c r="A12" t="s">
        <v>11</v>
      </c>
      <c r="B12">
        <f t="shared" si="2"/>
        <v>209</v>
      </c>
      <c r="C12">
        <f t="shared" si="2"/>
        <v>337</v>
      </c>
      <c r="E12">
        <f t="shared" si="2"/>
        <v>17</v>
      </c>
      <c r="F12">
        <f t="shared" si="2"/>
        <v>334</v>
      </c>
      <c r="H12">
        <f t="shared" si="2"/>
        <v>22</v>
      </c>
    </row>
    <row r="13" spans="1:10" x14ac:dyDescent="0.35">
      <c r="A13" t="s">
        <v>12</v>
      </c>
      <c r="B13">
        <f>SUMIF($I$14:$I$58,$A13,B$14:B$58)</f>
        <v>169</v>
      </c>
      <c r="C13">
        <f t="shared" si="2"/>
        <v>224</v>
      </c>
      <c r="E13">
        <f t="shared" si="2"/>
        <v>18</v>
      </c>
      <c r="F13">
        <f t="shared" si="2"/>
        <v>162</v>
      </c>
      <c r="H13">
        <f t="shared" si="2"/>
        <v>26</v>
      </c>
    </row>
    <row r="14" spans="1:10" x14ac:dyDescent="0.35">
      <c r="A14" t="s">
        <v>13</v>
      </c>
      <c r="B14">
        <v>24</v>
      </c>
      <c r="C14">
        <v>29</v>
      </c>
      <c r="E14">
        <v>3</v>
      </c>
      <c r="F14">
        <v>20</v>
      </c>
      <c r="H14">
        <v>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10</v>
      </c>
      <c r="C15">
        <v>9</v>
      </c>
      <c r="E15">
        <v>0</v>
      </c>
      <c r="F15">
        <v>8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5</v>
      </c>
      <c r="C16">
        <v>14</v>
      </c>
      <c r="E16">
        <v>2</v>
      </c>
      <c r="F16">
        <v>5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8</v>
      </c>
      <c r="C17">
        <v>11</v>
      </c>
      <c r="E17">
        <v>0</v>
      </c>
      <c r="F17">
        <v>9</v>
      </c>
      <c r="H17">
        <v>2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3</v>
      </c>
      <c r="C18">
        <v>14</v>
      </c>
      <c r="E18">
        <v>1</v>
      </c>
      <c r="F18">
        <v>16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4</v>
      </c>
      <c r="C19">
        <v>9</v>
      </c>
      <c r="E19">
        <v>0</v>
      </c>
      <c r="F19">
        <v>23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8</v>
      </c>
      <c r="C20">
        <v>25</v>
      </c>
      <c r="E20">
        <v>2</v>
      </c>
      <c r="F20">
        <v>8</v>
      </c>
      <c r="H20"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4</v>
      </c>
      <c r="C21">
        <v>3</v>
      </c>
      <c r="E21">
        <v>2</v>
      </c>
      <c r="F21">
        <v>1</v>
      </c>
      <c r="H21">
        <v>2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5</v>
      </c>
      <c r="C22">
        <v>7</v>
      </c>
      <c r="E22">
        <v>0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8</v>
      </c>
      <c r="C23">
        <v>23</v>
      </c>
      <c r="E23">
        <v>1</v>
      </c>
      <c r="F23">
        <v>20</v>
      </c>
      <c r="H23">
        <v>3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52</v>
      </c>
      <c r="C24">
        <v>66</v>
      </c>
      <c r="E24">
        <v>6</v>
      </c>
      <c r="F24">
        <v>57</v>
      </c>
      <c r="H24">
        <v>4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24</v>
      </c>
      <c r="C25">
        <v>36</v>
      </c>
      <c r="E25">
        <v>1</v>
      </c>
      <c r="F25">
        <v>55</v>
      </c>
      <c r="H25">
        <v>2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5</v>
      </c>
      <c r="C26">
        <v>8</v>
      </c>
      <c r="E26">
        <v>1</v>
      </c>
      <c r="F26">
        <v>3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17</v>
      </c>
      <c r="C27">
        <v>33</v>
      </c>
      <c r="E27">
        <v>1</v>
      </c>
      <c r="F27">
        <v>19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39</v>
      </c>
      <c r="C28">
        <v>49</v>
      </c>
      <c r="E28">
        <v>1</v>
      </c>
      <c r="F28">
        <v>55</v>
      </c>
      <c r="H28">
        <v>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4</v>
      </c>
      <c r="C29">
        <v>18</v>
      </c>
      <c r="E29">
        <v>0</v>
      </c>
      <c r="F29">
        <v>3</v>
      </c>
      <c r="H29">
        <v>2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151</v>
      </c>
      <c r="C30">
        <v>289</v>
      </c>
      <c r="E30">
        <v>1</v>
      </c>
      <c r="F30">
        <v>27</v>
      </c>
      <c r="H30">
        <v>9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29</v>
      </c>
      <c r="C31">
        <v>41</v>
      </c>
      <c r="E31">
        <v>2</v>
      </c>
      <c r="F31">
        <v>17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19</v>
      </c>
      <c r="C32">
        <v>30</v>
      </c>
      <c r="E32">
        <v>2</v>
      </c>
      <c r="F32">
        <v>18</v>
      </c>
      <c r="H32">
        <v>5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14</v>
      </c>
      <c r="C33">
        <v>14</v>
      </c>
      <c r="E33">
        <v>2</v>
      </c>
      <c r="F33">
        <v>8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15</v>
      </c>
      <c r="C34">
        <v>17</v>
      </c>
      <c r="E34">
        <v>5</v>
      </c>
      <c r="F34">
        <v>16</v>
      </c>
      <c r="H34">
        <v>1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4</v>
      </c>
      <c r="C35">
        <v>12</v>
      </c>
      <c r="E35">
        <v>3</v>
      </c>
      <c r="F35">
        <v>15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2</v>
      </c>
      <c r="C36">
        <v>6</v>
      </c>
      <c r="E36">
        <v>0</v>
      </c>
      <c r="F36">
        <v>1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21</v>
      </c>
      <c r="C38">
        <v>26</v>
      </c>
      <c r="E38">
        <v>0</v>
      </c>
      <c r="F38">
        <v>41</v>
      </c>
      <c r="H38"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13</v>
      </c>
      <c r="C39">
        <v>20</v>
      </c>
      <c r="E39">
        <v>0</v>
      </c>
      <c r="F39">
        <v>7</v>
      </c>
      <c r="H39">
        <v>1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11</v>
      </c>
      <c r="C40">
        <v>29</v>
      </c>
      <c r="E40">
        <v>1</v>
      </c>
      <c r="F40">
        <v>10</v>
      </c>
      <c r="H40">
        <v>4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3</v>
      </c>
      <c r="C41">
        <v>11</v>
      </c>
      <c r="E41">
        <v>0</v>
      </c>
      <c r="F41">
        <v>18</v>
      </c>
      <c r="H41">
        <v>0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15</v>
      </c>
      <c r="C42">
        <v>43</v>
      </c>
      <c r="E42">
        <v>0</v>
      </c>
      <c r="F42">
        <v>28</v>
      </c>
      <c r="H42">
        <v>0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29</v>
      </c>
      <c r="C43">
        <v>27</v>
      </c>
      <c r="E43">
        <v>4</v>
      </c>
      <c r="F43">
        <v>21</v>
      </c>
      <c r="H43">
        <v>11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11</v>
      </c>
      <c r="C44">
        <v>32</v>
      </c>
      <c r="E44">
        <v>0</v>
      </c>
      <c r="F44">
        <v>15</v>
      </c>
      <c r="H44">
        <v>2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18</v>
      </c>
      <c r="C45">
        <v>10</v>
      </c>
      <c r="E45">
        <v>2</v>
      </c>
      <c r="F45">
        <v>28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7</v>
      </c>
      <c r="C46">
        <v>10</v>
      </c>
      <c r="E46">
        <v>2</v>
      </c>
      <c r="F46">
        <v>10</v>
      </c>
      <c r="H46">
        <v>2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20</v>
      </c>
      <c r="C47">
        <v>22</v>
      </c>
      <c r="E47">
        <v>0</v>
      </c>
      <c r="F47">
        <v>6</v>
      </c>
      <c r="H47"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13</v>
      </c>
      <c r="C48">
        <v>24</v>
      </c>
      <c r="E48">
        <v>1</v>
      </c>
      <c r="F48">
        <v>8</v>
      </c>
      <c r="H48">
        <v>3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23</v>
      </c>
      <c r="C49">
        <v>7</v>
      </c>
      <c r="E49">
        <v>1</v>
      </c>
      <c r="F49">
        <v>5</v>
      </c>
      <c r="H49">
        <v>1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9</v>
      </c>
      <c r="C50">
        <v>15</v>
      </c>
      <c r="E50">
        <v>0</v>
      </c>
      <c r="F50">
        <v>13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19</v>
      </c>
      <c r="C51">
        <v>27</v>
      </c>
      <c r="E51">
        <v>1</v>
      </c>
      <c r="F51">
        <v>17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12</v>
      </c>
      <c r="C52">
        <v>9</v>
      </c>
      <c r="E52">
        <v>0</v>
      </c>
      <c r="F52">
        <v>5</v>
      </c>
      <c r="H52">
        <v>1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19</v>
      </c>
      <c r="C53">
        <v>29</v>
      </c>
      <c r="E53">
        <v>0</v>
      </c>
      <c r="F53">
        <v>4</v>
      </c>
      <c r="H53">
        <v>5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17</v>
      </c>
      <c r="C54">
        <v>22</v>
      </c>
      <c r="E54">
        <v>0</v>
      </c>
      <c r="F54">
        <v>7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6</v>
      </c>
      <c r="C55">
        <v>10</v>
      </c>
      <c r="E55">
        <v>3</v>
      </c>
      <c r="F55">
        <v>6</v>
      </c>
      <c r="H55">
        <v>4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23</v>
      </c>
      <c r="C56">
        <v>32</v>
      </c>
      <c r="E56">
        <v>0</v>
      </c>
      <c r="F56">
        <v>13</v>
      </c>
      <c r="H56">
        <v>5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2</v>
      </c>
      <c r="C57">
        <v>21</v>
      </c>
      <c r="E57">
        <v>1</v>
      </c>
      <c r="F57">
        <v>17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25</v>
      </c>
      <c r="C58">
        <v>37</v>
      </c>
      <c r="E58">
        <v>0</v>
      </c>
      <c r="F58">
        <v>19</v>
      </c>
      <c r="H58">
        <v>1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296E-5C62-4564-B3BF-CFF6E556010E}">
  <sheetPr codeName="Sheet6">
    <tabColor rgb="FFFF0000"/>
  </sheetPr>
  <dimension ref="A4:J70"/>
  <sheetViews>
    <sheetView workbookViewId="0">
      <selection activeCell="E26" sqref="E26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69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808</v>
      </c>
      <c r="C8">
        <f t="shared" ref="C8:H8" si="0">SUM(C14:C58)</f>
        <v>1121</v>
      </c>
      <c r="E8">
        <f t="shared" si="0"/>
        <v>50</v>
      </c>
      <c r="F8">
        <f t="shared" si="0"/>
        <v>685</v>
      </c>
      <c r="H8">
        <f t="shared" si="0"/>
        <v>100</v>
      </c>
    </row>
    <row r="9" spans="1:10" x14ac:dyDescent="0.35">
      <c r="A9" t="s">
        <v>8</v>
      </c>
      <c r="B9">
        <f>SUMIF($J$14:$J$58,$A9,B$14:B$58)</f>
        <v>542</v>
      </c>
      <c r="C9">
        <f t="shared" ref="C9:H10" si="1">SUMIF($J$14:$J$58,$A9,C$14:C$58)</f>
        <v>682</v>
      </c>
      <c r="E9">
        <f t="shared" si="1"/>
        <v>46</v>
      </c>
      <c r="F9">
        <f t="shared" si="1"/>
        <v>550</v>
      </c>
      <c r="H9">
        <f t="shared" si="1"/>
        <v>77</v>
      </c>
    </row>
    <row r="10" spans="1:10" x14ac:dyDescent="0.35">
      <c r="A10" t="s">
        <v>9</v>
      </c>
      <c r="B10">
        <f>SUMIF($J$14:$J$58,$A10,B$14:B$58)</f>
        <v>266</v>
      </c>
      <c r="C10">
        <f t="shared" si="1"/>
        <v>439</v>
      </c>
      <c r="E10">
        <f t="shared" si="1"/>
        <v>4</v>
      </c>
      <c r="F10">
        <f t="shared" si="1"/>
        <v>135</v>
      </c>
      <c r="H10">
        <f t="shared" si="1"/>
        <v>23</v>
      </c>
    </row>
    <row r="11" spans="1:10" x14ac:dyDescent="0.35">
      <c r="A11" t="s">
        <v>10</v>
      </c>
      <c r="B11">
        <f t="shared" ref="B11:H13" si="2">SUMIF($I$14:$I$58,$A11,B$14:B$58)</f>
        <v>409</v>
      </c>
      <c r="C11">
        <f t="shared" si="2"/>
        <v>633</v>
      </c>
      <c r="E11">
        <f t="shared" si="2"/>
        <v>21</v>
      </c>
      <c r="F11">
        <f t="shared" si="2"/>
        <v>225</v>
      </c>
      <c r="H11">
        <f t="shared" si="2"/>
        <v>43</v>
      </c>
    </row>
    <row r="12" spans="1:10" x14ac:dyDescent="0.35">
      <c r="A12" t="s">
        <v>11</v>
      </c>
      <c r="B12">
        <f t="shared" si="2"/>
        <v>263</v>
      </c>
      <c r="C12">
        <f t="shared" si="2"/>
        <v>290</v>
      </c>
      <c r="E12">
        <f t="shared" si="2"/>
        <v>18</v>
      </c>
      <c r="F12">
        <f t="shared" si="2"/>
        <v>295</v>
      </c>
      <c r="H12">
        <f t="shared" si="2"/>
        <v>23</v>
      </c>
    </row>
    <row r="13" spans="1:10" x14ac:dyDescent="0.35">
      <c r="A13" t="s">
        <v>12</v>
      </c>
      <c r="B13">
        <f>SUMIF($I$14:$I$58,$A13,B$14:B$58)</f>
        <v>136</v>
      </c>
      <c r="C13">
        <f t="shared" si="2"/>
        <v>198</v>
      </c>
      <c r="E13">
        <f t="shared" si="2"/>
        <v>11</v>
      </c>
      <c r="F13">
        <f t="shared" si="2"/>
        <v>165</v>
      </c>
      <c r="H13">
        <f t="shared" si="2"/>
        <v>34</v>
      </c>
    </row>
    <row r="14" spans="1:10" x14ac:dyDescent="0.35">
      <c r="A14" t="s">
        <v>13</v>
      </c>
      <c r="B14">
        <v>25</v>
      </c>
      <c r="C14">
        <v>39</v>
      </c>
      <c r="E14">
        <v>3</v>
      </c>
      <c r="F14">
        <v>25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8</v>
      </c>
      <c r="C15">
        <v>15</v>
      </c>
      <c r="E15">
        <v>0</v>
      </c>
      <c r="F15">
        <v>5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15</v>
      </c>
      <c r="C16">
        <v>20</v>
      </c>
      <c r="E16">
        <v>0</v>
      </c>
      <c r="F16">
        <v>6</v>
      </c>
      <c r="H16">
        <v>1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10</v>
      </c>
      <c r="C17">
        <v>19</v>
      </c>
      <c r="E17">
        <v>1</v>
      </c>
      <c r="F17">
        <v>7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3</v>
      </c>
      <c r="C18">
        <v>13</v>
      </c>
      <c r="E18">
        <v>1</v>
      </c>
      <c r="F18">
        <v>16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15</v>
      </c>
      <c r="C19">
        <v>21</v>
      </c>
      <c r="E19">
        <v>0</v>
      </c>
      <c r="F19">
        <v>17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11</v>
      </c>
      <c r="C20">
        <v>20</v>
      </c>
      <c r="E20">
        <v>0</v>
      </c>
      <c r="F20">
        <v>3</v>
      </c>
      <c r="H20"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2</v>
      </c>
      <c r="C21">
        <v>6</v>
      </c>
      <c r="E21">
        <v>0</v>
      </c>
      <c r="F21">
        <v>6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9</v>
      </c>
      <c r="C22">
        <v>9</v>
      </c>
      <c r="E22">
        <v>0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13</v>
      </c>
      <c r="C23">
        <v>18</v>
      </c>
      <c r="E23">
        <v>0</v>
      </c>
      <c r="F23">
        <v>24</v>
      </c>
      <c r="H23">
        <v>4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42</v>
      </c>
      <c r="C24">
        <v>51</v>
      </c>
      <c r="E24">
        <v>4</v>
      </c>
      <c r="F24">
        <v>54</v>
      </c>
      <c r="H24">
        <v>10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22</v>
      </c>
      <c r="C25">
        <v>36</v>
      </c>
      <c r="E25">
        <v>1</v>
      </c>
      <c r="F25">
        <v>30</v>
      </c>
      <c r="H25">
        <v>8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3</v>
      </c>
      <c r="C26">
        <v>15</v>
      </c>
      <c r="E26">
        <v>1</v>
      </c>
      <c r="F26">
        <v>4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21</v>
      </c>
      <c r="C27">
        <v>23</v>
      </c>
      <c r="E27">
        <v>2</v>
      </c>
      <c r="F27">
        <v>20</v>
      </c>
      <c r="H27">
        <v>2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48</v>
      </c>
      <c r="C28">
        <v>26</v>
      </c>
      <c r="E28">
        <v>3</v>
      </c>
      <c r="F28">
        <v>59</v>
      </c>
      <c r="H28"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6</v>
      </c>
      <c r="C29">
        <v>13</v>
      </c>
      <c r="E29">
        <v>0</v>
      </c>
      <c r="F29">
        <v>3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175</v>
      </c>
      <c r="C30">
        <v>269</v>
      </c>
      <c r="E30">
        <v>4</v>
      </c>
      <c r="F30">
        <v>25</v>
      </c>
      <c r="H30">
        <v>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4</v>
      </c>
      <c r="C31">
        <v>0</v>
      </c>
      <c r="E31">
        <v>0</v>
      </c>
      <c r="F31">
        <v>0</v>
      </c>
      <c r="H31"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19</v>
      </c>
      <c r="C32">
        <v>33</v>
      </c>
      <c r="E32">
        <v>12</v>
      </c>
      <c r="F32">
        <v>19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20</v>
      </c>
      <c r="C33">
        <v>15</v>
      </c>
      <c r="E33">
        <v>0</v>
      </c>
      <c r="F33">
        <v>17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19</v>
      </c>
      <c r="C34">
        <v>17</v>
      </c>
      <c r="E34">
        <v>2</v>
      </c>
      <c r="F34">
        <v>11</v>
      </c>
      <c r="H34">
        <v>13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13</v>
      </c>
      <c r="C35">
        <v>14</v>
      </c>
      <c r="E35">
        <v>3</v>
      </c>
      <c r="F35">
        <v>24</v>
      </c>
      <c r="H35">
        <v>3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0</v>
      </c>
      <c r="C36">
        <v>3</v>
      </c>
      <c r="E36">
        <v>0</v>
      </c>
      <c r="F36">
        <v>2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27</v>
      </c>
      <c r="C38">
        <v>22</v>
      </c>
      <c r="E38">
        <v>1</v>
      </c>
      <c r="F38">
        <v>21</v>
      </c>
      <c r="H38"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10</v>
      </c>
      <c r="C39">
        <v>18</v>
      </c>
      <c r="E39">
        <v>0</v>
      </c>
      <c r="F39">
        <v>13</v>
      </c>
      <c r="H39">
        <v>4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16</v>
      </c>
      <c r="C40">
        <v>13</v>
      </c>
      <c r="E40">
        <v>1</v>
      </c>
      <c r="F40">
        <v>11</v>
      </c>
      <c r="H40"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11</v>
      </c>
      <c r="C41">
        <v>20</v>
      </c>
      <c r="E41">
        <v>2</v>
      </c>
      <c r="F41">
        <v>19</v>
      </c>
      <c r="H41">
        <v>4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20</v>
      </c>
      <c r="C42">
        <v>55</v>
      </c>
      <c r="E42">
        <v>0</v>
      </c>
      <c r="F42">
        <v>39</v>
      </c>
      <c r="H42">
        <v>2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14</v>
      </c>
      <c r="C43">
        <v>18</v>
      </c>
      <c r="E43">
        <v>2</v>
      </c>
      <c r="F43">
        <v>19</v>
      </c>
      <c r="H43">
        <v>17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10</v>
      </c>
      <c r="C44">
        <v>30</v>
      </c>
      <c r="E44">
        <v>0</v>
      </c>
      <c r="F44">
        <v>11</v>
      </c>
      <c r="H44"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18</v>
      </c>
      <c r="C45">
        <v>10</v>
      </c>
      <c r="E45">
        <v>5</v>
      </c>
      <c r="F45">
        <v>32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13</v>
      </c>
      <c r="C46">
        <v>4</v>
      </c>
      <c r="E46">
        <v>1</v>
      </c>
      <c r="F46">
        <v>4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25</v>
      </c>
      <c r="C47">
        <v>26</v>
      </c>
      <c r="E47">
        <v>0</v>
      </c>
      <c r="F47">
        <v>5</v>
      </c>
      <c r="H47">
        <v>1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9</v>
      </c>
      <c r="C48">
        <v>17</v>
      </c>
      <c r="E48">
        <v>0</v>
      </c>
      <c r="F48">
        <v>8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16</v>
      </c>
      <c r="C49">
        <v>5</v>
      </c>
      <c r="E49">
        <v>0</v>
      </c>
      <c r="F49">
        <v>13</v>
      </c>
      <c r="H49">
        <v>2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4</v>
      </c>
      <c r="C50">
        <v>18</v>
      </c>
      <c r="E50">
        <v>0</v>
      </c>
      <c r="F50">
        <v>11</v>
      </c>
      <c r="H50">
        <v>2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12</v>
      </c>
      <c r="C51">
        <v>25</v>
      </c>
      <c r="E51">
        <v>0</v>
      </c>
      <c r="F51">
        <v>9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4</v>
      </c>
      <c r="C52">
        <v>7</v>
      </c>
      <c r="E52">
        <v>0</v>
      </c>
      <c r="F52">
        <v>7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19</v>
      </c>
      <c r="C53">
        <v>21</v>
      </c>
      <c r="E53">
        <v>0</v>
      </c>
      <c r="F53">
        <v>8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17</v>
      </c>
      <c r="C54">
        <v>14</v>
      </c>
      <c r="E54">
        <v>0</v>
      </c>
      <c r="F54">
        <v>10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9</v>
      </c>
      <c r="C55">
        <v>14</v>
      </c>
      <c r="E55">
        <v>1</v>
      </c>
      <c r="F55">
        <v>4</v>
      </c>
      <c r="H55">
        <v>3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22</v>
      </c>
      <c r="C56">
        <v>45</v>
      </c>
      <c r="E56">
        <v>0</v>
      </c>
      <c r="F56">
        <v>26</v>
      </c>
      <c r="H56">
        <v>10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5</v>
      </c>
      <c r="C57">
        <v>6</v>
      </c>
      <c r="E57">
        <v>0</v>
      </c>
      <c r="F57">
        <v>12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24</v>
      </c>
      <c r="C58">
        <v>38</v>
      </c>
      <c r="E58">
        <v>0</v>
      </c>
      <c r="F58">
        <v>24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A043-F365-4EEE-9659-02FB1167F4D9}">
  <sheetPr codeName="Sheet7">
    <tabColor rgb="FFFF0000"/>
  </sheetPr>
  <dimension ref="A4:J70"/>
  <sheetViews>
    <sheetView workbookViewId="0">
      <selection activeCell="E28" sqref="E28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70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902</v>
      </c>
      <c r="C8">
        <f t="shared" ref="C8:H8" si="0">SUM(C14:C58)</f>
        <v>1204</v>
      </c>
      <c r="E8">
        <f t="shared" si="0"/>
        <v>52</v>
      </c>
      <c r="F8">
        <f t="shared" si="0"/>
        <v>717</v>
      </c>
      <c r="H8">
        <f t="shared" si="0"/>
        <v>75</v>
      </c>
    </row>
    <row r="9" spans="1:10" x14ac:dyDescent="0.35">
      <c r="A9" t="s">
        <v>8</v>
      </c>
      <c r="B9">
        <f>SUMIF($J$14:$J$58,$A9,B$14:B$58)</f>
        <v>598</v>
      </c>
      <c r="C9">
        <f t="shared" ref="C9:H10" si="1">SUMIF($J$14:$J$58,$A9,C$14:C$58)</f>
        <v>693</v>
      </c>
      <c r="E9">
        <f t="shared" si="1"/>
        <v>37</v>
      </c>
      <c r="F9">
        <f t="shared" si="1"/>
        <v>574</v>
      </c>
      <c r="H9">
        <f t="shared" si="1"/>
        <v>67</v>
      </c>
    </row>
    <row r="10" spans="1:10" x14ac:dyDescent="0.35">
      <c r="A10" t="s">
        <v>9</v>
      </c>
      <c r="B10">
        <f>SUMIF($J$14:$J$58,$A10,B$14:B$58)</f>
        <v>304</v>
      </c>
      <c r="C10">
        <f t="shared" si="1"/>
        <v>511</v>
      </c>
      <c r="E10">
        <f t="shared" si="1"/>
        <v>15</v>
      </c>
      <c r="F10">
        <f t="shared" si="1"/>
        <v>143</v>
      </c>
      <c r="H10">
        <f t="shared" si="1"/>
        <v>8</v>
      </c>
    </row>
    <row r="11" spans="1:10" x14ac:dyDescent="0.35">
      <c r="A11" t="s">
        <v>10</v>
      </c>
      <c r="B11">
        <f t="shared" ref="B11:H13" si="2">SUMIF($I$14:$I$58,$A11,B$14:B$58)</f>
        <v>481</v>
      </c>
      <c r="C11">
        <f t="shared" si="2"/>
        <v>713</v>
      </c>
      <c r="E11">
        <f t="shared" si="2"/>
        <v>25</v>
      </c>
      <c r="F11">
        <f t="shared" si="2"/>
        <v>252</v>
      </c>
      <c r="H11">
        <f t="shared" si="2"/>
        <v>18</v>
      </c>
    </row>
    <row r="12" spans="1:10" x14ac:dyDescent="0.35">
      <c r="A12" t="s">
        <v>11</v>
      </c>
      <c r="B12">
        <f t="shared" si="2"/>
        <v>256</v>
      </c>
      <c r="C12">
        <f t="shared" si="2"/>
        <v>327</v>
      </c>
      <c r="E12">
        <f t="shared" si="2"/>
        <v>12</v>
      </c>
      <c r="F12">
        <f t="shared" si="2"/>
        <v>302</v>
      </c>
      <c r="H12">
        <f t="shared" si="2"/>
        <v>31</v>
      </c>
    </row>
    <row r="13" spans="1:10" x14ac:dyDescent="0.35">
      <c r="A13" t="s">
        <v>12</v>
      </c>
      <c r="B13">
        <f>SUMIF($I$14:$I$58,$A13,B$14:B$58)</f>
        <v>165</v>
      </c>
      <c r="C13">
        <f t="shared" si="2"/>
        <v>164</v>
      </c>
      <c r="E13">
        <f t="shared" si="2"/>
        <v>15</v>
      </c>
      <c r="F13">
        <f t="shared" si="2"/>
        <v>163</v>
      </c>
      <c r="H13">
        <f t="shared" si="2"/>
        <v>26</v>
      </c>
    </row>
    <row r="14" spans="1:10" x14ac:dyDescent="0.35">
      <c r="A14" t="s">
        <v>13</v>
      </c>
      <c r="B14">
        <v>27</v>
      </c>
      <c r="C14">
        <v>29</v>
      </c>
      <c r="E14">
        <v>3</v>
      </c>
      <c r="F14">
        <v>25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v>18</v>
      </c>
      <c r="C15">
        <v>18</v>
      </c>
      <c r="E15">
        <v>0</v>
      </c>
      <c r="F15">
        <v>4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v>12</v>
      </c>
      <c r="C16">
        <v>21</v>
      </c>
      <c r="E16">
        <v>0</v>
      </c>
      <c r="F16">
        <v>4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v>10</v>
      </c>
      <c r="C17">
        <v>13</v>
      </c>
      <c r="E17">
        <v>0</v>
      </c>
      <c r="F17">
        <v>8</v>
      </c>
      <c r="H17">
        <v>4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v>3</v>
      </c>
      <c r="C18">
        <v>21</v>
      </c>
      <c r="E18">
        <v>1</v>
      </c>
      <c r="F18">
        <v>21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v>19</v>
      </c>
      <c r="C19">
        <v>22</v>
      </c>
      <c r="E19">
        <v>1</v>
      </c>
      <c r="F19">
        <v>36</v>
      </c>
      <c r="H19">
        <v>2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v>13</v>
      </c>
      <c r="C20">
        <v>21</v>
      </c>
      <c r="E20">
        <v>0</v>
      </c>
      <c r="F20">
        <v>7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v>1</v>
      </c>
      <c r="C21">
        <v>12</v>
      </c>
      <c r="E21">
        <v>0</v>
      </c>
      <c r="F21">
        <v>8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v>15</v>
      </c>
      <c r="C22">
        <v>11</v>
      </c>
      <c r="E22">
        <v>3</v>
      </c>
      <c r="F22">
        <v>5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v>18</v>
      </c>
      <c r="C23">
        <v>34</v>
      </c>
      <c r="E23">
        <v>2</v>
      </c>
      <c r="F23">
        <v>24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v>39</v>
      </c>
      <c r="C24">
        <v>37</v>
      </c>
      <c r="E24">
        <v>2</v>
      </c>
      <c r="F24">
        <v>35</v>
      </c>
      <c r="H24">
        <v>10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v>14</v>
      </c>
      <c r="C25">
        <v>27</v>
      </c>
      <c r="E25">
        <v>0</v>
      </c>
      <c r="F25">
        <v>34</v>
      </c>
      <c r="H25">
        <v>9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v>4</v>
      </c>
      <c r="C26">
        <v>7</v>
      </c>
      <c r="E26">
        <v>1</v>
      </c>
      <c r="F26">
        <v>6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v>17</v>
      </c>
      <c r="C27">
        <v>36</v>
      </c>
      <c r="E27">
        <v>0</v>
      </c>
      <c r="F27">
        <v>10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v>49</v>
      </c>
      <c r="C28">
        <v>25</v>
      </c>
      <c r="E28">
        <v>2</v>
      </c>
      <c r="F28">
        <v>57</v>
      </c>
      <c r="H28">
        <v>8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v>5</v>
      </c>
      <c r="C29">
        <v>17</v>
      </c>
      <c r="E29">
        <v>0</v>
      </c>
      <c r="F29">
        <v>3</v>
      </c>
      <c r="H29"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v>163</v>
      </c>
      <c r="C30">
        <v>300</v>
      </c>
      <c r="E30">
        <v>5</v>
      </c>
      <c r="F30">
        <v>24</v>
      </c>
      <c r="H30">
        <v>0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v>34</v>
      </c>
      <c r="C31">
        <v>39</v>
      </c>
      <c r="E31">
        <v>2</v>
      </c>
      <c r="F31">
        <v>8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v>36</v>
      </c>
      <c r="C32">
        <v>46</v>
      </c>
      <c r="E32">
        <v>1</v>
      </c>
      <c r="F32">
        <v>19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v>11</v>
      </c>
      <c r="C33">
        <v>16</v>
      </c>
      <c r="E33">
        <v>1</v>
      </c>
      <c r="F33">
        <v>14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v>21</v>
      </c>
      <c r="C34">
        <v>11</v>
      </c>
      <c r="E34">
        <v>4</v>
      </c>
      <c r="F34">
        <v>22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v>6</v>
      </c>
      <c r="C35">
        <v>12</v>
      </c>
      <c r="E35">
        <v>1</v>
      </c>
      <c r="F35">
        <v>17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v>4</v>
      </c>
      <c r="C36">
        <v>2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v>23</v>
      </c>
      <c r="C38">
        <v>33</v>
      </c>
      <c r="E38">
        <v>0</v>
      </c>
      <c r="F38">
        <v>40</v>
      </c>
      <c r="H38">
        <v>3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v>14</v>
      </c>
      <c r="C39">
        <v>33</v>
      </c>
      <c r="E39">
        <v>1</v>
      </c>
      <c r="F39">
        <v>17</v>
      </c>
      <c r="H39">
        <v>2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v>33</v>
      </c>
      <c r="C40">
        <v>35</v>
      </c>
      <c r="E40">
        <v>1</v>
      </c>
      <c r="F40">
        <v>14</v>
      </c>
      <c r="H40"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v>8</v>
      </c>
      <c r="C41">
        <v>6</v>
      </c>
      <c r="E41">
        <v>1</v>
      </c>
      <c r="F41">
        <v>6</v>
      </c>
      <c r="H41">
        <v>1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v>27</v>
      </c>
      <c r="C42">
        <v>38</v>
      </c>
      <c r="E42">
        <v>0</v>
      </c>
      <c r="F42">
        <v>25</v>
      </c>
      <c r="H42">
        <v>1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v>30</v>
      </c>
      <c r="C43">
        <v>13</v>
      </c>
      <c r="E43">
        <v>6</v>
      </c>
      <c r="F43">
        <v>25</v>
      </c>
      <c r="H43">
        <v>1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v>13</v>
      </c>
      <c r="C44">
        <v>15</v>
      </c>
      <c r="E44">
        <v>1</v>
      </c>
      <c r="F44">
        <v>11</v>
      </c>
      <c r="H44">
        <v>1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v>7</v>
      </c>
      <c r="C45">
        <v>6</v>
      </c>
      <c r="E45">
        <v>4</v>
      </c>
      <c r="F45">
        <v>18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v>9</v>
      </c>
      <c r="C46">
        <v>11</v>
      </c>
      <c r="E46">
        <v>0</v>
      </c>
      <c r="F46">
        <v>13</v>
      </c>
      <c r="H46">
        <v>2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v>29</v>
      </c>
      <c r="C47">
        <v>25</v>
      </c>
      <c r="E47">
        <v>0</v>
      </c>
      <c r="F47">
        <v>9</v>
      </c>
      <c r="H47">
        <v>1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v>16</v>
      </c>
      <c r="C48">
        <v>15</v>
      </c>
      <c r="E48">
        <v>0</v>
      </c>
      <c r="F48">
        <v>15</v>
      </c>
      <c r="H48">
        <v>1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v>14</v>
      </c>
      <c r="C49">
        <v>9</v>
      </c>
      <c r="E49">
        <v>0</v>
      </c>
      <c r="F49">
        <v>14</v>
      </c>
      <c r="H49">
        <v>5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v>7</v>
      </c>
      <c r="C50">
        <v>9</v>
      </c>
      <c r="E50">
        <v>0</v>
      </c>
      <c r="F50">
        <v>10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v>21</v>
      </c>
      <c r="C51">
        <v>21</v>
      </c>
      <c r="E51">
        <v>0</v>
      </c>
      <c r="F51">
        <v>15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v>9</v>
      </c>
      <c r="C52">
        <v>5</v>
      </c>
      <c r="E52">
        <v>0</v>
      </c>
      <c r="F52">
        <v>4</v>
      </c>
      <c r="H52">
        <v>4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v>25</v>
      </c>
      <c r="C53">
        <v>16</v>
      </c>
      <c r="E53">
        <v>1</v>
      </c>
      <c r="F53">
        <v>6</v>
      </c>
      <c r="H53">
        <v>7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v>20</v>
      </c>
      <c r="C54">
        <v>36</v>
      </c>
      <c r="E54">
        <v>5</v>
      </c>
      <c r="F54">
        <v>9</v>
      </c>
      <c r="H54">
        <v>1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v>5</v>
      </c>
      <c r="C55">
        <v>6</v>
      </c>
      <c r="E55">
        <v>0</v>
      </c>
      <c r="F55">
        <v>4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v>29</v>
      </c>
      <c r="C56">
        <v>44</v>
      </c>
      <c r="E56">
        <v>2</v>
      </c>
      <c r="F56">
        <v>20</v>
      </c>
      <c r="H56">
        <v>4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v>0</v>
      </c>
      <c r="C57">
        <v>6</v>
      </c>
      <c r="E57">
        <v>0</v>
      </c>
      <c r="F57">
        <v>4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v>24</v>
      </c>
      <c r="C58">
        <v>45</v>
      </c>
      <c r="E58">
        <v>1</v>
      </c>
      <c r="F58">
        <v>47</v>
      </c>
      <c r="H58">
        <v>2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DB46-DBB6-41FA-941E-8F0E6A6B3B4F}">
  <sheetPr codeName="Sheet8">
    <tabColor rgb="FFFF0000"/>
  </sheetPr>
  <dimension ref="A4:J70"/>
  <sheetViews>
    <sheetView workbookViewId="0">
      <selection activeCell="F18" sqref="F18"/>
    </sheetView>
  </sheetViews>
  <sheetFormatPr defaultRowHeight="14.5" x14ac:dyDescent="0.35"/>
  <cols>
    <col min="1" max="1" width="25.54296875" customWidth="1"/>
  </cols>
  <sheetData>
    <row r="4" spans="1:10" x14ac:dyDescent="0.35">
      <c r="A4" s="88" t="s">
        <v>71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</row>
    <row r="8" spans="1:10" x14ac:dyDescent="0.35">
      <c r="A8" t="s">
        <v>7</v>
      </c>
      <c r="B8">
        <f>SUM(B14:B58)</f>
        <v>850</v>
      </c>
      <c r="C8">
        <f t="shared" ref="C8:H8" si="0">SUM(C14:C58)</f>
        <v>1149</v>
      </c>
      <c r="E8">
        <f t="shared" si="0"/>
        <v>50</v>
      </c>
      <c r="F8">
        <f t="shared" si="0"/>
        <v>630</v>
      </c>
      <c r="H8">
        <f t="shared" si="0"/>
        <v>77</v>
      </c>
    </row>
    <row r="9" spans="1:10" x14ac:dyDescent="0.35">
      <c r="A9" t="s">
        <v>8</v>
      </c>
      <c r="B9">
        <f>SUMIF($J$14:$J$58,$A9,B$14:B$58)</f>
        <v>544</v>
      </c>
      <c r="C9">
        <f t="shared" ref="C9:H10" si="1">SUMIF($J$14:$J$58,$A9,C$14:C$58)</f>
        <v>714</v>
      </c>
      <c r="E9">
        <f t="shared" si="1"/>
        <v>41</v>
      </c>
      <c r="F9">
        <f t="shared" si="1"/>
        <v>500</v>
      </c>
      <c r="H9">
        <f t="shared" si="1"/>
        <v>66</v>
      </c>
    </row>
    <row r="10" spans="1:10" x14ac:dyDescent="0.35">
      <c r="A10" t="s">
        <v>9</v>
      </c>
      <c r="B10">
        <f>SUMIF($J$14:$J$58,$A10,B$14:B$58)</f>
        <v>306</v>
      </c>
      <c r="C10">
        <f t="shared" si="1"/>
        <v>435</v>
      </c>
      <c r="E10">
        <f t="shared" si="1"/>
        <v>9</v>
      </c>
      <c r="F10">
        <f t="shared" si="1"/>
        <v>130</v>
      </c>
      <c r="H10">
        <f t="shared" si="1"/>
        <v>11</v>
      </c>
    </row>
    <row r="11" spans="1:10" x14ac:dyDescent="0.35">
      <c r="A11" t="s">
        <v>10</v>
      </c>
      <c r="B11">
        <f t="shared" ref="B11:H13" si="2">SUMIF($I$14:$I$58,$A11,B$14:B$58)</f>
        <v>440</v>
      </c>
      <c r="C11">
        <f t="shared" si="2"/>
        <v>624</v>
      </c>
      <c r="E11">
        <f t="shared" si="2"/>
        <v>19</v>
      </c>
      <c r="F11">
        <f t="shared" si="2"/>
        <v>248</v>
      </c>
      <c r="H11">
        <f t="shared" si="2"/>
        <v>34</v>
      </c>
    </row>
    <row r="12" spans="1:10" x14ac:dyDescent="0.35">
      <c r="A12" t="s">
        <v>11</v>
      </c>
      <c r="B12">
        <f t="shared" si="2"/>
        <v>240</v>
      </c>
      <c r="C12">
        <f t="shared" si="2"/>
        <v>302</v>
      </c>
      <c r="E12">
        <f t="shared" si="2"/>
        <v>17</v>
      </c>
      <c r="F12">
        <f t="shared" si="2"/>
        <v>232</v>
      </c>
      <c r="H12">
        <f t="shared" si="2"/>
        <v>14</v>
      </c>
    </row>
    <row r="13" spans="1:10" x14ac:dyDescent="0.35">
      <c r="A13" t="s">
        <v>12</v>
      </c>
      <c r="B13">
        <f>SUMIF($I$14:$I$58,$A13,B$14:B$58)</f>
        <v>170</v>
      </c>
      <c r="C13">
        <f t="shared" si="2"/>
        <v>223</v>
      </c>
      <c r="E13">
        <f t="shared" si="2"/>
        <v>14</v>
      </c>
      <c r="F13">
        <f t="shared" si="2"/>
        <v>150</v>
      </c>
      <c r="H13">
        <f t="shared" si="2"/>
        <v>29</v>
      </c>
    </row>
    <row r="14" spans="1:10" x14ac:dyDescent="0.35">
      <c r="A14" t="s">
        <v>13</v>
      </c>
      <c r="B14" s="18">
        <v>22</v>
      </c>
      <c r="C14" s="18">
        <v>31</v>
      </c>
      <c r="D14" s="18"/>
      <c r="E14" s="18">
        <v>3</v>
      </c>
      <c r="F14" s="18">
        <v>21</v>
      </c>
      <c r="G14" s="18"/>
      <c r="H14" s="18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 s="18">
        <v>10</v>
      </c>
      <c r="C15" s="18">
        <v>15</v>
      </c>
      <c r="D15" s="18"/>
      <c r="E15" s="18">
        <v>0</v>
      </c>
      <c r="F15" s="18">
        <v>13</v>
      </c>
      <c r="G15" s="18"/>
      <c r="H15" s="18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 s="18">
        <v>10</v>
      </c>
      <c r="C16" s="18">
        <v>13</v>
      </c>
      <c r="D16" s="18"/>
      <c r="E16" s="18">
        <v>1</v>
      </c>
      <c r="F16" s="18">
        <v>13</v>
      </c>
      <c r="G16" s="18"/>
      <c r="H16" s="18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 s="18">
        <v>17</v>
      </c>
      <c r="C17" s="18">
        <v>9</v>
      </c>
      <c r="D17" s="18"/>
      <c r="E17" s="18">
        <v>1</v>
      </c>
      <c r="F17" s="18">
        <v>6</v>
      </c>
      <c r="G17" s="18"/>
      <c r="H17" s="18">
        <v>1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 s="18">
        <v>8</v>
      </c>
      <c r="C18" s="18">
        <v>15</v>
      </c>
      <c r="D18" s="18"/>
      <c r="E18" s="18">
        <v>3</v>
      </c>
      <c r="F18" s="18">
        <v>11</v>
      </c>
      <c r="G18" s="18"/>
      <c r="H18" s="18">
        <v>5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 s="18">
        <v>15</v>
      </c>
      <c r="C19" s="18">
        <v>12</v>
      </c>
      <c r="D19" s="18"/>
      <c r="E19" s="18">
        <v>1</v>
      </c>
      <c r="F19" s="18">
        <v>0</v>
      </c>
      <c r="G19" s="18"/>
      <c r="H19" s="18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 s="18">
        <v>8</v>
      </c>
      <c r="C20" s="18">
        <v>18</v>
      </c>
      <c r="D20" s="18"/>
      <c r="E20" s="18">
        <v>0</v>
      </c>
      <c r="F20" s="18">
        <v>13</v>
      </c>
      <c r="G20" s="18"/>
      <c r="H20" s="18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 s="18">
        <v>7</v>
      </c>
      <c r="C21" s="18">
        <v>14</v>
      </c>
      <c r="D21" s="18"/>
      <c r="E21" s="18">
        <v>1</v>
      </c>
      <c r="F21" s="18">
        <v>11</v>
      </c>
      <c r="G21" s="18"/>
      <c r="H21" s="18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 s="18">
        <v>7</v>
      </c>
      <c r="C22" s="18">
        <v>6</v>
      </c>
      <c r="D22" s="18"/>
      <c r="E22" s="18">
        <v>0</v>
      </c>
      <c r="F22" s="18">
        <v>5</v>
      </c>
      <c r="G22" s="18"/>
      <c r="H22" s="18">
        <v>1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 s="18">
        <v>19</v>
      </c>
      <c r="C23" s="18">
        <v>25</v>
      </c>
      <c r="D23" s="18"/>
      <c r="E23" s="18">
        <v>1</v>
      </c>
      <c r="F23" s="18">
        <v>32</v>
      </c>
      <c r="G23" s="18"/>
      <c r="H23" s="18"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 s="18">
        <v>49</v>
      </c>
      <c r="C24" s="18">
        <v>58</v>
      </c>
      <c r="D24" s="18"/>
      <c r="E24" s="18">
        <v>4</v>
      </c>
      <c r="F24" s="18">
        <v>43</v>
      </c>
      <c r="G24" s="18"/>
      <c r="H24" s="18">
        <v>6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 s="18">
        <v>7</v>
      </c>
      <c r="C25" s="18">
        <v>16</v>
      </c>
      <c r="D25" s="18"/>
      <c r="E25" s="18">
        <v>0</v>
      </c>
      <c r="F25" s="18">
        <v>10</v>
      </c>
      <c r="G25" s="18"/>
      <c r="H25" s="18"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 s="18">
        <v>5</v>
      </c>
      <c r="C26" s="18">
        <v>12</v>
      </c>
      <c r="D26" s="18"/>
      <c r="E26" s="18">
        <v>0</v>
      </c>
      <c r="F26" s="18">
        <v>6</v>
      </c>
      <c r="G26" s="18"/>
      <c r="H26" s="18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 s="18">
        <v>4</v>
      </c>
      <c r="C27" s="18">
        <v>28</v>
      </c>
      <c r="D27" s="18"/>
      <c r="E27" s="18">
        <v>0</v>
      </c>
      <c r="F27" s="18">
        <v>8</v>
      </c>
      <c r="G27" s="18"/>
      <c r="H27" s="18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 s="18">
        <v>39</v>
      </c>
      <c r="C28" s="18">
        <v>53</v>
      </c>
      <c r="D28" s="18"/>
      <c r="E28" s="18">
        <v>1</v>
      </c>
      <c r="F28" s="18">
        <v>42</v>
      </c>
      <c r="G28" s="18"/>
      <c r="H28" s="18">
        <v>1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 s="18">
        <v>16</v>
      </c>
      <c r="C29" s="18">
        <v>12</v>
      </c>
      <c r="D29" s="18"/>
      <c r="E29" s="18">
        <v>0</v>
      </c>
      <c r="F29" s="18">
        <v>5</v>
      </c>
      <c r="G29" s="18"/>
      <c r="H29" s="18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 s="18">
        <v>165</v>
      </c>
      <c r="C30" s="18">
        <v>266</v>
      </c>
      <c r="D30" s="18"/>
      <c r="E30" s="18">
        <v>2</v>
      </c>
      <c r="F30" s="18">
        <v>27</v>
      </c>
      <c r="G30" s="18"/>
      <c r="H30" s="18">
        <v>3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 s="18">
        <v>43</v>
      </c>
      <c r="C31" s="18">
        <v>15</v>
      </c>
      <c r="D31" s="18"/>
      <c r="E31" s="18">
        <v>2</v>
      </c>
      <c r="F31" s="18">
        <v>2</v>
      </c>
      <c r="G31" s="18"/>
      <c r="H31" s="18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 s="18">
        <v>19</v>
      </c>
      <c r="C32" s="18">
        <v>35</v>
      </c>
      <c r="D32" s="18"/>
      <c r="E32" s="18">
        <v>4</v>
      </c>
      <c r="F32" s="18">
        <v>25</v>
      </c>
      <c r="G32" s="18"/>
      <c r="H32" s="18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 s="18">
        <v>12</v>
      </c>
      <c r="C33" s="18">
        <v>13</v>
      </c>
      <c r="D33" s="18"/>
      <c r="E33" s="18">
        <v>2</v>
      </c>
      <c r="F33" s="18">
        <v>22</v>
      </c>
      <c r="G33" s="18"/>
      <c r="H33" s="18">
        <v>1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 s="18">
        <v>23</v>
      </c>
      <c r="C34" s="18">
        <v>20</v>
      </c>
      <c r="D34" s="18"/>
      <c r="E34" s="18">
        <v>1</v>
      </c>
      <c r="F34" s="18">
        <v>18</v>
      </c>
      <c r="G34" s="18"/>
      <c r="H34" s="18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 s="18">
        <v>5</v>
      </c>
      <c r="C35" s="18">
        <v>9</v>
      </c>
      <c r="D35" s="18"/>
      <c r="E35" s="18">
        <v>1</v>
      </c>
      <c r="F35" s="18">
        <v>10</v>
      </c>
      <c r="G35" s="18"/>
      <c r="H35" s="18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 s="18">
        <v>1</v>
      </c>
      <c r="C36" s="18">
        <v>2</v>
      </c>
      <c r="D36" s="18"/>
      <c r="E36" s="18">
        <v>0</v>
      </c>
      <c r="F36" s="18">
        <v>0</v>
      </c>
      <c r="G36" s="18"/>
      <c r="H36" s="18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 s="18">
        <v>0</v>
      </c>
      <c r="C37" s="18">
        <v>0</v>
      </c>
      <c r="D37" s="18"/>
      <c r="E37" s="18">
        <v>0</v>
      </c>
      <c r="F37" s="18">
        <v>0</v>
      </c>
      <c r="G37" s="18"/>
      <c r="H37" s="18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 s="18">
        <v>32</v>
      </c>
      <c r="C38" s="18">
        <v>36</v>
      </c>
      <c r="D38" s="18"/>
      <c r="E38" s="18">
        <v>5</v>
      </c>
      <c r="F38" s="18">
        <v>34</v>
      </c>
      <c r="G38" s="18"/>
      <c r="H38" s="18"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 s="18">
        <v>11</v>
      </c>
      <c r="C39" s="18">
        <v>28</v>
      </c>
      <c r="D39" s="18"/>
      <c r="E39" s="18">
        <v>0</v>
      </c>
      <c r="F39" s="18">
        <v>17</v>
      </c>
      <c r="G39" s="18"/>
      <c r="H39" s="18">
        <v>19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 s="18">
        <v>13</v>
      </c>
      <c r="C40" s="18">
        <v>18</v>
      </c>
      <c r="D40" s="18"/>
      <c r="E40" s="18">
        <v>1</v>
      </c>
      <c r="F40" s="18">
        <v>1</v>
      </c>
      <c r="G40" s="18"/>
      <c r="H40" s="18">
        <v>8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 s="18">
        <v>11</v>
      </c>
      <c r="C41" s="18">
        <v>20</v>
      </c>
      <c r="D41" s="18"/>
      <c r="E41" s="18">
        <v>1</v>
      </c>
      <c r="F41" s="18">
        <v>12</v>
      </c>
      <c r="G41" s="18"/>
      <c r="H41" s="18">
        <v>2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 s="18">
        <v>18</v>
      </c>
      <c r="C42" s="18">
        <v>40</v>
      </c>
      <c r="D42" s="18"/>
      <c r="E42" s="18">
        <v>0</v>
      </c>
      <c r="F42" s="18">
        <v>25</v>
      </c>
      <c r="G42" s="18"/>
      <c r="H42" s="18">
        <v>2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 s="18">
        <v>27</v>
      </c>
      <c r="C43" s="18">
        <v>28</v>
      </c>
      <c r="D43" s="18"/>
      <c r="E43" s="18">
        <v>4</v>
      </c>
      <c r="F43" s="18">
        <v>19</v>
      </c>
      <c r="G43" s="18"/>
      <c r="H43" s="18">
        <v>3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 s="18">
        <v>9</v>
      </c>
      <c r="C44" s="18">
        <v>20</v>
      </c>
      <c r="D44" s="18"/>
      <c r="E44" s="18">
        <v>1</v>
      </c>
      <c r="F44" s="18">
        <v>12</v>
      </c>
      <c r="G44" s="18"/>
      <c r="H44" s="18">
        <v>1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 s="18">
        <v>7</v>
      </c>
      <c r="C45" s="18">
        <v>15</v>
      </c>
      <c r="D45" s="18"/>
      <c r="E45" s="18">
        <v>1</v>
      </c>
      <c r="F45" s="18">
        <v>9</v>
      </c>
      <c r="G45" s="18"/>
      <c r="H45" s="18">
        <v>1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 s="18">
        <v>17</v>
      </c>
      <c r="C46" s="18">
        <v>9</v>
      </c>
      <c r="D46" s="18"/>
      <c r="E46" s="18">
        <v>0</v>
      </c>
      <c r="F46" s="18">
        <v>10</v>
      </c>
      <c r="G46" s="18"/>
      <c r="H46" s="18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 s="18">
        <v>26</v>
      </c>
      <c r="C47" s="18">
        <v>18</v>
      </c>
      <c r="D47" s="18"/>
      <c r="E47" s="18">
        <v>0</v>
      </c>
      <c r="F47" s="18">
        <v>9</v>
      </c>
      <c r="G47" s="18"/>
      <c r="H47" s="18"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 s="18">
        <v>13</v>
      </c>
      <c r="C48" s="18">
        <v>24</v>
      </c>
      <c r="D48" s="18"/>
      <c r="E48" s="18">
        <v>0</v>
      </c>
      <c r="F48" s="18">
        <v>10</v>
      </c>
      <c r="G48" s="18"/>
      <c r="H48" s="1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 s="18">
        <v>9</v>
      </c>
      <c r="C49" s="18">
        <v>5</v>
      </c>
      <c r="D49" s="18"/>
      <c r="E49" s="18">
        <v>0</v>
      </c>
      <c r="F49" s="18">
        <v>6</v>
      </c>
      <c r="G49" s="18"/>
      <c r="H49" s="18">
        <v>11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 s="18">
        <v>12</v>
      </c>
      <c r="C50" s="18">
        <v>14</v>
      </c>
      <c r="D50" s="18"/>
      <c r="E50" s="18">
        <v>1</v>
      </c>
      <c r="F50" s="18">
        <v>21</v>
      </c>
      <c r="G50" s="18"/>
      <c r="H50" s="18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 s="18">
        <v>30</v>
      </c>
      <c r="C51" s="18">
        <v>20</v>
      </c>
      <c r="D51" s="18"/>
      <c r="E51" s="18">
        <v>0</v>
      </c>
      <c r="F51" s="18">
        <v>19</v>
      </c>
      <c r="G51" s="18"/>
      <c r="H51" s="18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 s="18">
        <v>7</v>
      </c>
      <c r="C52" s="18">
        <v>10</v>
      </c>
      <c r="D52" s="18"/>
      <c r="E52" s="18">
        <v>0</v>
      </c>
      <c r="F52" s="18">
        <v>5</v>
      </c>
      <c r="G52" s="18"/>
      <c r="H52" s="18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 s="18">
        <v>15</v>
      </c>
      <c r="C53" s="18">
        <v>26</v>
      </c>
      <c r="D53" s="18"/>
      <c r="E53" s="18">
        <v>1</v>
      </c>
      <c r="F53" s="18">
        <v>2</v>
      </c>
      <c r="G53" s="18"/>
      <c r="H53" s="18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 s="18">
        <v>16</v>
      </c>
      <c r="C54" s="18">
        <v>26</v>
      </c>
      <c r="D54" s="18"/>
      <c r="E54" s="18">
        <v>0</v>
      </c>
      <c r="F54" s="18">
        <v>9</v>
      </c>
      <c r="G54" s="18"/>
      <c r="H54" s="18">
        <v>3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 s="18">
        <v>10</v>
      </c>
      <c r="C55" s="18">
        <v>10</v>
      </c>
      <c r="D55" s="18"/>
      <c r="E55" s="18">
        <v>1</v>
      </c>
      <c r="F55" s="18">
        <v>6</v>
      </c>
      <c r="G55" s="18"/>
      <c r="H55" s="18">
        <v>2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 s="18">
        <v>23</v>
      </c>
      <c r="C56" s="18">
        <v>41</v>
      </c>
      <c r="D56" s="18"/>
      <c r="E56" s="18">
        <v>2</v>
      </c>
      <c r="F56" s="18">
        <v>16</v>
      </c>
      <c r="G56" s="18"/>
      <c r="H56" s="18">
        <v>1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 s="18">
        <v>4</v>
      </c>
      <c r="C57" s="18">
        <v>11</v>
      </c>
      <c r="D57" s="18"/>
      <c r="E57" s="18">
        <v>2</v>
      </c>
      <c r="F57" s="18">
        <v>15</v>
      </c>
      <c r="G57" s="18"/>
      <c r="H57" s="18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 s="18">
        <v>29</v>
      </c>
      <c r="C58" s="18">
        <v>33</v>
      </c>
      <c r="D58" s="18"/>
      <c r="E58" s="18">
        <v>2</v>
      </c>
      <c r="F58" s="18">
        <v>30</v>
      </c>
      <c r="G58" s="18"/>
      <c r="H58" s="18">
        <v>2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89" t="s">
        <v>58</v>
      </c>
      <c r="B61" s="89"/>
      <c r="C61" s="89"/>
      <c r="D61" s="89"/>
      <c r="E61" s="89"/>
      <c r="F61" s="89"/>
      <c r="G61" s="89"/>
      <c r="H61" s="89"/>
      <c r="I61" s="89"/>
      <c r="J61" s="89"/>
    </row>
    <row r="63" spans="1:10" x14ac:dyDescent="0.35">
      <c r="A63" t="s">
        <v>59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60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61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62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63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64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0123-3416-4897-A449-DB1C320DED70}">
  <sheetPr codeName="Sheet13">
    <tabColor rgb="FFFF0000"/>
  </sheetPr>
  <dimension ref="A4:J58"/>
  <sheetViews>
    <sheetView workbookViewId="0">
      <pane xSplit="1" ySplit="7" topLeftCell="B36" activePane="bottomRight" state="frozen"/>
      <selection pane="topRight" activeCell="C24" sqref="C24"/>
      <selection pane="bottomLeft" activeCell="C24" sqref="C24"/>
      <selection pane="bottomRight" activeCell="B43" sqref="B43"/>
    </sheetView>
  </sheetViews>
  <sheetFormatPr defaultRowHeight="14.5" x14ac:dyDescent="0.35"/>
  <sheetData>
    <row r="4" spans="1:10" x14ac:dyDescent="0.35">
      <c r="A4" s="88" t="s">
        <v>72</v>
      </c>
      <c r="B4" s="88"/>
      <c r="C4" s="88"/>
      <c r="D4" s="88"/>
      <c r="E4" s="88"/>
      <c r="F4" s="88"/>
      <c r="G4" s="88"/>
      <c r="H4" s="88"/>
    </row>
    <row r="6" spans="1:10" x14ac:dyDescent="0.35">
      <c r="B6" t="s">
        <v>1</v>
      </c>
      <c r="E6" t="s">
        <v>2</v>
      </c>
      <c r="H6" t="s">
        <v>73</v>
      </c>
    </row>
    <row r="7" spans="1:10" x14ac:dyDescent="0.35">
      <c r="A7" t="s">
        <v>4</v>
      </c>
      <c r="B7" t="s">
        <v>5</v>
      </c>
      <c r="C7" t="s">
        <v>6</v>
      </c>
      <c r="E7" t="s">
        <v>5</v>
      </c>
      <c r="F7" t="s">
        <v>6</v>
      </c>
      <c r="H7" t="s">
        <v>74</v>
      </c>
    </row>
    <row r="8" spans="1:10" x14ac:dyDescent="0.35">
      <c r="A8" t="s">
        <v>7</v>
      </c>
      <c r="B8">
        <f>SUM(B14:B58)</f>
        <v>970</v>
      </c>
      <c r="C8">
        <f t="shared" ref="C8:H8" si="0">SUM(C14:C58)</f>
        <v>1227</v>
      </c>
      <c r="E8">
        <f t="shared" si="0"/>
        <v>62</v>
      </c>
      <c r="F8">
        <f t="shared" si="0"/>
        <v>703</v>
      </c>
      <c r="H8">
        <f t="shared" si="0"/>
        <v>69</v>
      </c>
    </row>
    <row r="9" spans="1:10" x14ac:dyDescent="0.35">
      <c r="A9" t="s">
        <v>8</v>
      </c>
      <c r="B9">
        <f>SUMIF($J$14:$J$58,$A9,B$14:B$58)</f>
        <v>640</v>
      </c>
      <c r="C9">
        <f t="shared" ref="C9:H10" si="1">SUMIF($J$14:$J$58,$A9,C$14:C$58)</f>
        <v>756</v>
      </c>
      <c r="E9">
        <f t="shared" si="1"/>
        <v>53</v>
      </c>
      <c r="F9">
        <f t="shared" si="1"/>
        <v>582</v>
      </c>
      <c r="H9">
        <f t="shared" si="1"/>
        <v>63</v>
      </c>
    </row>
    <row r="10" spans="1:10" x14ac:dyDescent="0.35">
      <c r="A10" t="s">
        <v>9</v>
      </c>
      <c r="B10">
        <f>SUMIF($J$14:$J$58,$A10,B$14:B$58)</f>
        <v>330</v>
      </c>
      <c r="C10">
        <f t="shared" si="1"/>
        <v>471</v>
      </c>
      <c r="E10">
        <f t="shared" si="1"/>
        <v>9</v>
      </c>
      <c r="F10">
        <f t="shared" si="1"/>
        <v>121</v>
      </c>
      <c r="H10">
        <f t="shared" si="1"/>
        <v>6</v>
      </c>
    </row>
    <row r="11" spans="1:10" x14ac:dyDescent="0.35">
      <c r="A11" t="s">
        <v>10</v>
      </c>
      <c r="B11">
        <f t="shared" ref="B11:H13" si="2">SUMIF($I$14:$I$58,$A11,B$14:B$58)</f>
        <v>497</v>
      </c>
      <c r="C11">
        <f t="shared" si="2"/>
        <v>664</v>
      </c>
      <c r="E11">
        <f t="shared" si="2"/>
        <v>28</v>
      </c>
      <c r="F11">
        <f t="shared" si="2"/>
        <v>229</v>
      </c>
      <c r="H11">
        <f t="shared" si="2"/>
        <v>37</v>
      </c>
    </row>
    <row r="12" spans="1:10" x14ac:dyDescent="0.35">
      <c r="A12" t="s">
        <v>11</v>
      </c>
      <c r="B12">
        <f t="shared" si="2"/>
        <v>239</v>
      </c>
      <c r="C12">
        <f t="shared" si="2"/>
        <v>366</v>
      </c>
      <c r="E12">
        <f t="shared" si="2"/>
        <v>20</v>
      </c>
      <c r="F12">
        <f t="shared" si="2"/>
        <v>278</v>
      </c>
      <c r="H12">
        <f t="shared" si="2"/>
        <v>17</v>
      </c>
    </row>
    <row r="13" spans="1:10" x14ac:dyDescent="0.35">
      <c r="A13" t="s">
        <v>12</v>
      </c>
      <c r="B13">
        <f>SUMIF($I$14:$I$58,$A13,B$14:B$58)</f>
        <v>234</v>
      </c>
      <c r="C13">
        <f t="shared" si="2"/>
        <v>197</v>
      </c>
      <c r="E13">
        <f t="shared" si="2"/>
        <v>14</v>
      </c>
      <c r="F13">
        <f t="shared" si="2"/>
        <v>196</v>
      </c>
      <c r="H13">
        <f t="shared" si="2"/>
        <v>15</v>
      </c>
    </row>
    <row r="14" spans="1:10" x14ac:dyDescent="0.35">
      <c r="A14" t="s">
        <v>13</v>
      </c>
      <c r="B14">
        <f>SUMIFS('raw1'!$E$2:$E$226,'raw1'!$B$2:$B$226,'(2018-19)'!$A14,'raw1'!$C$2:$C$226,'(2018-19)'!$B$6,'raw1'!$D$2:$D$226,'(2018-19)'!B$7)</f>
        <v>40</v>
      </c>
      <c r="C14">
        <f>SUMIFS('raw1'!$E$2:$E$226,'raw1'!$B$2:$B$226,'(2018-19)'!$A14,'raw1'!$C$2:$C$226,'(2018-19)'!$B$6,'raw1'!$D$2:$D$226,'(2018-19)'!C$7)</f>
        <v>22</v>
      </c>
      <c r="E14">
        <f>SUMIFS('raw1'!$E$2:$E$226,'raw1'!$B$2:$B$226,'(2018-19)'!$A14,'raw1'!$C$2:$C$226,'(2018-19)'!$E$6,'raw1'!$D$2:$D$226,'(2018-19)'!E$7)</f>
        <v>5</v>
      </c>
      <c r="F14">
        <f>SUMIFS('raw1'!$E$2:$E$226,'raw1'!$B$2:$B$226,'(2018-19)'!$A14,'raw1'!$C$2:$C$226,'(2018-19)'!$E$6,'raw1'!$D$2:$D$226,'(2018-19)'!F$7)</f>
        <v>4</v>
      </c>
      <c r="H14">
        <f>SUMIFS('raw1'!$E$2:$E$226,'raw1'!$B$2:$B$226,'(2018-19)'!$A14,'raw1'!$C$2:$C$226,'(2018-19)'!$H$6,'raw1'!$D$2:$D$226,'(2018-19)'!H$7)</f>
        <v>23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14</v>
      </c>
      <c r="B15">
        <f>SUMIFS('raw1'!$E$2:$E$226,'raw1'!$B$2:$B$226,'(2018-19)'!$A15,'raw1'!$C$2:$C$226,'(2018-19)'!$B$6,'raw1'!$D$2:$D$226,'(2018-19)'!B$7)</f>
        <v>0</v>
      </c>
      <c r="C15">
        <f>SUMIFS('raw1'!$E$2:$E$226,'raw1'!$B$2:$B$226,'(2018-19)'!$A15,'raw1'!$C$2:$C$226,'(2018-19)'!$B$6,'raw1'!$D$2:$D$226,'(2018-19)'!C$7)</f>
        <v>32</v>
      </c>
      <c r="E15">
        <f>SUMIFS('raw1'!$E$2:$E$226,'raw1'!$B$2:$B$226,'(2018-19)'!$A15,'raw1'!$C$2:$C$226,'(2018-19)'!$E$6,'raw1'!$D$2:$D$226,'(2018-19)'!E$7)</f>
        <v>0</v>
      </c>
      <c r="F15">
        <f>SUMIFS('raw1'!$E$2:$E$226,'raw1'!$B$2:$B$226,'(2018-19)'!$A15,'raw1'!$C$2:$C$226,'(2018-19)'!$E$6,'raw1'!$D$2:$D$226,'(2018-19)'!F$7)</f>
        <v>10</v>
      </c>
      <c r="H15">
        <f>SUMIFS('raw1'!$E$2:$E$226,'raw1'!$B$2:$B$226,'(2018-19)'!$A15,'raw1'!$C$2:$C$226,'(2018-19)'!$H$6,'raw1'!$D$2:$D$226,'(2018-19)'!H$7)</f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15</v>
      </c>
      <c r="B16">
        <f>SUMIFS('raw1'!$E$2:$E$226,'raw1'!$B$2:$B$226,'(2018-19)'!$A16,'raw1'!$C$2:$C$226,'(2018-19)'!$B$6,'raw1'!$D$2:$D$226,'(2018-19)'!B$7)</f>
        <v>17</v>
      </c>
      <c r="C16">
        <f>SUMIFS('raw1'!$E$2:$E$226,'raw1'!$B$2:$B$226,'(2018-19)'!$A16,'raw1'!$C$2:$C$226,'(2018-19)'!$B$6,'raw1'!$D$2:$D$226,'(2018-19)'!C$7)</f>
        <v>12</v>
      </c>
      <c r="E16">
        <f>SUMIFS('raw1'!$E$2:$E$226,'raw1'!$B$2:$B$226,'(2018-19)'!$A16,'raw1'!$C$2:$C$226,'(2018-19)'!$E$6,'raw1'!$D$2:$D$226,'(2018-19)'!E$7)</f>
        <v>2</v>
      </c>
      <c r="F16">
        <f>SUMIFS('raw1'!$E$2:$E$226,'raw1'!$B$2:$B$226,'(2018-19)'!$A16,'raw1'!$C$2:$C$226,'(2018-19)'!$E$6,'raw1'!$D$2:$D$226,'(2018-19)'!F$7)</f>
        <v>4</v>
      </c>
      <c r="H16">
        <f>SUMIFS('raw1'!$E$2:$E$226,'raw1'!$B$2:$B$226,'(2018-19)'!$A16,'raw1'!$C$2:$C$226,'(2018-19)'!$H$6,'raw1'!$D$2:$D$226,'(2018-19)'!H$7)</f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16</v>
      </c>
      <c r="B17">
        <f>SUMIFS('raw1'!$E$2:$E$226,'raw1'!$B$2:$B$226,'(2018-19)'!$A17,'raw1'!$C$2:$C$226,'(2018-19)'!$B$6,'raw1'!$D$2:$D$226,'(2018-19)'!B$7)</f>
        <v>14</v>
      </c>
      <c r="C17">
        <f>SUMIFS('raw1'!$E$2:$E$226,'raw1'!$B$2:$B$226,'(2018-19)'!$A17,'raw1'!$C$2:$C$226,'(2018-19)'!$B$6,'raw1'!$D$2:$D$226,'(2018-19)'!C$7)</f>
        <v>18</v>
      </c>
      <c r="E17">
        <f>SUMIFS('raw1'!$E$2:$E$226,'raw1'!$B$2:$B$226,'(2018-19)'!$A17,'raw1'!$C$2:$C$226,'(2018-19)'!$E$6,'raw1'!$D$2:$D$226,'(2018-19)'!E$7)</f>
        <v>4</v>
      </c>
      <c r="F17">
        <f>SUMIFS('raw1'!$E$2:$E$226,'raw1'!$B$2:$B$226,'(2018-19)'!$A17,'raw1'!$C$2:$C$226,'(2018-19)'!$E$6,'raw1'!$D$2:$D$226,'(2018-19)'!F$7)</f>
        <v>7</v>
      </c>
      <c r="H17">
        <f>SUMIFS('raw1'!$E$2:$E$226,'raw1'!$B$2:$B$226,'(2018-19)'!$A17,'raw1'!$C$2:$C$226,'(2018-19)'!$H$6,'raw1'!$D$2:$D$226,'(2018-19)'!H$7)</f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17</v>
      </c>
      <c r="B18">
        <f>SUMIFS('raw1'!$E$2:$E$226,'raw1'!$B$2:$B$226,'(2018-19)'!$A18,'raw1'!$C$2:$C$226,'(2018-19)'!$B$6,'raw1'!$D$2:$D$226,'(2018-19)'!B$7)</f>
        <v>12</v>
      </c>
      <c r="C18">
        <f>SUMIFS('raw1'!$E$2:$E$226,'raw1'!$B$2:$B$226,'(2018-19)'!$A18,'raw1'!$C$2:$C$226,'(2018-19)'!$B$6,'raw1'!$D$2:$D$226,'(2018-19)'!C$7)</f>
        <v>7</v>
      </c>
      <c r="E18">
        <f>SUMIFS('raw1'!$E$2:$E$226,'raw1'!$B$2:$B$226,'(2018-19)'!$A18,'raw1'!$C$2:$C$226,'(2018-19)'!$E$6,'raw1'!$D$2:$D$226,'(2018-19)'!E$7)</f>
        <v>1</v>
      </c>
      <c r="F18">
        <f>SUMIFS('raw1'!$E$2:$E$226,'raw1'!$B$2:$B$226,'(2018-19)'!$A18,'raw1'!$C$2:$C$226,'(2018-19)'!$E$6,'raw1'!$D$2:$D$226,'(2018-19)'!F$7)</f>
        <v>15</v>
      </c>
      <c r="H18">
        <f>SUMIFS('raw1'!$E$2:$E$226,'raw1'!$B$2:$B$226,'(2018-19)'!$A18,'raw1'!$C$2:$C$226,'(2018-19)'!$H$6,'raw1'!$D$2:$D$226,'(2018-19)'!H$7)</f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18</v>
      </c>
      <c r="B19">
        <f>SUMIFS('raw1'!$E$2:$E$226,'raw1'!$B$2:$B$226,'(2018-19)'!$A19,'raw1'!$C$2:$C$226,'(2018-19)'!$B$6,'raw1'!$D$2:$D$226,'(2018-19)'!B$7)</f>
        <v>24</v>
      </c>
      <c r="C19">
        <f>SUMIFS('raw1'!$E$2:$E$226,'raw1'!$B$2:$B$226,'(2018-19)'!$A19,'raw1'!$C$2:$C$226,'(2018-19)'!$B$6,'raw1'!$D$2:$D$226,'(2018-19)'!C$7)</f>
        <v>43</v>
      </c>
      <c r="E19">
        <f>SUMIFS('raw1'!$E$2:$E$226,'raw1'!$B$2:$B$226,'(2018-19)'!$A19,'raw1'!$C$2:$C$226,'(2018-19)'!$E$6,'raw1'!$D$2:$D$226,'(2018-19)'!E$7)</f>
        <v>0</v>
      </c>
      <c r="F19">
        <f>SUMIFS('raw1'!$E$2:$E$226,'raw1'!$B$2:$B$226,'(2018-19)'!$A19,'raw1'!$C$2:$C$226,'(2018-19)'!$E$6,'raw1'!$D$2:$D$226,'(2018-19)'!F$7)</f>
        <v>27</v>
      </c>
      <c r="H19">
        <f>SUMIFS('raw1'!$E$2:$E$226,'raw1'!$B$2:$B$226,'(2018-19)'!$A19,'raw1'!$C$2:$C$226,'(2018-19)'!$H$6,'raw1'!$D$2:$D$226,'(2018-19)'!H$7)</f>
        <v>3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19</v>
      </c>
      <c r="B20">
        <f>SUMIFS('raw1'!$E$2:$E$226,'raw1'!$B$2:$B$226,'(2018-19)'!$A20,'raw1'!$C$2:$C$226,'(2018-19)'!$B$6,'raw1'!$D$2:$D$226,'(2018-19)'!B$7)</f>
        <v>6</v>
      </c>
      <c r="C20">
        <f>SUMIFS('raw1'!$E$2:$E$226,'raw1'!$B$2:$B$226,'(2018-19)'!$A20,'raw1'!$C$2:$C$226,'(2018-19)'!$B$6,'raw1'!$D$2:$D$226,'(2018-19)'!C$7)</f>
        <v>15</v>
      </c>
      <c r="E20">
        <f>SUMIFS('raw1'!$E$2:$E$226,'raw1'!$B$2:$B$226,'(2018-19)'!$A20,'raw1'!$C$2:$C$226,'(2018-19)'!$E$6,'raw1'!$D$2:$D$226,'(2018-19)'!E$7)</f>
        <v>2</v>
      </c>
      <c r="F20">
        <f>SUMIFS('raw1'!$E$2:$E$226,'raw1'!$B$2:$B$226,'(2018-19)'!$A20,'raw1'!$C$2:$C$226,'(2018-19)'!$E$6,'raw1'!$D$2:$D$226,'(2018-19)'!F$7)</f>
        <v>8</v>
      </c>
      <c r="H20">
        <f>SUMIFS('raw1'!$E$2:$E$226,'raw1'!$B$2:$B$226,'(2018-19)'!$A20,'raw1'!$C$2:$C$226,'(2018-19)'!$H$6,'raw1'!$D$2:$D$226,'(2018-19)'!H$7)</f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20</v>
      </c>
      <c r="B21">
        <f>SUMIFS('raw1'!$E$2:$E$226,'raw1'!$B$2:$B$226,'(2018-19)'!$A21,'raw1'!$C$2:$C$226,'(2018-19)'!$B$6,'raw1'!$D$2:$D$226,'(2018-19)'!B$7)</f>
        <v>7</v>
      </c>
      <c r="C21">
        <f>SUMIFS('raw1'!$E$2:$E$226,'raw1'!$B$2:$B$226,'(2018-19)'!$A21,'raw1'!$C$2:$C$226,'(2018-19)'!$B$6,'raw1'!$D$2:$D$226,'(2018-19)'!C$7)</f>
        <v>4</v>
      </c>
      <c r="E21">
        <f>SUMIFS('raw1'!$E$2:$E$226,'raw1'!$B$2:$B$226,'(2018-19)'!$A21,'raw1'!$C$2:$C$226,'(2018-19)'!$E$6,'raw1'!$D$2:$D$226,'(2018-19)'!E$7)</f>
        <v>1</v>
      </c>
      <c r="F21">
        <f>SUMIFS('raw1'!$E$2:$E$226,'raw1'!$B$2:$B$226,'(2018-19)'!$A21,'raw1'!$C$2:$C$226,'(2018-19)'!$E$6,'raw1'!$D$2:$D$226,'(2018-19)'!F$7)</f>
        <v>19</v>
      </c>
      <c r="H21">
        <f>SUMIFS('raw1'!$E$2:$E$226,'raw1'!$B$2:$B$226,'(2018-19)'!$A21,'raw1'!$C$2:$C$226,'(2018-19)'!$H$6,'raw1'!$D$2:$D$226,'(2018-19)'!H$7)</f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21</v>
      </c>
      <c r="B22">
        <f>SUMIFS('raw1'!$E$2:$E$226,'raw1'!$B$2:$B$226,'(2018-19)'!$A22,'raw1'!$C$2:$C$226,'(2018-19)'!$B$6,'raw1'!$D$2:$D$226,'(2018-19)'!B$7)</f>
        <v>19</v>
      </c>
      <c r="C22">
        <f>SUMIFS('raw1'!$E$2:$E$226,'raw1'!$B$2:$B$226,'(2018-19)'!$A22,'raw1'!$C$2:$C$226,'(2018-19)'!$B$6,'raw1'!$D$2:$D$226,'(2018-19)'!C$7)</f>
        <v>18</v>
      </c>
      <c r="E22">
        <f>SUMIFS('raw1'!$E$2:$E$226,'raw1'!$B$2:$B$226,'(2018-19)'!$A22,'raw1'!$C$2:$C$226,'(2018-19)'!$E$6,'raw1'!$D$2:$D$226,'(2018-19)'!E$7)</f>
        <v>1</v>
      </c>
      <c r="F22">
        <f>SUMIFS('raw1'!$E$2:$E$226,'raw1'!$B$2:$B$226,'(2018-19)'!$A22,'raw1'!$C$2:$C$226,'(2018-19)'!$E$6,'raw1'!$D$2:$D$226,'(2018-19)'!F$7)</f>
        <v>0</v>
      </c>
      <c r="H22">
        <f>SUMIFS('raw1'!$E$2:$E$226,'raw1'!$B$2:$B$226,'(2018-19)'!$A22,'raw1'!$C$2:$C$226,'(2018-19)'!$H$6,'raw1'!$D$2:$D$226,'(2018-19)'!H$7)</f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22</v>
      </c>
      <c r="B23">
        <f>SUMIFS('raw1'!$E$2:$E$226,'raw1'!$B$2:$B$226,'(2018-19)'!$A23,'raw1'!$C$2:$C$226,'(2018-19)'!$B$6,'raw1'!$D$2:$D$226,'(2018-19)'!B$7)</f>
        <v>11</v>
      </c>
      <c r="C23">
        <f>SUMIFS('raw1'!$E$2:$E$226,'raw1'!$B$2:$B$226,'(2018-19)'!$A23,'raw1'!$C$2:$C$226,'(2018-19)'!$B$6,'raw1'!$D$2:$D$226,'(2018-19)'!C$7)</f>
        <v>18</v>
      </c>
      <c r="E23">
        <f>SUMIFS('raw1'!$E$2:$E$226,'raw1'!$B$2:$B$226,'(2018-19)'!$A23,'raw1'!$C$2:$C$226,'(2018-19)'!$E$6,'raw1'!$D$2:$D$226,'(2018-19)'!E$7)</f>
        <v>0</v>
      </c>
      <c r="F23">
        <f>SUMIFS('raw1'!$E$2:$E$226,'raw1'!$B$2:$B$226,'(2018-19)'!$A23,'raw1'!$C$2:$C$226,'(2018-19)'!$E$6,'raw1'!$D$2:$D$226,'(2018-19)'!F$7)</f>
        <v>35</v>
      </c>
      <c r="H23">
        <f>SUMIFS('raw1'!$E$2:$E$226,'raw1'!$B$2:$B$226,'(2018-19)'!$A23,'raw1'!$C$2:$C$226,'(2018-19)'!$H$6,'raw1'!$D$2:$D$226,'(2018-19)'!H$7)</f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23</v>
      </c>
      <c r="B24">
        <f>SUMIFS('raw1'!$E$2:$E$226,'raw1'!$B$2:$B$226,'(2018-19)'!$A24,'raw1'!$C$2:$C$226,'(2018-19)'!$B$6,'raw1'!$D$2:$D$226,'(2018-19)'!B$7)</f>
        <v>59</v>
      </c>
      <c r="C24">
        <f>SUMIFS('raw1'!$E$2:$E$226,'raw1'!$B$2:$B$226,'(2018-19)'!$A24,'raw1'!$C$2:$C$226,'(2018-19)'!$B$6,'raw1'!$D$2:$D$226,'(2018-19)'!C$7)</f>
        <v>48</v>
      </c>
      <c r="E24">
        <f>SUMIFS('raw1'!$E$2:$E$226,'raw1'!$B$2:$B$226,'(2018-19)'!$A24,'raw1'!$C$2:$C$226,'(2018-19)'!$E$6,'raw1'!$D$2:$D$226,'(2018-19)'!E$7)</f>
        <v>1</v>
      </c>
      <c r="F24">
        <f>SUMIFS('raw1'!$E$2:$E$226,'raw1'!$B$2:$B$226,'(2018-19)'!$A24,'raw1'!$C$2:$C$226,'(2018-19)'!$E$6,'raw1'!$D$2:$D$226,'(2018-19)'!F$7)</f>
        <v>56</v>
      </c>
      <c r="H24">
        <f>SUMIFS('raw1'!$E$2:$E$226,'raw1'!$B$2:$B$226,'(2018-19)'!$A24,'raw1'!$C$2:$C$226,'(2018-19)'!$H$6,'raw1'!$D$2:$D$226,'(2018-19)'!H$7)</f>
        <v>7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24</v>
      </c>
      <c r="B25">
        <f>SUMIFS('raw1'!$E$2:$E$226,'raw1'!$B$2:$B$226,'(2018-19)'!$A25,'raw1'!$C$2:$C$226,'(2018-19)'!$B$6,'raw1'!$D$2:$D$226,'(2018-19)'!B$7)</f>
        <v>13</v>
      </c>
      <c r="C25">
        <f>SUMIFS('raw1'!$E$2:$E$226,'raw1'!$B$2:$B$226,'(2018-19)'!$A25,'raw1'!$C$2:$C$226,'(2018-19)'!$B$6,'raw1'!$D$2:$D$226,'(2018-19)'!C$7)</f>
        <v>30</v>
      </c>
      <c r="E25">
        <f>SUMIFS('raw1'!$E$2:$E$226,'raw1'!$B$2:$B$226,'(2018-19)'!$A25,'raw1'!$C$2:$C$226,'(2018-19)'!$E$6,'raw1'!$D$2:$D$226,'(2018-19)'!E$7)</f>
        <v>2</v>
      </c>
      <c r="F25">
        <f>SUMIFS('raw1'!$E$2:$E$226,'raw1'!$B$2:$B$226,'(2018-19)'!$A25,'raw1'!$C$2:$C$226,'(2018-19)'!$E$6,'raw1'!$D$2:$D$226,'(2018-19)'!F$7)</f>
        <v>32</v>
      </c>
      <c r="H25">
        <f>SUMIFS('raw1'!$E$2:$E$226,'raw1'!$B$2:$B$226,'(2018-19)'!$A25,'raw1'!$C$2:$C$226,'(2018-19)'!$H$6,'raw1'!$D$2:$D$226,'(2018-19)'!H$7)</f>
        <v>1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25</v>
      </c>
      <c r="B26">
        <f>SUMIFS('raw1'!$E$2:$E$226,'raw1'!$B$2:$B$226,'(2018-19)'!$A26,'raw1'!$C$2:$C$226,'(2018-19)'!$B$6,'raw1'!$D$2:$D$226,'(2018-19)'!B$7)</f>
        <v>6</v>
      </c>
      <c r="C26">
        <f>SUMIFS('raw1'!$E$2:$E$226,'raw1'!$B$2:$B$226,'(2018-19)'!$A26,'raw1'!$C$2:$C$226,'(2018-19)'!$B$6,'raw1'!$D$2:$D$226,'(2018-19)'!C$7)</f>
        <v>13</v>
      </c>
      <c r="E26">
        <f>SUMIFS('raw1'!$E$2:$E$226,'raw1'!$B$2:$B$226,'(2018-19)'!$A26,'raw1'!$C$2:$C$226,'(2018-19)'!$E$6,'raw1'!$D$2:$D$226,'(2018-19)'!E$7)</f>
        <v>0</v>
      </c>
      <c r="F26">
        <f>SUMIFS('raw1'!$E$2:$E$226,'raw1'!$B$2:$B$226,'(2018-19)'!$A26,'raw1'!$C$2:$C$226,'(2018-19)'!$E$6,'raw1'!$D$2:$D$226,'(2018-19)'!F$7)</f>
        <v>6</v>
      </c>
      <c r="H26">
        <f>SUMIFS('raw1'!$E$2:$E$226,'raw1'!$B$2:$B$226,'(2018-19)'!$A26,'raw1'!$C$2:$C$226,'(2018-19)'!$H$6,'raw1'!$D$2:$D$226,'(2018-19)'!H$7)</f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26</v>
      </c>
      <c r="B27">
        <f>SUMIFS('raw1'!$E$2:$E$226,'raw1'!$B$2:$B$226,'(2018-19)'!$A27,'raw1'!$C$2:$C$226,'(2018-19)'!$B$6,'raw1'!$D$2:$D$226,'(2018-19)'!B$7)</f>
        <v>9</v>
      </c>
      <c r="C27">
        <f>SUMIFS('raw1'!$E$2:$E$226,'raw1'!$B$2:$B$226,'(2018-19)'!$A27,'raw1'!$C$2:$C$226,'(2018-19)'!$B$6,'raw1'!$D$2:$D$226,'(2018-19)'!C$7)</f>
        <v>26</v>
      </c>
      <c r="E27">
        <f>SUMIFS('raw1'!$E$2:$E$226,'raw1'!$B$2:$B$226,'(2018-19)'!$A27,'raw1'!$C$2:$C$226,'(2018-19)'!$E$6,'raw1'!$D$2:$D$226,'(2018-19)'!E$7)</f>
        <v>2</v>
      </c>
      <c r="F27">
        <f>SUMIFS('raw1'!$E$2:$E$226,'raw1'!$B$2:$B$226,'(2018-19)'!$A27,'raw1'!$C$2:$C$226,'(2018-19)'!$E$6,'raw1'!$D$2:$D$226,'(2018-19)'!F$7)</f>
        <v>14</v>
      </c>
      <c r="H27">
        <f>SUMIFS('raw1'!$E$2:$E$226,'raw1'!$B$2:$B$226,'(2018-19)'!$A27,'raw1'!$C$2:$C$226,'(2018-19)'!$H$6,'raw1'!$D$2:$D$226,'(2018-19)'!H$7)</f>
        <v>2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27</v>
      </c>
      <c r="B28">
        <f>SUMIFS('raw1'!$E$2:$E$226,'raw1'!$B$2:$B$226,'(2018-19)'!$A28,'raw1'!$C$2:$C$226,'(2018-19)'!$B$6,'raw1'!$D$2:$D$226,'(2018-19)'!B$7)</f>
        <v>41</v>
      </c>
      <c r="C28">
        <f>SUMIFS('raw1'!$E$2:$E$226,'raw1'!$B$2:$B$226,'(2018-19)'!$A28,'raw1'!$C$2:$C$226,'(2018-19)'!$B$6,'raw1'!$D$2:$D$226,'(2018-19)'!C$7)</f>
        <v>45</v>
      </c>
      <c r="E28">
        <f>SUMIFS('raw1'!$E$2:$E$226,'raw1'!$B$2:$B$226,'(2018-19)'!$A28,'raw1'!$C$2:$C$226,'(2018-19)'!$E$6,'raw1'!$D$2:$D$226,'(2018-19)'!E$7)</f>
        <v>0</v>
      </c>
      <c r="F28">
        <f>SUMIFS('raw1'!$E$2:$E$226,'raw1'!$B$2:$B$226,'(2018-19)'!$A28,'raw1'!$C$2:$C$226,'(2018-19)'!$E$6,'raw1'!$D$2:$D$226,'(2018-19)'!F$7)</f>
        <v>39</v>
      </c>
      <c r="H28">
        <f>SUMIFS('raw1'!$E$2:$E$226,'raw1'!$B$2:$B$226,'(2018-19)'!$A28,'raw1'!$C$2:$C$226,'(2018-19)'!$H$6,'raw1'!$D$2:$D$226,'(2018-19)'!H$7)</f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28</v>
      </c>
      <c r="B29">
        <f>SUMIFS('raw1'!$E$2:$E$226,'raw1'!$B$2:$B$226,'(2018-19)'!$A29,'raw1'!$C$2:$C$226,'(2018-19)'!$B$6,'raw1'!$D$2:$D$226,'(2018-19)'!B$7)</f>
        <v>14</v>
      </c>
      <c r="C29">
        <f>SUMIFS('raw1'!$E$2:$E$226,'raw1'!$B$2:$B$226,'(2018-19)'!$A29,'raw1'!$C$2:$C$226,'(2018-19)'!$B$6,'raw1'!$D$2:$D$226,'(2018-19)'!C$7)</f>
        <v>11</v>
      </c>
      <c r="E29">
        <f>SUMIFS('raw1'!$E$2:$E$226,'raw1'!$B$2:$B$226,'(2018-19)'!$A29,'raw1'!$C$2:$C$226,'(2018-19)'!$E$6,'raw1'!$D$2:$D$226,'(2018-19)'!E$7)</f>
        <v>2</v>
      </c>
      <c r="F29">
        <f>SUMIFS('raw1'!$E$2:$E$226,'raw1'!$B$2:$B$226,'(2018-19)'!$A29,'raw1'!$C$2:$C$226,'(2018-19)'!$E$6,'raw1'!$D$2:$D$226,'(2018-19)'!F$7)</f>
        <v>4</v>
      </c>
      <c r="H29">
        <f>SUMIFS('raw1'!$E$2:$E$226,'raw1'!$B$2:$B$226,'(2018-19)'!$A29,'raw1'!$C$2:$C$226,'(2018-19)'!$H$6,'raw1'!$D$2:$D$226,'(2018-19)'!H$7)</f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29</v>
      </c>
      <c r="B30">
        <f>SUMIFS('raw1'!$E$2:$E$226,'raw1'!$B$2:$B$226,'(2018-19)'!$A30,'raw1'!$C$2:$C$226,'(2018-19)'!$B$6,'raw1'!$D$2:$D$226,'(2018-19)'!B$7)</f>
        <v>203</v>
      </c>
      <c r="C30">
        <f>SUMIFS('raw1'!$E$2:$E$226,'raw1'!$B$2:$B$226,'(2018-19)'!$A30,'raw1'!$C$2:$C$226,'(2018-19)'!$B$6,'raw1'!$D$2:$D$226,'(2018-19)'!C$7)</f>
        <v>266</v>
      </c>
      <c r="E30">
        <f>SUMIFS('raw1'!$E$2:$E$226,'raw1'!$B$2:$B$226,'(2018-19)'!$A30,'raw1'!$C$2:$C$226,'(2018-19)'!$E$6,'raw1'!$D$2:$D$226,'(2018-19)'!E$7)</f>
        <v>5</v>
      </c>
      <c r="F30">
        <f>SUMIFS('raw1'!$E$2:$E$226,'raw1'!$B$2:$B$226,'(2018-19)'!$A30,'raw1'!$C$2:$C$226,'(2018-19)'!$E$6,'raw1'!$D$2:$D$226,'(2018-19)'!F$7)</f>
        <v>20</v>
      </c>
      <c r="H30">
        <f>SUMIFS('raw1'!$E$2:$E$226,'raw1'!$B$2:$B$226,'(2018-19)'!$A30,'raw1'!$C$2:$C$226,'(2018-19)'!$H$6,'raw1'!$D$2:$D$226,'(2018-19)'!H$7)</f>
        <v>1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30</v>
      </c>
      <c r="B31">
        <f>SUMIFS('raw1'!$E$2:$E$226,'raw1'!$B$2:$B$226,'(2018-19)'!$A31,'raw1'!$C$2:$C$226,'(2018-19)'!$B$6,'raw1'!$D$2:$D$226,'(2018-19)'!B$7)</f>
        <v>23</v>
      </c>
      <c r="C31">
        <f>SUMIFS('raw1'!$E$2:$E$226,'raw1'!$B$2:$B$226,'(2018-19)'!$A31,'raw1'!$C$2:$C$226,'(2018-19)'!$B$6,'raw1'!$D$2:$D$226,'(2018-19)'!C$7)</f>
        <v>38</v>
      </c>
      <c r="E31">
        <f>SUMIFS('raw1'!$E$2:$E$226,'raw1'!$B$2:$B$226,'(2018-19)'!$A31,'raw1'!$C$2:$C$226,'(2018-19)'!$E$6,'raw1'!$D$2:$D$226,'(2018-19)'!E$7)</f>
        <v>1</v>
      </c>
      <c r="F31">
        <f>SUMIFS('raw1'!$E$2:$E$226,'raw1'!$B$2:$B$226,'(2018-19)'!$A31,'raw1'!$C$2:$C$226,'(2018-19)'!$E$6,'raw1'!$D$2:$D$226,'(2018-19)'!F$7)</f>
        <v>3</v>
      </c>
      <c r="H31">
        <f>SUMIFS('raw1'!$E$2:$E$226,'raw1'!$B$2:$B$226,'(2018-19)'!$A31,'raw1'!$C$2:$C$226,'(2018-19)'!$H$6,'raw1'!$D$2:$D$226,'(2018-19)'!H$7)</f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31</v>
      </c>
      <c r="B32">
        <f>SUMIFS('raw1'!$E$2:$E$226,'raw1'!$B$2:$B$226,'(2018-19)'!$A32,'raw1'!$C$2:$C$226,'(2018-19)'!$B$6,'raw1'!$D$2:$D$226,'(2018-19)'!B$7)</f>
        <v>28</v>
      </c>
      <c r="C32">
        <f>SUMIFS('raw1'!$E$2:$E$226,'raw1'!$B$2:$B$226,'(2018-19)'!$A32,'raw1'!$C$2:$C$226,'(2018-19)'!$B$6,'raw1'!$D$2:$D$226,'(2018-19)'!C$7)</f>
        <v>38</v>
      </c>
      <c r="E32">
        <f>SUMIFS('raw1'!$E$2:$E$226,'raw1'!$B$2:$B$226,'(2018-19)'!$A32,'raw1'!$C$2:$C$226,'(2018-19)'!$E$6,'raw1'!$D$2:$D$226,'(2018-19)'!E$7)</f>
        <v>5</v>
      </c>
      <c r="F32">
        <f>SUMIFS('raw1'!$E$2:$E$226,'raw1'!$B$2:$B$226,'(2018-19)'!$A32,'raw1'!$C$2:$C$226,'(2018-19)'!$E$6,'raw1'!$D$2:$D$226,'(2018-19)'!F$7)</f>
        <v>32</v>
      </c>
      <c r="H32">
        <f>SUMIFS('raw1'!$E$2:$E$226,'raw1'!$B$2:$B$226,'(2018-19)'!$A32,'raw1'!$C$2:$C$226,'(2018-19)'!$H$6,'raw1'!$D$2:$D$226,'(2018-19)'!H$7)</f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32</v>
      </c>
      <c r="B33">
        <f>SUMIFS('raw1'!$E$2:$E$226,'raw1'!$B$2:$B$226,'(2018-19)'!$A33,'raw1'!$C$2:$C$226,'(2018-19)'!$B$6,'raw1'!$D$2:$D$226,'(2018-19)'!B$7)</f>
        <v>9</v>
      </c>
      <c r="C33">
        <f>SUMIFS('raw1'!$E$2:$E$226,'raw1'!$B$2:$B$226,'(2018-19)'!$A33,'raw1'!$C$2:$C$226,'(2018-19)'!$B$6,'raw1'!$D$2:$D$226,'(2018-19)'!C$7)</f>
        <v>20</v>
      </c>
      <c r="E33">
        <f>SUMIFS('raw1'!$E$2:$E$226,'raw1'!$B$2:$B$226,'(2018-19)'!$A33,'raw1'!$C$2:$C$226,'(2018-19)'!$E$6,'raw1'!$D$2:$D$226,'(2018-19)'!E$7)</f>
        <v>0</v>
      </c>
      <c r="F33">
        <f>SUMIFS('raw1'!$E$2:$E$226,'raw1'!$B$2:$B$226,'(2018-19)'!$A33,'raw1'!$C$2:$C$226,'(2018-19)'!$E$6,'raw1'!$D$2:$D$226,'(2018-19)'!F$7)</f>
        <v>13</v>
      </c>
      <c r="H33">
        <f>SUMIFS('raw1'!$E$2:$E$226,'raw1'!$B$2:$B$226,'(2018-19)'!$A33,'raw1'!$C$2:$C$226,'(2018-19)'!$H$6,'raw1'!$D$2:$D$226,'(2018-19)'!H$7)</f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33</v>
      </c>
      <c r="B34">
        <f>SUMIFS('raw1'!$E$2:$E$226,'raw1'!$B$2:$B$226,'(2018-19)'!$A34,'raw1'!$C$2:$C$226,'(2018-19)'!$B$6,'raw1'!$D$2:$D$226,'(2018-19)'!B$7)</f>
        <v>21</v>
      </c>
      <c r="C34">
        <f>SUMIFS('raw1'!$E$2:$E$226,'raw1'!$B$2:$B$226,'(2018-19)'!$A34,'raw1'!$C$2:$C$226,'(2018-19)'!$B$6,'raw1'!$D$2:$D$226,'(2018-19)'!C$7)</f>
        <v>23</v>
      </c>
      <c r="E34">
        <f>SUMIFS('raw1'!$E$2:$E$226,'raw1'!$B$2:$B$226,'(2018-19)'!$A34,'raw1'!$C$2:$C$226,'(2018-19)'!$E$6,'raw1'!$D$2:$D$226,'(2018-19)'!E$7)</f>
        <v>4</v>
      </c>
      <c r="F34">
        <f>SUMIFS('raw1'!$E$2:$E$226,'raw1'!$B$2:$B$226,'(2018-19)'!$A34,'raw1'!$C$2:$C$226,'(2018-19)'!$E$6,'raw1'!$D$2:$D$226,'(2018-19)'!F$7)</f>
        <v>14</v>
      </c>
      <c r="H34">
        <f>SUMIFS('raw1'!$E$2:$E$226,'raw1'!$B$2:$B$226,'(2018-19)'!$A34,'raw1'!$C$2:$C$226,'(2018-19)'!$H$6,'raw1'!$D$2:$D$226,'(2018-19)'!H$7)</f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34</v>
      </c>
      <c r="B35">
        <f>SUMIFS('raw1'!$E$2:$E$226,'raw1'!$B$2:$B$226,'(2018-19)'!$A35,'raw1'!$C$2:$C$226,'(2018-19)'!$B$6,'raw1'!$D$2:$D$226,'(2018-19)'!B$7)</f>
        <v>14</v>
      </c>
      <c r="C35">
        <f>SUMIFS('raw1'!$E$2:$E$226,'raw1'!$B$2:$B$226,'(2018-19)'!$A35,'raw1'!$C$2:$C$226,'(2018-19)'!$B$6,'raw1'!$D$2:$D$226,'(2018-19)'!C$7)</f>
        <v>6</v>
      </c>
      <c r="E35">
        <f>SUMIFS('raw1'!$E$2:$E$226,'raw1'!$B$2:$B$226,'(2018-19)'!$A35,'raw1'!$C$2:$C$226,'(2018-19)'!$E$6,'raw1'!$D$2:$D$226,'(2018-19)'!E$7)</f>
        <v>2</v>
      </c>
      <c r="F35">
        <f>SUMIFS('raw1'!$E$2:$E$226,'raw1'!$B$2:$B$226,'(2018-19)'!$A35,'raw1'!$C$2:$C$226,'(2018-19)'!$E$6,'raw1'!$D$2:$D$226,'(2018-19)'!F$7)</f>
        <v>12</v>
      </c>
      <c r="H35">
        <f>SUMIFS('raw1'!$E$2:$E$226,'raw1'!$B$2:$B$226,'(2018-19)'!$A35,'raw1'!$C$2:$C$226,'(2018-19)'!$H$6,'raw1'!$D$2:$D$226,'(2018-19)'!H$7)</f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35</v>
      </c>
      <c r="B36">
        <f>SUMIFS('raw1'!$E$2:$E$226,'raw1'!$B$2:$B$226,'(2018-19)'!$A36,'raw1'!$C$2:$C$226,'(2018-19)'!$B$6,'raw1'!$D$2:$D$226,'(2018-19)'!B$7)</f>
        <v>5</v>
      </c>
      <c r="C36">
        <f>SUMIFS('raw1'!$E$2:$E$226,'raw1'!$B$2:$B$226,'(2018-19)'!$A36,'raw1'!$C$2:$C$226,'(2018-19)'!$B$6,'raw1'!$D$2:$D$226,'(2018-19)'!C$7)</f>
        <v>4</v>
      </c>
      <c r="E36">
        <f>SUMIFS('raw1'!$E$2:$E$226,'raw1'!$B$2:$B$226,'(2018-19)'!$A36,'raw1'!$C$2:$C$226,'(2018-19)'!$E$6,'raw1'!$D$2:$D$226,'(2018-19)'!E$7)</f>
        <v>1</v>
      </c>
      <c r="F36">
        <f>SUMIFS('raw1'!$E$2:$E$226,'raw1'!$B$2:$B$226,'(2018-19)'!$A36,'raw1'!$C$2:$C$226,'(2018-19)'!$E$6,'raw1'!$D$2:$D$226,'(2018-19)'!F$7)</f>
        <v>3</v>
      </c>
      <c r="H36">
        <f>SUMIFS('raw1'!$E$2:$E$226,'raw1'!$B$2:$B$226,'(2018-19)'!$A36,'raw1'!$C$2:$C$226,'(2018-19)'!$H$6,'raw1'!$D$2:$D$226,'(2018-19)'!H$7)</f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36</v>
      </c>
      <c r="B37">
        <f>SUMIFS('raw1'!$E$2:$E$226,'raw1'!$B$2:$B$226,'(2018-19)'!$A37,'raw1'!$C$2:$C$226,'(2018-19)'!$B$6,'raw1'!$D$2:$D$226,'(2018-19)'!B$7)</f>
        <v>0</v>
      </c>
      <c r="C37">
        <f>SUMIFS('raw1'!$E$2:$E$226,'raw1'!$B$2:$B$226,'(2018-19)'!$A37,'raw1'!$C$2:$C$226,'(2018-19)'!$B$6,'raw1'!$D$2:$D$226,'(2018-19)'!C$7)</f>
        <v>0</v>
      </c>
      <c r="E37">
        <f>SUMIFS('raw1'!$E$2:$E$226,'raw1'!$B$2:$B$226,'(2018-19)'!$A37,'raw1'!$C$2:$C$226,'(2018-19)'!$E$6,'raw1'!$D$2:$D$226,'(2018-19)'!E$7)</f>
        <v>0</v>
      </c>
      <c r="F37">
        <f>SUMIFS('raw1'!$E$2:$E$226,'raw1'!$B$2:$B$226,'(2018-19)'!$A37,'raw1'!$C$2:$C$226,'(2018-19)'!$E$6,'raw1'!$D$2:$D$226,'(2018-19)'!F$7)</f>
        <v>0</v>
      </c>
      <c r="H37">
        <f>SUMIFS('raw1'!$E$2:$E$226,'raw1'!$B$2:$B$226,'(2018-19)'!$A37,'raw1'!$C$2:$C$226,'(2018-19)'!$H$6,'raw1'!$D$2:$D$226,'(2018-19)'!H$7)</f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37</v>
      </c>
      <c r="B38">
        <f>SUMIFS('raw1'!$E$2:$E$226,'raw1'!$B$2:$B$226,'(2018-19)'!$A38,'raw1'!$C$2:$C$226,'(2018-19)'!$B$6,'raw1'!$D$2:$D$226,'(2018-19)'!B$7)</f>
        <v>39</v>
      </c>
      <c r="C38">
        <f>SUMIFS('raw1'!$E$2:$E$226,'raw1'!$B$2:$B$226,'(2018-19)'!$A38,'raw1'!$C$2:$C$226,'(2018-19)'!$B$6,'raw1'!$D$2:$D$226,'(2018-19)'!C$7)</f>
        <v>41</v>
      </c>
      <c r="E38">
        <f>SUMIFS('raw1'!$E$2:$E$226,'raw1'!$B$2:$B$226,'(2018-19)'!$A38,'raw1'!$C$2:$C$226,'(2018-19)'!$E$6,'raw1'!$D$2:$D$226,'(2018-19)'!E$7)</f>
        <v>1</v>
      </c>
      <c r="F38">
        <f>SUMIFS('raw1'!$E$2:$E$226,'raw1'!$B$2:$B$226,'(2018-19)'!$A38,'raw1'!$C$2:$C$226,'(2018-19)'!$E$6,'raw1'!$D$2:$D$226,'(2018-19)'!F$7)</f>
        <v>30</v>
      </c>
      <c r="H38">
        <f>SUMIFS('raw1'!$E$2:$E$226,'raw1'!$B$2:$B$226,'(2018-19)'!$A38,'raw1'!$C$2:$C$226,'(2018-19)'!$H$6,'raw1'!$D$2:$D$226,'(2018-19)'!H$7)</f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38</v>
      </c>
      <c r="B39">
        <f>SUMIFS('raw1'!$E$2:$E$226,'raw1'!$B$2:$B$226,'(2018-19)'!$A39,'raw1'!$C$2:$C$226,'(2018-19)'!$B$6,'raw1'!$D$2:$D$226,'(2018-19)'!B$7)</f>
        <v>16</v>
      </c>
      <c r="C39">
        <f>SUMIFS('raw1'!$E$2:$E$226,'raw1'!$B$2:$B$226,'(2018-19)'!$A39,'raw1'!$C$2:$C$226,'(2018-19)'!$B$6,'raw1'!$D$2:$D$226,'(2018-19)'!C$7)</f>
        <v>36</v>
      </c>
      <c r="E39">
        <f>SUMIFS('raw1'!$E$2:$E$226,'raw1'!$B$2:$B$226,'(2018-19)'!$A39,'raw1'!$C$2:$C$226,'(2018-19)'!$E$6,'raw1'!$D$2:$D$226,'(2018-19)'!E$7)</f>
        <v>0</v>
      </c>
      <c r="F39">
        <f>SUMIFS('raw1'!$E$2:$E$226,'raw1'!$B$2:$B$226,'(2018-19)'!$A39,'raw1'!$C$2:$C$226,'(2018-19)'!$E$6,'raw1'!$D$2:$D$226,'(2018-19)'!F$7)</f>
        <v>17</v>
      </c>
      <c r="H39">
        <f>SUMIFS('raw1'!$E$2:$E$226,'raw1'!$B$2:$B$226,'(2018-19)'!$A39,'raw1'!$C$2:$C$226,'(2018-19)'!$H$6,'raw1'!$D$2:$D$226,'(2018-19)'!H$7)</f>
        <v>5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39</v>
      </c>
      <c r="B40">
        <f>SUMIFS('raw1'!$E$2:$E$226,'raw1'!$B$2:$B$226,'(2018-19)'!$A40,'raw1'!$C$2:$C$226,'(2018-19)'!$B$6,'raw1'!$D$2:$D$226,'(2018-19)'!B$7)</f>
        <v>10</v>
      </c>
      <c r="C40">
        <f>SUMIFS('raw1'!$E$2:$E$226,'raw1'!$B$2:$B$226,'(2018-19)'!$A40,'raw1'!$C$2:$C$226,'(2018-19)'!$B$6,'raw1'!$D$2:$D$226,'(2018-19)'!C$7)</f>
        <v>16</v>
      </c>
      <c r="E40">
        <f>SUMIFS('raw1'!$E$2:$E$226,'raw1'!$B$2:$B$226,'(2018-19)'!$A40,'raw1'!$C$2:$C$226,'(2018-19)'!$E$6,'raw1'!$D$2:$D$226,'(2018-19)'!E$7)</f>
        <v>0</v>
      </c>
      <c r="F40">
        <f>SUMIFS('raw1'!$E$2:$E$226,'raw1'!$B$2:$B$226,'(2018-19)'!$A40,'raw1'!$C$2:$C$226,'(2018-19)'!$E$6,'raw1'!$D$2:$D$226,'(2018-19)'!F$7)</f>
        <v>1</v>
      </c>
      <c r="H40">
        <f>SUMIFS('raw1'!$E$2:$E$226,'raw1'!$B$2:$B$226,'(2018-19)'!$A40,'raw1'!$C$2:$C$226,'(2018-19)'!$H$6,'raw1'!$D$2:$D$226,'(2018-19)'!H$7)</f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40</v>
      </c>
      <c r="B41">
        <f>SUMIFS('raw1'!$E$2:$E$226,'raw1'!$B$2:$B$226,'(2018-19)'!$A41,'raw1'!$C$2:$C$226,'(2018-19)'!$B$6,'raw1'!$D$2:$D$226,'(2018-19)'!B$7)</f>
        <v>6</v>
      </c>
      <c r="C41">
        <f>SUMIFS('raw1'!$E$2:$E$226,'raw1'!$B$2:$B$226,'(2018-19)'!$A41,'raw1'!$C$2:$C$226,'(2018-19)'!$B$6,'raw1'!$D$2:$D$226,'(2018-19)'!C$7)</f>
        <v>22</v>
      </c>
      <c r="E41">
        <f>SUMIFS('raw1'!$E$2:$E$226,'raw1'!$B$2:$B$226,'(2018-19)'!$A41,'raw1'!$C$2:$C$226,'(2018-19)'!$E$6,'raw1'!$D$2:$D$226,'(2018-19)'!E$7)</f>
        <v>2</v>
      </c>
      <c r="F41">
        <f>SUMIFS('raw1'!$E$2:$E$226,'raw1'!$B$2:$B$226,'(2018-19)'!$A41,'raw1'!$C$2:$C$226,'(2018-19)'!$E$6,'raw1'!$D$2:$D$226,'(2018-19)'!F$7)</f>
        <v>16</v>
      </c>
      <c r="H41">
        <f>SUMIFS('raw1'!$E$2:$E$226,'raw1'!$B$2:$B$226,'(2018-19)'!$A41,'raw1'!$C$2:$C$226,'(2018-19)'!$H$6,'raw1'!$D$2:$D$226,'(2018-19)'!H$7)</f>
        <v>3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41</v>
      </c>
      <c r="B42">
        <f>SUMIFS('raw1'!$E$2:$E$226,'raw1'!$B$2:$B$226,'(2018-19)'!$A42,'raw1'!$C$2:$C$226,'(2018-19)'!$B$6,'raw1'!$D$2:$D$226,'(2018-19)'!B$7)</f>
        <v>17</v>
      </c>
      <c r="C42">
        <f>SUMIFS('raw1'!$E$2:$E$226,'raw1'!$B$2:$B$226,'(2018-19)'!$A42,'raw1'!$C$2:$C$226,'(2018-19)'!$B$6,'raw1'!$D$2:$D$226,'(2018-19)'!C$7)</f>
        <v>44</v>
      </c>
      <c r="E42">
        <f>SUMIFS('raw1'!$E$2:$E$226,'raw1'!$B$2:$B$226,'(2018-19)'!$A42,'raw1'!$C$2:$C$226,'(2018-19)'!$E$6,'raw1'!$D$2:$D$226,'(2018-19)'!E$7)</f>
        <v>1</v>
      </c>
      <c r="F42">
        <f>SUMIFS('raw1'!$E$2:$E$226,'raw1'!$B$2:$B$226,'(2018-19)'!$A42,'raw1'!$C$2:$C$226,'(2018-19)'!$E$6,'raw1'!$D$2:$D$226,'(2018-19)'!F$7)</f>
        <v>27</v>
      </c>
      <c r="H42">
        <f>SUMIFS('raw1'!$E$2:$E$226,'raw1'!$B$2:$B$226,'(2018-19)'!$A42,'raw1'!$C$2:$C$226,'(2018-19)'!$H$6,'raw1'!$D$2:$D$226,'(2018-19)'!H$7)</f>
        <v>0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42</v>
      </c>
      <c r="B43">
        <f>SUMIFS('raw1'!$E$2:$E$226,'raw1'!$B$2:$B$226,'(2018-19)'!$A43,'raw1'!$C$2:$C$226,'(2018-19)'!$B$6,'raw1'!$D$2:$D$226,'(2018-19)'!B$7)</f>
        <v>42</v>
      </c>
      <c r="C43">
        <f>SUMIFS('raw1'!$E$2:$E$226,'raw1'!$B$2:$B$226,'(2018-19)'!$A43,'raw1'!$C$2:$C$226,'(2018-19)'!$B$6,'raw1'!$D$2:$D$226,'(2018-19)'!C$7)</f>
        <v>13</v>
      </c>
      <c r="E43">
        <f>SUMIFS('raw1'!$E$2:$E$226,'raw1'!$B$2:$B$226,'(2018-19)'!$A43,'raw1'!$C$2:$C$226,'(2018-19)'!$E$6,'raw1'!$D$2:$D$226,'(2018-19)'!E$7)</f>
        <v>4</v>
      </c>
      <c r="F43">
        <f>SUMIFS('raw1'!$E$2:$E$226,'raw1'!$B$2:$B$226,'(2018-19)'!$A43,'raw1'!$C$2:$C$226,'(2018-19)'!$E$6,'raw1'!$D$2:$D$226,'(2018-19)'!F$7)</f>
        <v>33</v>
      </c>
      <c r="H43">
        <f>SUMIFS('raw1'!$E$2:$E$226,'raw1'!$B$2:$B$226,'(2018-19)'!$A43,'raw1'!$C$2:$C$226,'(2018-19)'!$H$6,'raw1'!$D$2:$D$226,'(2018-19)'!H$7)</f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43</v>
      </c>
      <c r="B44">
        <f>SUMIFS('raw1'!$E$2:$E$226,'raw1'!$B$2:$B$226,'(2018-19)'!$A44,'raw1'!$C$2:$C$226,'(2018-19)'!$B$6,'raw1'!$D$2:$D$226,'(2018-19)'!B$7)</f>
        <v>17</v>
      </c>
      <c r="C44">
        <f>SUMIFS('raw1'!$E$2:$E$226,'raw1'!$B$2:$B$226,'(2018-19)'!$A44,'raw1'!$C$2:$C$226,'(2018-19)'!$B$6,'raw1'!$D$2:$D$226,'(2018-19)'!C$7)</f>
        <v>15</v>
      </c>
      <c r="E44">
        <f>SUMIFS('raw1'!$E$2:$E$226,'raw1'!$B$2:$B$226,'(2018-19)'!$A44,'raw1'!$C$2:$C$226,'(2018-19)'!$E$6,'raw1'!$D$2:$D$226,'(2018-19)'!E$7)</f>
        <v>1</v>
      </c>
      <c r="F44">
        <f>SUMIFS('raw1'!$E$2:$E$226,'raw1'!$B$2:$B$226,'(2018-19)'!$A44,'raw1'!$C$2:$C$226,'(2018-19)'!$E$6,'raw1'!$D$2:$D$226,'(2018-19)'!F$7)</f>
        <v>14</v>
      </c>
      <c r="H44">
        <f>SUMIFS('raw1'!$E$2:$E$226,'raw1'!$B$2:$B$226,'(2018-19)'!$A44,'raw1'!$C$2:$C$226,'(2018-19)'!$H$6,'raw1'!$D$2:$D$226,'(2018-19)'!H$7)</f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44</v>
      </c>
      <c r="B45">
        <f>SUMIFS('raw1'!$E$2:$E$226,'raw1'!$B$2:$B$226,'(2018-19)'!$A45,'raw1'!$C$2:$C$226,'(2018-19)'!$B$6,'raw1'!$D$2:$D$226,'(2018-19)'!B$7)</f>
        <v>0</v>
      </c>
      <c r="C45">
        <f>SUMIFS('raw1'!$E$2:$E$226,'raw1'!$B$2:$B$226,'(2018-19)'!$A45,'raw1'!$C$2:$C$226,'(2018-19)'!$B$6,'raw1'!$D$2:$D$226,'(2018-19)'!C$7)</f>
        <v>17</v>
      </c>
      <c r="E45">
        <f>SUMIFS('raw1'!$E$2:$E$226,'raw1'!$B$2:$B$226,'(2018-19)'!$A45,'raw1'!$C$2:$C$226,'(2018-19)'!$E$6,'raw1'!$D$2:$D$226,'(2018-19)'!E$7)</f>
        <v>0</v>
      </c>
      <c r="F45">
        <f>SUMIFS('raw1'!$E$2:$E$226,'raw1'!$B$2:$B$226,'(2018-19)'!$A45,'raw1'!$C$2:$C$226,'(2018-19)'!$E$6,'raw1'!$D$2:$D$226,'(2018-19)'!F$7)</f>
        <v>19</v>
      </c>
      <c r="H45">
        <f>SUMIFS('raw1'!$E$2:$E$226,'raw1'!$B$2:$B$226,'(2018-19)'!$A45,'raw1'!$C$2:$C$226,'(2018-19)'!$H$6,'raw1'!$D$2:$D$226,'(2018-19)'!H$7)</f>
        <v>4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45</v>
      </c>
      <c r="B46">
        <f>SUMIFS('raw1'!$E$2:$E$226,'raw1'!$B$2:$B$226,'(2018-19)'!$A46,'raw1'!$C$2:$C$226,'(2018-19)'!$B$6,'raw1'!$D$2:$D$226,'(2018-19)'!B$7)</f>
        <v>14</v>
      </c>
      <c r="C46">
        <f>SUMIFS('raw1'!$E$2:$E$226,'raw1'!$B$2:$B$226,'(2018-19)'!$A46,'raw1'!$C$2:$C$226,'(2018-19)'!$B$6,'raw1'!$D$2:$D$226,'(2018-19)'!C$7)</f>
        <v>7</v>
      </c>
      <c r="E46">
        <f>SUMIFS('raw1'!$E$2:$E$226,'raw1'!$B$2:$B$226,'(2018-19)'!$A46,'raw1'!$C$2:$C$226,'(2018-19)'!$E$6,'raw1'!$D$2:$D$226,'(2018-19)'!E$7)</f>
        <v>0</v>
      </c>
      <c r="F46">
        <f>SUMIFS('raw1'!$E$2:$E$226,'raw1'!$B$2:$B$226,'(2018-19)'!$A46,'raw1'!$C$2:$C$226,'(2018-19)'!$E$6,'raw1'!$D$2:$D$226,'(2018-19)'!F$7)</f>
        <v>9</v>
      </c>
      <c r="H46">
        <f>SUMIFS('raw1'!$E$2:$E$226,'raw1'!$B$2:$B$226,'(2018-19)'!$A46,'raw1'!$C$2:$C$226,'(2018-19)'!$H$6,'raw1'!$D$2:$D$226,'(2018-19)'!H$7)</f>
        <v>1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46</v>
      </c>
      <c r="B47">
        <f>SUMIFS('raw1'!$E$2:$E$226,'raw1'!$B$2:$B$226,'(2018-19)'!$A47,'raw1'!$C$2:$C$226,'(2018-19)'!$B$6,'raw1'!$D$2:$D$226,'(2018-19)'!B$7)</f>
        <v>22</v>
      </c>
      <c r="C47">
        <f>SUMIFS('raw1'!$E$2:$E$226,'raw1'!$B$2:$B$226,'(2018-19)'!$A47,'raw1'!$C$2:$C$226,'(2018-19)'!$B$6,'raw1'!$D$2:$D$226,'(2018-19)'!C$7)</f>
        <v>23</v>
      </c>
      <c r="E47">
        <f>SUMIFS('raw1'!$E$2:$E$226,'raw1'!$B$2:$B$226,'(2018-19)'!$A47,'raw1'!$C$2:$C$226,'(2018-19)'!$E$6,'raw1'!$D$2:$D$226,'(2018-19)'!E$7)</f>
        <v>1</v>
      </c>
      <c r="F47">
        <f>SUMIFS('raw1'!$E$2:$E$226,'raw1'!$B$2:$B$226,'(2018-19)'!$A47,'raw1'!$C$2:$C$226,'(2018-19)'!$E$6,'raw1'!$D$2:$D$226,'(2018-19)'!F$7)</f>
        <v>13</v>
      </c>
      <c r="H47">
        <f>SUMIFS('raw1'!$E$2:$E$226,'raw1'!$B$2:$B$226,'(2018-19)'!$A47,'raw1'!$C$2:$C$226,'(2018-19)'!$H$6,'raw1'!$D$2:$D$226,'(2018-19)'!H$7)</f>
        <v>2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47</v>
      </c>
      <c r="B48">
        <f>SUMIFS('raw1'!$E$2:$E$226,'raw1'!$B$2:$B$226,'(2018-19)'!$A48,'raw1'!$C$2:$C$226,'(2018-19)'!$B$6,'raw1'!$D$2:$D$226,'(2018-19)'!B$7)</f>
        <v>21</v>
      </c>
      <c r="C48">
        <f>SUMIFS('raw1'!$E$2:$E$226,'raw1'!$B$2:$B$226,'(2018-19)'!$A48,'raw1'!$C$2:$C$226,'(2018-19)'!$B$6,'raw1'!$D$2:$D$226,'(2018-19)'!C$7)</f>
        <v>24</v>
      </c>
      <c r="E48">
        <f>SUMIFS('raw1'!$E$2:$E$226,'raw1'!$B$2:$B$226,'(2018-19)'!$A48,'raw1'!$C$2:$C$226,'(2018-19)'!$E$6,'raw1'!$D$2:$D$226,'(2018-19)'!E$7)</f>
        <v>0</v>
      </c>
      <c r="F48">
        <f>SUMIFS('raw1'!$E$2:$E$226,'raw1'!$B$2:$B$226,'(2018-19)'!$A48,'raw1'!$C$2:$C$226,'(2018-19)'!$E$6,'raw1'!$D$2:$D$226,'(2018-19)'!F$7)</f>
        <v>13</v>
      </c>
      <c r="H48">
        <f>SUMIFS('raw1'!$E$2:$E$226,'raw1'!$B$2:$B$226,'(2018-19)'!$A48,'raw1'!$C$2:$C$226,'(2018-19)'!$H$6,'raw1'!$D$2:$D$226,'(2018-19)'!H$7)</f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48</v>
      </c>
      <c r="B49">
        <f>SUMIFS('raw1'!$E$2:$E$226,'raw1'!$B$2:$B$226,'(2018-19)'!$A49,'raw1'!$C$2:$C$226,'(2018-19)'!$B$6,'raw1'!$D$2:$D$226,'(2018-19)'!B$7)</f>
        <v>16</v>
      </c>
      <c r="C49">
        <f>SUMIFS('raw1'!$E$2:$E$226,'raw1'!$B$2:$B$226,'(2018-19)'!$A49,'raw1'!$C$2:$C$226,'(2018-19)'!$B$6,'raw1'!$D$2:$D$226,'(2018-19)'!C$7)</f>
        <v>12</v>
      </c>
      <c r="E49">
        <f>SUMIFS('raw1'!$E$2:$E$226,'raw1'!$B$2:$B$226,'(2018-19)'!$A49,'raw1'!$C$2:$C$226,'(2018-19)'!$E$6,'raw1'!$D$2:$D$226,'(2018-19)'!E$7)</f>
        <v>1</v>
      </c>
      <c r="F49">
        <f>SUMIFS('raw1'!$E$2:$E$226,'raw1'!$B$2:$B$226,'(2018-19)'!$A49,'raw1'!$C$2:$C$226,'(2018-19)'!$E$6,'raw1'!$D$2:$D$226,'(2018-19)'!F$7)</f>
        <v>9</v>
      </c>
      <c r="H49">
        <f>SUMIFS('raw1'!$E$2:$E$226,'raw1'!$B$2:$B$226,'(2018-19)'!$A49,'raw1'!$C$2:$C$226,'(2018-19)'!$H$6,'raw1'!$D$2:$D$226,'(2018-19)'!H$7)</f>
        <v>1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49</v>
      </c>
      <c r="B50">
        <f>SUMIFS('raw1'!$E$2:$E$226,'raw1'!$B$2:$B$226,'(2018-19)'!$A50,'raw1'!$C$2:$C$226,'(2018-19)'!$B$6,'raw1'!$D$2:$D$226,'(2018-19)'!B$7)</f>
        <v>16</v>
      </c>
      <c r="C50">
        <f>SUMIFS('raw1'!$E$2:$E$226,'raw1'!$B$2:$B$226,'(2018-19)'!$A50,'raw1'!$C$2:$C$226,'(2018-19)'!$B$6,'raw1'!$D$2:$D$226,'(2018-19)'!C$7)</f>
        <v>22</v>
      </c>
      <c r="E50">
        <f>SUMIFS('raw1'!$E$2:$E$226,'raw1'!$B$2:$B$226,'(2018-19)'!$A50,'raw1'!$C$2:$C$226,'(2018-19)'!$E$6,'raw1'!$D$2:$D$226,'(2018-19)'!E$7)</f>
        <v>1</v>
      </c>
      <c r="F50">
        <f>SUMIFS('raw1'!$E$2:$E$226,'raw1'!$B$2:$B$226,'(2018-19)'!$A50,'raw1'!$C$2:$C$226,'(2018-19)'!$E$6,'raw1'!$D$2:$D$226,'(2018-19)'!F$7)</f>
        <v>15</v>
      </c>
      <c r="H50">
        <f>SUMIFS('raw1'!$E$2:$E$226,'raw1'!$B$2:$B$226,'(2018-19)'!$A50,'raw1'!$C$2:$C$226,'(2018-19)'!$H$6,'raw1'!$D$2:$D$226,'(2018-19)'!H$7)</f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50</v>
      </c>
      <c r="B51">
        <f>SUMIFS('raw1'!$E$2:$E$226,'raw1'!$B$2:$B$226,'(2018-19)'!$A51,'raw1'!$C$2:$C$226,'(2018-19)'!$B$6,'raw1'!$D$2:$D$226,'(2018-19)'!B$7)</f>
        <v>25</v>
      </c>
      <c r="C51">
        <f>SUMIFS('raw1'!$E$2:$E$226,'raw1'!$B$2:$B$226,'(2018-19)'!$A51,'raw1'!$C$2:$C$226,'(2018-19)'!$B$6,'raw1'!$D$2:$D$226,'(2018-19)'!C$7)</f>
        <v>11</v>
      </c>
      <c r="E51">
        <f>SUMIFS('raw1'!$E$2:$E$226,'raw1'!$B$2:$B$226,'(2018-19)'!$A51,'raw1'!$C$2:$C$226,'(2018-19)'!$E$6,'raw1'!$D$2:$D$226,'(2018-19)'!E$7)</f>
        <v>6</v>
      </c>
      <c r="F51">
        <f>SUMIFS('raw1'!$E$2:$E$226,'raw1'!$B$2:$B$226,'(2018-19)'!$A51,'raw1'!$C$2:$C$226,'(2018-19)'!$E$6,'raw1'!$D$2:$D$226,'(2018-19)'!F$7)</f>
        <v>13</v>
      </c>
      <c r="H51">
        <f>SUMIFS('raw1'!$E$2:$E$226,'raw1'!$B$2:$B$226,'(2018-19)'!$A51,'raw1'!$C$2:$C$226,'(2018-19)'!$H$6,'raw1'!$D$2:$D$226,'(2018-19)'!H$7)</f>
        <v>1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51</v>
      </c>
      <c r="B52">
        <f>SUMIFS('raw1'!$E$2:$E$226,'raw1'!$B$2:$B$226,'(2018-19)'!$A52,'raw1'!$C$2:$C$226,'(2018-19)'!$B$6,'raw1'!$D$2:$D$226,'(2018-19)'!B$7)</f>
        <v>10</v>
      </c>
      <c r="C52">
        <f>SUMIFS('raw1'!$E$2:$E$226,'raw1'!$B$2:$B$226,'(2018-19)'!$A52,'raw1'!$C$2:$C$226,'(2018-19)'!$B$6,'raw1'!$D$2:$D$226,'(2018-19)'!C$7)</f>
        <v>10</v>
      </c>
      <c r="E52">
        <f>SUMIFS('raw1'!$E$2:$E$226,'raw1'!$B$2:$B$226,'(2018-19)'!$A52,'raw1'!$C$2:$C$226,'(2018-19)'!$E$6,'raw1'!$D$2:$D$226,'(2018-19)'!E$7)</f>
        <v>1</v>
      </c>
      <c r="F52">
        <f>SUMIFS('raw1'!$E$2:$E$226,'raw1'!$B$2:$B$226,'(2018-19)'!$A52,'raw1'!$C$2:$C$226,'(2018-19)'!$E$6,'raw1'!$D$2:$D$226,'(2018-19)'!F$7)</f>
        <v>3</v>
      </c>
      <c r="H52">
        <f>SUMIFS('raw1'!$E$2:$E$226,'raw1'!$B$2:$B$226,'(2018-19)'!$A52,'raw1'!$C$2:$C$226,'(2018-19)'!$H$6,'raw1'!$D$2:$D$226,'(2018-19)'!H$7)</f>
        <v>2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52</v>
      </c>
      <c r="B53">
        <f>SUMIFS('raw1'!$E$2:$E$226,'raw1'!$B$2:$B$226,'(2018-19)'!$A53,'raw1'!$C$2:$C$226,'(2018-19)'!$B$6,'raw1'!$D$2:$D$226,'(2018-19)'!B$7)</f>
        <v>17</v>
      </c>
      <c r="C53">
        <f>SUMIFS('raw1'!$E$2:$E$226,'raw1'!$B$2:$B$226,'(2018-19)'!$A53,'raw1'!$C$2:$C$226,'(2018-19)'!$B$6,'raw1'!$D$2:$D$226,'(2018-19)'!C$7)</f>
        <v>24</v>
      </c>
      <c r="E53">
        <f>SUMIFS('raw1'!$E$2:$E$226,'raw1'!$B$2:$B$226,'(2018-19)'!$A53,'raw1'!$C$2:$C$226,'(2018-19)'!$E$6,'raw1'!$D$2:$D$226,'(2018-19)'!E$7)</f>
        <v>0</v>
      </c>
      <c r="F53">
        <f>SUMIFS('raw1'!$E$2:$E$226,'raw1'!$B$2:$B$226,'(2018-19)'!$A53,'raw1'!$C$2:$C$226,'(2018-19)'!$E$6,'raw1'!$D$2:$D$226,'(2018-19)'!F$7)</f>
        <v>16</v>
      </c>
      <c r="H53">
        <f>SUMIFS('raw1'!$E$2:$E$226,'raw1'!$B$2:$B$226,'(2018-19)'!$A53,'raw1'!$C$2:$C$226,'(2018-19)'!$H$6,'raw1'!$D$2:$D$226,'(2018-19)'!H$7)</f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53</v>
      </c>
      <c r="B54">
        <f>SUMIFS('raw1'!$E$2:$E$226,'raw1'!$B$2:$B$226,'(2018-19)'!$A54,'raw1'!$C$2:$C$226,'(2018-19)'!$B$6,'raw1'!$D$2:$D$226,'(2018-19)'!B$7)</f>
        <v>11</v>
      </c>
      <c r="C54">
        <f>SUMIFS('raw1'!$E$2:$E$226,'raw1'!$B$2:$B$226,'(2018-19)'!$A54,'raw1'!$C$2:$C$226,'(2018-19)'!$B$6,'raw1'!$D$2:$D$226,'(2018-19)'!C$7)</f>
        <v>27</v>
      </c>
      <c r="E54">
        <f>SUMIFS('raw1'!$E$2:$E$226,'raw1'!$B$2:$B$226,'(2018-19)'!$A54,'raw1'!$C$2:$C$226,'(2018-19)'!$E$6,'raw1'!$D$2:$D$226,'(2018-19)'!E$7)</f>
        <v>1</v>
      </c>
      <c r="F54">
        <f>SUMIFS('raw1'!$E$2:$E$226,'raw1'!$B$2:$B$226,'(2018-19)'!$A54,'raw1'!$C$2:$C$226,'(2018-19)'!$E$6,'raw1'!$D$2:$D$226,'(2018-19)'!F$7)</f>
        <v>15</v>
      </c>
      <c r="H54">
        <f>SUMIFS('raw1'!$E$2:$E$226,'raw1'!$B$2:$B$226,'(2018-19)'!$A54,'raw1'!$C$2:$C$226,'(2018-19)'!$H$6,'raw1'!$D$2:$D$226,'(2018-19)'!H$7)</f>
        <v>1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54</v>
      </c>
      <c r="B55">
        <f>SUMIFS('raw1'!$E$2:$E$226,'raw1'!$B$2:$B$226,'(2018-19)'!$A55,'raw1'!$C$2:$C$226,'(2018-19)'!$B$6,'raw1'!$D$2:$D$226,'(2018-19)'!B$7)</f>
        <v>5</v>
      </c>
      <c r="C55">
        <f>SUMIFS('raw1'!$E$2:$E$226,'raw1'!$B$2:$B$226,'(2018-19)'!$A55,'raw1'!$C$2:$C$226,'(2018-19)'!$B$6,'raw1'!$D$2:$D$226,'(2018-19)'!C$7)</f>
        <v>13</v>
      </c>
      <c r="E55">
        <f>SUMIFS('raw1'!$E$2:$E$226,'raw1'!$B$2:$B$226,'(2018-19)'!$A55,'raw1'!$C$2:$C$226,'(2018-19)'!$E$6,'raw1'!$D$2:$D$226,'(2018-19)'!E$7)</f>
        <v>0</v>
      </c>
      <c r="F55">
        <f>SUMIFS('raw1'!$E$2:$E$226,'raw1'!$B$2:$B$226,'(2018-19)'!$A55,'raw1'!$C$2:$C$226,'(2018-19)'!$E$6,'raw1'!$D$2:$D$226,'(2018-19)'!F$7)</f>
        <v>5</v>
      </c>
      <c r="H55">
        <f>SUMIFS('raw1'!$E$2:$E$226,'raw1'!$B$2:$B$226,'(2018-19)'!$A55,'raw1'!$C$2:$C$226,'(2018-19)'!$H$6,'raw1'!$D$2:$D$226,'(2018-19)'!H$7)</f>
        <v>0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55</v>
      </c>
      <c r="B56">
        <f>SUMIFS('raw1'!$E$2:$E$226,'raw1'!$B$2:$B$226,'(2018-19)'!$A56,'raw1'!$C$2:$C$226,'(2018-19)'!$B$6,'raw1'!$D$2:$D$226,'(2018-19)'!B$7)</f>
        <v>27</v>
      </c>
      <c r="C56">
        <f>SUMIFS('raw1'!$E$2:$E$226,'raw1'!$B$2:$B$226,'(2018-19)'!$A56,'raw1'!$C$2:$C$226,'(2018-19)'!$B$6,'raw1'!$D$2:$D$226,'(2018-19)'!C$7)</f>
        <v>43</v>
      </c>
      <c r="E56">
        <f>SUMIFS('raw1'!$E$2:$E$226,'raw1'!$B$2:$B$226,'(2018-19)'!$A56,'raw1'!$C$2:$C$226,'(2018-19)'!$E$6,'raw1'!$D$2:$D$226,'(2018-19)'!E$7)</f>
        <v>0</v>
      </c>
      <c r="F56">
        <f>SUMIFS('raw1'!$E$2:$E$226,'raw1'!$B$2:$B$226,'(2018-19)'!$A56,'raw1'!$C$2:$C$226,'(2018-19)'!$E$6,'raw1'!$D$2:$D$226,'(2018-19)'!F$7)</f>
        <v>18</v>
      </c>
      <c r="H56">
        <f>SUMIFS('raw1'!$E$2:$E$226,'raw1'!$B$2:$B$226,'(2018-19)'!$A56,'raw1'!$C$2:$C$226,'(2018-19)'!$H$6,'raw1'!$D$2:$D$226,'(2018-19)'!H$7)</f>
        <v>1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56</v>
      </c>
      <c r="B57">
        <f>SUMIFS('raw1'!$E$2:$E$226,'raw1'!$B$2:$B$226,'(2018-19)'!$A57,'raw1'!$C$2:$C$226,'(2018-19)'!$B$6,'raw1'!$D$2:$D$226,'(2018-19)'!B$7)</f>
        <v>11</v>
      </c>
      <c r="C57">
        <f>SUMIFS('raw1'!$E$2:$E$226,'raw1'!$B$2:$B$226,'(2018-19)'!$A57,'raw1'!$C$2:$C$226,'(2018-19)'!$B$6,'raw1'!$D$2:$D$226,'(2018-19)'!C$7)</f>
        <v>19</v>
      </c>
      <c r="E57">
        <f>SUMIFS('raw1'!$E$2:$E$226,'raw1'!$B$2:$B$226,'(2018-19)'!$A57,'raw1'!$C$2:$C$226,'(2018-19)'!$E$6,'raw1'!$D$2:$D$226,'(2018-19)'!E$7)</f>
        <v>1</v>
      </c>
      <c r="F57">
        <f>SUMIFS('raw1'!$E$2:$E$226,'raw1'!$B$2:$B$226,'(2018-19)'!$A57,'raw1'!$C$2:$C$226,'(2018-19)'!$E$6,'raw1'!$D$2:$D$226,'(2018-19)'!F$7)</f>
        <v>17</v>
      </c>
      <c r="H57">
        <f>SUMIFS('raw1'!$E$2:$E$226,'raw1'!$B$2:$B$226,'(2018-19)'!$A57,'raw1'!$C$2:$C$226,'(2018-19)'!$H$6,'raw1'!$D$2:$D$226,'(2018-19)'!H$7)</f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57</v>
      </c>
      <c r="B58">
        <f>SUMIFS('raw1'!$E$2:$E$226,'raw1'!$B$2:$B$226,'(2018-19)'!$A58,'raw1'!$C$2:$C$226,'(2018-19)'!$B$6,'raw1'!$D$2:$D$226,'(2018-19)'!B$7)</f>
        <v>33</v>
      </c>
      <c r="C58">
        <f>SUMIFS('raw1'!$E$2:$E$226,'raw1'!$B$2:$B$226,'(2018-19)'!$A58,'raw1'!$C$2:$C$226,'(2018-19)'!$B$6,'raw1'!$D$2:$D$226,'(2018-19)'!C$7)</f>
        <v>31</v>
      </c>
      <c r="E58">
        <f>SUMIFS('raw1'!$E$2:$E$226,'raw1'!$B$2:$B$226,'(2018-19)'!$A58,'raw1'!$C$2:$C$226,'(2018-19)'!$E$6,'raw1'!$D$2:$D$226,'(2018-19)'!E$7)</f>
        <v>0</v>
      </c>
      <c r="F58">
        <f>SUMIFS('raw1'!$E$2:$E$226,'raw1'!$B$2:$B$226,'(2018-19)'!$A58,'raw1'!$C$2:$C$226,'(2018-19)'!$E$6,'raw1'!$D$2:$D$226,'(2018-19)'!F$7)</f>
        <v>23</v>
      </c>
      <c r="H58">
        <f>SUMIFS('raw1'!$E$2:$E$226,'raw1'!$B$2:$B$226,'(2018-19)'!$A58,'raw1'!$C$2:$C$226,'(2018-19)'!$H$6,'raw1'!$D$2:$D$226,'(2018-19)'!H$7)</f>
        <v>3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(2010-11)</vt:lpstr>
      <vt:lpstr>(2011-12)</vt:lpstr>
      <vt:lpstr>(2012-13)</vt:lpstr>
      <vt:lpstr>(2013-14)</vt:lpstr>
      <vt:lpstr>(2014-15)</vt:lpstr>
      <vt:lpstr>(2015-16)</vt:lpstr>
      <vt:lpstr>(2016-17)</vt:lpstr>
      <vt:lpstr>(2017-18)</vt:lpstr>
      <vt:lpstr>(2018-19)</vt:lpstr>
      <vt:lpstr>YoY Comparison</vt:lpstr>
      <vt:lpstr>raw1</vt:lpstr>
      <vt:lpstr>Macro</vt:lpstr>
      <vt:lpstr>QA</vt:lpstr>
      <vt:lpstr>FIRE1402_working</vt:lpstr>
      <vt:lpstr>Cover_sheet</vt:lpstr>
      <vt:lpstr>Contents</vt:lpstr>
      <vt:lpstr>raw</vt:lpstr>
      <vt:lpstr>(2019-20)</vt:lpstr>
      <vt:lpstr>raw2</vt:lpstr>
      <vt:lpstr>(2020-21)</vt:lpstr>
      <vt:lpstr>FIRE1402</vt:lpstr>
      <vt:lpstr>FRS geographical categories</vt:lpstr>
      <vt:lpstr>BB QA</vt:lpstr>
      <vt:lpstr>Contents!Print_Area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FIRE1402: Accidents occurring to fire and rescue authority vehicles, by fire and rescue authority</dc:title>
  <dc:subject/>
  <dc:creator/>
  <cp:keywords>data tables, accidents, fire and rescue authority, 2021</cp:keywords>
  <dc:description/>
  <cp:lastModifiedBy/>
  <cp:revision>1</cp:revision>
  <dcterms:created xsi:type="dcterms:W3CDTF">2022-06-14T10:34:54Z</dcterms:created>
  <dcterms:modified xsi:type="dcterms:W3CDTF">2022-06-14T14:17:18Z</dcterms:modified>
  <cp:category/>
  <cp:contentStatus/>
</cp:coreProperties>
</file>