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32760" windowWidth="10845" windowHeight="10230" tabRatio="874" activeTab="0"/>
  </bookViews>
  <sheets>
    <sheet name="Main" sheetId="1" r:id="rId1"/>
    <sheet name="CPGFS" sheetId="2" r:id="rId2"/>
    <sheet name="PFLRS" sheetId="3" r:id="rId3"/>
    <sheet name="Hourly Rates" sheetId="4" r:id="rId4"/>
    <sheet name="FAS Other Public Law" sheetId="5" r:id="rId5"/>
    <sheet name="FAS Multi Day Unit Calc" sheetId="6" r:id="rId6"/>
    <sheet name="Post Feb 2012 Rates" sheetId="7" state="hidden" r:id="rId7"/>
    <sheet name="Standard Model" sheetId="8" r:id="rId8"/>
    <sheet name="Advocacy Model" sheetId="9" r:id="rId9"/>
    <sheet name="Experts" sheetId="10" state="hidden" r:id="rId10"/>
    <sheet name="Change Log" sheetId="11" state="hidden" r:id="rId11"/>
    <sheet name="Vlookup" sheetId="12" state="hidden" r:id="rId12"/>
    <sheet name="VHCC Rates" sheetId="13" state="hidden" r:id="rId13"/>
  </sheets>
  <definedNames>
    <definedName name="_xlnm._FilterDatabase" localSheetId="9" hidden="1">'Experts'!$A$3:$M$72</definedName>
    <definedName name="_xlnm._FilterDatabase" localSheetId="11" hidden="1">'Vlookup'!$B$2:$P$253</definedName>
    <definedName name="_xlfn.COUNTIFS" hidden="1">#NAME?</definedName>
    <definedName name="_xlfn.IFERROR" hidden="1">#NAME?</definedName>
    <definedName name="Category">'Post Feb 2012 Rates'!$A$2:$A$17</definedName>
    <definedName name="Experts">'Experts'!$A$3:$A$72</definedName>
    <definedName name="HearType">'CPGFS'!$Q$15:$Q$20</definedName>
    <definedName name="Level">'CPGFS'!$Q$39:$Q$49</definedName>
    <definedName name="PreRates">'Post Feb 2012 Rates'!$E$2:$G$17</definedName>
    <definedName name="_xlnm.Print_Area" localSheetId="8">'Advocacy Model'!$C$2:$M$32</definedName>
    <definedName name="_xlnm.Print_Area" localSheetId="7">'Standard Model'!$C$2:$N$15</definedName>
    <definedName name="Rates">'Post Feb 2012 Rates'!$A$2:$C$17</definedName>
    <definedName name="UnitFour">'Post Feb 2012 Rates'!$G$2:$G$17</definedName>
    <definedName name="UnitOne">'Post Feb 2012 Rates'!$B$2:$B$17</definedName>
    <definedName name="UnitThree">'Post Feb 2012 Rates'!$F$2:$F$17</definedName>
    <definedName name="UnitTwo">'Post Feb 2012 Rates'!$C$2:$C$17</definedName>
  </definedNames>
  <calcPr fullCalcOnLoad="1"/>
</workbook>
</file>

<file path=xl/sharedStrings.xml><?xml version="1.0" encoding="utf-8"?>
<sst xmlns="http://schemas.openxmlformats.org/spreadsheetml/2006/main" count="3175" uniqueCount="530">
  <si>
    <t>Attendance</t>
  </si>
  <si>
    <t>Preparation</t>
  </si>
  <si>
    <t>Advocacy</t>
  </si>
  <si>
    <t xml:space="preserve">Travel </t>
  </si>
  <si>
    <t>Waiting</t>
  </si>
  <si>
    <t>Letters out</t>
  </si>
  <si>
    <t>Letters in</t>
  </si>
  <si>
    <t>Phone Calls</t>
  </si>
  <si>
    <t>Franchised</t>
  </si>
  <si>
    <t>London</t>
  </si>
  <si>
    <t>High</t>
  </si>
  <si>
    <t>Click Here</t>
  </si>
  <si>
    <t>Domestic Abuse</t>
  </si>
  <si>
    <t>Trust of Land</t>
  </si>
  <si>
    <t>Inheritance</t>
  </si>
  <si>
    <t>Clinical Negligence</t>
  </si>
  <si>
    <t>Housing</t>
  </si>
  <si>
    <t>Judicial Review</t>
  </si>
  <si>
    <t>Type of Law</t>
  </si>
  <si>
    <t>Court</t>
  </si>
  <si>
    <t>Date of issue</t>
  </si>
  <si>
    <t>High Court</t>
  </si>
  <si>
    <t>County Court</t>
  </si>
  <si>
    <t>Magistrates Court</t>
  </si>
  <si>
    <t>02/04/01 - 08/05/11</t>
  </si>
  <si>
    <t>Harmonised</t>
  </si>
  <si>
    <t>Prescribed Family Proceedings</t>
  </si>
  <si>
    <t>Care Remuneration Rates</t>
  </si>
  <si>
    <t>Civil Remuneration Rates</t>
  </si>
  <si>
    <t>Hours</t>
  </si>
  <si>
    <t>Mins</t>
  </si>
  <si>
    <t>Total</t>
  </si>
  <si>
    <t>Rate</t>
  </si>
  <si>
    <t>Civil Remun Franchised</t>
  </si>
  <si>
    <t>Drafting</t>
  </si>
  <si>
    <t>Hearing</t>
  </si>
  <si>
    <t>Travel</t>
  </si>
  <si>
    <t>Wait</t>
  </si>
  <si>
    <t>Bill Prep</t>
  </si>
  <si>
    <t>Panel Membership</t>
  </si>
  <si>
    <t>Disbursements</t>
  </si>
  <si>
    <t>With VAT</t>
  </si>
  <si>
    <t>Ex VAT</t>
  </si>
  <si>
    <t>Att</t>
  </si>
  <si>
    <t>Prep</t>
  </si>
  <si>
    <t>Adv</t>
  </si>
  <si>
    <t>Att coun</t>
  </si>
  <si>
    <t>trav</t>
  </si>
  <si>
    <t>lett out</t>
  </si>
  <si>
    <t>lett in</t>
  </si>
  <si>
    <t>tele</t>
  </si>
  <si>
    <t>Care Remuneration</t>
  </si>
  <si>
    <t>Pre-Harmonised</t>
  </si>
  <si>
    <t>Civil Remun Non Fran</t>
  </si>
  <si>
    <t>Parent</t>
  </si>
  <si>
    <t>VAT</t>
  </si>
  <si>
    <t>Party</t>
  </si>
  <si>
    <t>Midlands</t>
  </si>
  <si>
    <t>North</t>
  </si>
  <si>
    <t>South</t>
  </si>
  <si>
    <t>Wales</t>
  </si>
  <si>
    <t>Child</t>
  </si>
  <si>
    <t>Other</t>
  </si>
  <si>
    <t>(17.5%)</t>
  </si>
  <si>
    <t>Joined Party</t>
  </si>
  <si>
    <t>2+ Clients</t>
  </si>
  <si>
    <t>(20%)</t>
  </si>
  <si>
    <t>Exceptional</t>
  </si>
  <si>
    <t>15% Enhancment</t>
  </si>
  <si>
    <t>Interim</t>
  </si>
  <si>
    <t xml:space="preserve">VAT </t>
  </si>
  <si>
    <t>Grand Total</t>
  </si>
  <si>
    <t>Profit Costs</t>
  </si>
  <si>
    <t>Expert</t>
  </si>
  <si>
    <t>Pre 02/04/01</t>
  </si>
  <si>
    <t>Pre 1996</t>
  </si>
  <si>
    <t xml:space="preserve"> </t>
  </si>
  <si>
    <t>Law</t>
  </si>
  <si>
    <t>Date</t>
  </si>
  <si>
    <t>Lon</t>
  </si>
  <si>
    <t>02/04/07 - 08/05/11</t>
  </si>
  <si>
    <t>Yes</t>
  </si>
  <si>
    <t>No</t>
  </si>
  <si>
    <t>Att Cou</t>
  </si>
  <si>
    <t>Trav</t>
  </si>
  <si>
    <t>Lett in</t>
  </si>
  <si>
    <t>Calls</t>
  </si>
  <si>
    <t>Concat</t>
  </si>
  <si>
    <t>Fam Private</t>
  </si>
  <si>
    <t>Fam Public</t>
  </si>
  <si>
    <t>Non Fam</t>
  </si>
  <si>
    <t>Care &amp; Supervision</t>
  </si>
  <si>
    <t>Other Public Law</t>
  </si>
  <si>
    <t>Private Law Family</t>
  </si>
  <si>
    <t>Private Law Finance</t>
  </si>
  <si>
    <t>Let out</t>
  </si>
  <si>
    <t>In</t>
  </si>
  <si>
    <t>Unavailable</t>
  </si>
  <si>
    <t>Area</t>
  </si>
  <si>
    <t>Number</t>
  </si>
  <si>
    <t>1/2 Fee Applies</t>
  </si>
  <si>
    <t>Phase 1</t>
  </si>
  <si>
    <t>Phase 2</t>
  </si>
  <si>
    <t>LAR</t>
  </si>
  <si>
    <t>Fixed Fee cases under Care proceedings</t>
  </si>
  <si>
    <t>CPGFS Phase 2</t>
  </si>
  <si>
    <t>CPGFS Phase 2 LAR</t>
  </si>
  <si>
    <t>Advocacy - Hourly Rates only apply to Phase 1 Fixed Fee Scheme</t>
  </si>
  <si>
    <t>Advocates Meeting</t>
  </si>
  <si>
    <t>Final Hearing</t>
  </si>
  <si>
    <t>Conference</t>
  </si>
  <si>
    <t>Opinion</t>
  </si>
  <si>
    <t>Interim Hearing Unit 1</t>
  </si>
  <si>
    <t>Interim Hearing Unit 2</t>
  </si>
  <si>
    <t>FPC</t>
  </si>
  <si>
    <t>County</t>
  </si>
  <si>
    <t>Harm</t>
  </si>
  <si>
    <t>Understanding</t>
  </si>
  <si>
    <t>CB1</t>
  </si>
  <si>
    <t>CB2</t>
  </si>
  <si>
    <t>CB3</t>
  </si>
  <si>
    <t>Hearing Type</t>
  </si>
  <si>
    <t>Number of Units</t>
  </si>
  <si>
    <t>Bolt on Payments</t>
  </si>
  <si>
    <t>Court Bundle</t>
  </si>
  <si>
    <t>Hearing Unit Cost</t>
  </si>
  <si>
    <t>Bolt on Payment</t>
  </si>
  <si>
    <t>VAT (20%)</t>
  </si>
  <si>
    <t>Panel</t>
  </si>
  <si>
    <t>%</t>
  </si>
  <si>
    <t>Franchised/Schedule Authorisation 
(non family cases)</t>
  </si>
  <si>
    <t>Harmonised (PFLRS)</t>
  </si>
  <si>
    <t>Prescribed Family Proceedings (PFLRS)</t>
  </si>
  <si>
    <t>Non Family (Post 10% rate cut)</t>
  </si>
  <si>
    <t>Private Law PFLRS (Post 10% Rate Cut)</t>
  </si>
  <si>
    <t>FAS Payment - Applies to cases where the application was signed by the funded client post 08/05/11</t>
  </si>
  <si>
    <t>Category</t>
  </si>
  <si>
    <t>Children</t>
  </si>
  <si>
    <t>Finance</t>
  </si>
  <si>
    <t>Dom Abuse</t>
  </si>
  <si>
    <t>Region</t>
  </si>
  <si>
    <t>Non-Lon</t>
  </si>
  <si>
    <t>Cat</t>
  </si>
  <si>
    <t>L3</t>
  </si>
  <si>
    <t>Sett</t>
  </si>
  <si>
    <t>L4</t>
  </si>
  <si>
    <t>Enforce</t>
  </si>
  <si>
    <t>L3 Settlement</t>
  </si>
  <si>
    <t>Enforcement</t>
  </si>
  <si>
    <t>PFLRS</t>
  </si>
  <si>
    <t>Experts</t>
  </si>
  <si>
    <t>Early Res</t>
  </si>
  <si>
    <t>Type</t>
  </si>
  <si>
    <t>FDR Hearing Unit 1</t>
  </si>
  <si>
    <t>FDR Hearing Unit 2</t>
  </si>
  <si>
    <t>Fee</t>
  </si>
  <si>
    <t>FAS Payment</t>
  </si>
  <si>
    <t>Early Res Fee</t>
  </si>
  <si>
    <t>Threshold</t>
  </si>
  <si>
    <t>I/2 Fee</t>
  </si>
  <si>
    <t>Non London</t>
  </si>
  <si>
    <t>Comments</t>
  </si>
  <si>
    <t>A&amp;E Consultant</t>
  </si>
  <si>
    <t>Accident Reconstruction</t>
  </si>
  <si>
    <t>Accountant</t>
  </si>
  <si>
    <t>Anaesthetist</t>
  </si>
  <si>
    <t>Architect</t>
  </si>
  <si>
    <t>Cardiologist</t>
  </si>
  <si>
    <t>Cell Telephone site analysis</t>
  </si>
  <si>
    <t>Child Psychiatrist</t>
  </si>
  <si>
    <t>Child Psychologist</t>
  </si>
  <si>
    <t>Computer Expert</t>
  </si>
  <si>
    <t>Consultant Engineer</t>
  </si>
  <si>
    <t>Dentist</t>
  </si>
  <si>
    <t>Dermatologist</t>
  </si>
  <si>
    <t>Disbility Consultant</t>
  </si>
  <si>
    <t>DNA-Testing of Sample</t>
  </si>
  <si>
    <t>DNA-Preparation of Report</t>
  </si>
  <si>
    <t>Doctor (GP)</t>
  </si>
  <si>
    <t>Employment Consultant</t>
  </si>
  <si>
    <t>Enquiry Agent</t>
  </si>
  <si>
    <t>ENT Surgeon</t>
  </si>
  <si>
    <t>£315 Per Test</t>
  </si>
  <si>
    <t>General Surgeon</t>
  </si>
  <si>
    <t>Geneticist</t>
  </si>
  <si>
    <t>GP (Records Report)</t>
  </si>
  <si>
    <t>Gynaecologist</t>
  </si>
  <si>
    <t>Haematologist</t>
  </si>
  <si>
    <t>Handwriting Expert</t>
  </si>
  <si>
    <t>Interpreter</t>
  </si>
  <si>
    <t>Lip reader/Signer</t>
  </si>
  <si>
    <t>Mediator</t>
  </si>
  <si>
    <t>Medical Consultant</t>
  </si>
  <si>
    <t>Medical Microbiologist</t>
  </si>
  <si>
    <t>Meteorologist</t>
  </si>
  <si>
    <t>Midwife</t>
  </si>
  <si>
    <t>Neonatologist</t>
  </si>
  <si>
    <t>Neurologist</t>
  </si>
  <si>
    <t>Neuropsychiatrist</t>
  </si>
  <si>
    <t>Neuroradiologist</t>
  </si>
  <si>
    <t>Neurosurgeon</t>
  </si>
  <si>
    <t>Nursing Expert</t>
  </si>
  <si>
    <t>Obstetrician</t>
  </si>
  <si>
    <t>Occupational Therapist</t>
  </si>
  <si>
    <t>Oncologist</t>
  </si>
  <si>
    <t>£63 Fixed Fee</t>
  </si>
  <si>
    <t>£90 Fixed Fee</t>
  </si>
  <si>
    <t>£180 Fixed Fee</t>
  </si>
  <si>
    <t>Orthopaedic Surgeon</t>
  </si>
  <si>
    <t>Paediatrician</t>
  </si>
  <si>
    <t>Pathologist</t>
  </si>
  <si>
    <t>Pharmacologist</t>
  </si>
  <si>
    <t>Photographer</t>
  </si>
  <si>
    <t>Physiotherapist</t>
  </si>
  <si>
    <t>Plastic Surgeon</t>
  </si>
  <si>
    <t>Process Server</t>
  </si>
  <si>
    <t>Psychiatrist</t>
  </si>
  <si>
    <t>Psychologist</t>
  </si>
  <si>
    <t>Radiologist</t>
  </si>
  <si>
    <t>Rheumatologist</t>
  </si>
  <si>
    <t>Risk Assessment Expert</t>
  </si>
  <si>
    <t>Speech Therapist</t>
  </si>
  <si>
    <t>Surveyor (non housing disrepair)</t>
  </si>
  <si>
    <t>Surveyor (housing disrepair)</t>
  </si>
  <si>
    <t>Telecoms Expert</t>
  </si>
  <si>
    <t>Toxicologist</t>
  </si>
  <si>
    <t>Urologist</t>
  </si>
  <si>
    <t>Vet</t>
  </si>
  <si>
    <t>Voice Recognition</t>
  </si>
  <si>
    <t>£540 Fixed Fee</t>
  </si>
  <si>
    <t>Hourly Rates For Experts</t>
  </si>
  <si>
    <t>For certificates issued on/after 03/10/11</t>
  </si>
  <si>
    <t>Non-London</t>
  </si>
  <si>
    <t>Hourly rates unless stated to be a fixed fee</t>
  </si>
  <si>
    <t>Leading Senior Counsel in the Court of Appeal</t>
  </si>
  <si>
    <t>Leading Senior Counsel in the Supreme Court</t>
  </si>
  <si>
    <t>Noter/Pupil/2nd led Junior Counsel</t>
  </si>
  <si>
    <t>Led Junior Counsel in the High Court, Court of Appeal or the Supreme Court</t>
  </si>
  <si>
    <t>Junior Counsel in the County Court</t>
  </si>
  <si>
    <t>Senior Counsel alone or leading in the High Court</t>
  </si>
  <si>
    <t>Non</t>
  </si>
  <si>
    <t>Hourly Rates For Counsel</t>
  </si>
  <si>
    <t>Counsel</t>
  </si>
  <si>
    <t>If this case falls under the fixed fee scheme go to the CPGFS tab</t>
  </si>
  <si>
    <t>Hourly Rates For Experts/Counsel apply if issued after 03/10/11</t>
  </si>
  <si>
    <t>Hourly Rates For Experts/Counsel apply</t>
  </si>
  <si>
    <t>If this case falls under the fixed fee scheme go to the PFLRS tab</t>
  </si>
  <si>
    <t>London Rates</t>
  </si>
  <si>
    <t>VAT Rate</t>
  </si>
  <si>
    <t>Nature of Certificated Work</t>
  </si>
  <si>
    <t>VAT Period</t>
  </si>
  <si>
    <t>1991: forward</t>
  </si>
  <si>
    <t>1/12/08 - 01/01/10</t>
  </si>
  <si>
    <t>01/01/10 - 04/01/11</t>
  </si>
  <si>
    <t>04/01/11: forward</t>
  </si>
  <si>
    <t>True Disbursements</t>
  </si>
  <si>
    <t>Counsel Fees (FGF/FAS)</t>
  </si>
  <si>
    <t>Counsel Fees (Non Family)</t>
  </si>
  <si>
    <t>Amounts paid to third parties by the supplier as the agent of their client.</t>
  </si>
  <si>
    <t>Costs arising from supplier firms and any solicitor agent.</t>
  </si>
  <si>
    <t>Date case concluded (dd/mm/yy)</t>
  </si>
  <si>
    <t>Invoice/Disbursement date (dd/mm/yy)</t>
  </si>
  <si>
    <t>Date work took place (dd/mm/yy)</t>
  </si>
  <si>
    <t xml:space="preserve">Applicable VAT Rate:  </t>
  </si>
  <si>
    <t>Over</t>
  </si>
  <si>
    <t>Under</t>
  </si>
  <si>
    <t>Double Yes</t>
  </si>
  <si>
    <t>Version</t>
  </si>
  <si>
    <t>Date Released</t>
  </si>
  <si>
    <t>Fixes</t>
  </si>
  <si>
    <t>Version 2</t>
  </si>
  <si>
    <t>FAS Vat amended to correct amount</t>
  </si>
  <si>
    <t>Amendments to expert rates</t>
  </si>
  <si>
    <t>Version 2.1</t>
  </si>
  <si>
    <t>FAS OPC - 10% reduction linked to Housing - changed to OPC</t>
  </si>
  <si>
    <t>CPGFS Phase 2 fixed fee rates amended</t>
  </si>
  <si>
    <t>01/01/96 - 03/10/11</t>
  </si>
  <si>
    <t>Version 2.2</t>
  </si>
  <si>
    <t>Date Range amendment - Non family rates</t>
  </si>
  <si>
    <t>Version 2.3</t>
  </si>
  <si>
    <t>Further amendment to Phase 2 fixed fee rates</t>
  </si>
  <si>
    <t>Version 2.4</t>
  </si>
  <si>
    <t>Note on Housing Cases</t>
  </si>
  <si>
    <t>Action Against Police added to Category dropdown</t>
  </si>
  <si>
    <t>Amendment to Private Law travel rate</t>
  </si>
  <si>
    <t>CPGFS Exceptional rate calculation amended</t>
  </si>
  <si>
    <t>Date Range amendment - family rates</t>
  </si>
  <si>
    <t>Exceptional Threshold</t>
  </si>
  <si>
    <t>09/05/11 - 31/01/12</t>
  </si>
  <si>
    <t xml:space="preserve">09/05/11 - 31/01/12 </t>
  </si>
  <si>
    <t>Please note that prior to 01/02/12 these rates will not apply if the case was conducted under the 2007 unified contract.</t>
  </si>
  <si>
    <t>Action Against Police</t>
  </si>
  <si>
    <t>Travel added to CPGFS advocacy FAS</t>
  </si>
  <si>
    <t>Net plus VAT section added to FAS pages</t>
  </si>
  <si>
    <t>Total (Inc VAT)</t>
  </si>
  <si>
    <t>Total (Ex VAT)</t>
  </si>
  <si>
    <t>TOTAL (Ex VAT)</t>
  </si>
  <si>
    <t>Version 2.5</t>
  </si>
  <si>
    <t>FAS Court bundle formula error corrected</t>
  </si>
  <si>
    <t>Version 2.6</t>
  </si>
  <si>
    <t>Post 02/12/13 Disbursement Rates Added</t>
  </si>
  <si>
    <t>Rates Calculator Change Log</t>
  </si>
  <si>
    <t>Author - Mike Jones</t>
  </si>
  <si>
    <t>Date of Issue</t>
  </si>
  <si>
    <t>03/10/11 - 31/03/13</t>
  </si>
  <si>
    <t>01/04/13 - 01/12/13</t>
  </si>
  <si>
    <t>Post 01/12/13</t>
  </si>
  <si>
    <t>Accountant (general Staff)</t>
  </si>
  <si>
    <t>Accountant (manager)</t>
  </si>
  <si>
    <t>Accountant (partner)</t>
  </si>
  <si>
    <t>These rates only apply if prior authority has been granted.  If no prior authority was granted the rate of £50 per hour applies</t>
  </si>
  <si>
    <t>£50.40 fixed fee</t>
  </si>
  <si>
    <t>£252 per test</t>
  </si>
  <si>
    <t>Neonatologist (non-clinical negligence-cerebral palsy case)</t>
  </si>
  <si>
    <t>Neurologist (non-clinical negligence-cerebral palsy case)</t>
  </si>
  <si>
    <t>Neuroradiologist (non-clinical negligence-cerebral palsy case)</t>
  </si>
  <si>
    <t>Neonatologist (clinical negligence-cerebral palsy case)</t>
  </si>
  <si>
    <t>Neurologist (clinical negligence-cerebral palsy case)</t>
  </si>
  <si>
    <t>Neuroradiologist (clinical negligence-cerebral palsy case)</t>
  </si>
  <si>
    <t>£72 fixed fee</t>
  </si>
  <si>
    <t>£144 fixed fee</t>
  </si>
  <si>
    <t>£432 fixed fee</t>
  </si>
  <si>
    <t>Please pick a date range from the dropdown list</t>
  </si>
  <si>
    <t>Unlock - RC</t>
  </si>
  <si>
    <t>Version 2.7</t>
  </si>
  <si>
    <t>Addition of Emergency scope calculator</t>
  </si>
  <si>
    <t>Change of Rates tab to Main as old description no longer applies</t>
  </si>
  <si>
    <t>Emergency Certificate Date Scope</t>
  </si>
  <si>
    <t xml:space="preserve">Emergency:  </t>
  </si>
  <si>
    <t xml:space="preserve">Substantive:  </t>
  </si>
  <si>
    <t>4wks</t>
  </si>
  <si>
    <t>8wks</t>
  </si>
  <si>
    <t>Lapse Date</t>
  </si>
  <si>
    <t>CONTIN</t>
  </si>
  <si>
    <t>This certificate has continous cover from</t>
  </si>
  <si>
    <t>LAPSE</t>
  </si>
  <si>
    <t>NO SUB</t>
  </si>
  <si>
    <t>PRE SUB</t>
  </si>
  <si>
    <t>A substantive certificate can only be issued after the emergency certificate was issued.  Please double check the dates keyed.</t>
  </si>
  <si>
    <t>e.g.  Cost Limit/Show Cause</t>
  </si>
  <si>
    <t xml:space="preserve">The emergency certificate has expired.  </t>
  </si>
  <si>
    <t xml:space="preserve">If no amendment was made to the emergency certificate any </t>
  </si>
  <si>
    <t xml:space="preserve">work done between </t>
  </si>
  <si>
    <t xml:space="preserve">and </t>
  </si>
  <si>
    <t>Please note that the primary limitation still applies to the emergency certificate.</t>
  </si>
  <si>
    <t xml:space="preserve">No substantive certificate has been issued.  This certificate covers all work from </t>
  </si>
  <si>
    <t xml:space="preserve">to </t>
  </si>
  <si>
    <t>Date certificate was issued:</t>
  </si>
  <si>
    <t>Version 2.8</t>
  </si>
  <si>
    <t>Update Main tab to show revised Disbursement rates correctly (2 decimal places)</t>
  </si>
  <si>
    <t>Family Court</t>
  </si>
  <si>
    <t>Adoption/Placement (Pre 01/10/07)</t>
  </si>
  <si>
    <t>Adoption/Placement (Post 01/10/07)</t>
  </si>
  <si>
    <t>01/02/12 - 21/04/14</t>
  </si>
  <si>
    <t>04/10/11 - 21/04/14</t>
  </si>
  <si>
    <t>22/04/14 Onwards</t>
  </si>
  <si>
    <t>Single Fam Court</t>
  </si>
  <si>
    <t>Version 2.9</t>
  </si>
  <si>
    <t>Adoption Work type changed to Adoption/Placement as OPL rates don't apply</t>
  </si>
  <si>
    <t>Single Family Court/LAT changes - Amendment to Rates and FAS sections</t>
  </si>
  <si>
    <t>02/04/01 - 01/04/07</t>
  </si>
  <si>
    <t>Judge Level</t>
  </si>
  <si>
    <t>Assistant to justices clerk</t>
  </si>
  <si>
    <t>Justices clerk</t>
  </si>
  <si>
    <t>Lay Justice</t>
  </si>
  <si>
    <t>Judge of district judge level</t>
  </si>
  <si>
    <t>Judge of circuit judge level</t>
  </si>
  <si>
    <t>Costs Judge</t>
  </si>
  <si>
    <t>Judge of high court judge level</t>
  </si>
  <si>
    <t>Court of Protection</t>
  </si>
  <si>
    <t xml:space="preserve">  </t>
  </si>
  <si>
    <t xml:space="preserve">Date Case Concluded:  </t>
  </si>
  <si>
    <t>Pub FF</t>
  </si>
  <si>
    <t>Fam</t>
  </si>
  <si>
    <t>Hearing Date</t>
  </si>
  <si>
    <t>Court/Level of Judge</t>
  </si>
  <si>
    <t>Re-word lapse certificate to include types of work to disallow</t>
  </si>
  <si>
    <t xml:space="preserve">will not be covered including attendance time, hearings and any routine letters or phone calls.  </t>
  </si>
  <si>
    <t>Version 2.10</t>
  </si>
  <si>
    <t>Update Scope section to end emergency at 29/57 days as appropriate</t>
  </si>
  <si>
    <t xml:space="preserve"> unless the primary limitation of the emergency certificate took place prior to this date.</t>
  </si>
  <si>
    <t xml:space="preserve">.  Please note that any other limitations still apply to this certificate </t>
  </si>
  <si>
    <t>Version 2.11</t>
  </si>
  <si>
    <t>Junior Counsel in High Court Rate set at £135</t>
  </si>
  <si>
    <t>Amendment to care/supervision rates post 21/04/14</t>
  </si>
  <si>
    <t>Junior Counsel in the High Court</t>
  </si>
  <si>
    <t>Version 2.12</t>
  </si>
  <si>
    <t>Start time or time court required you to attend</t>
  </si>
  <si>
    <t>Time hearing completed</t>
  </si>
  <si>
    <t>hh:mm</t>
  </si>
  <si>
    <t>Length of adjournment</t>
  </si>
  <si>
    <t>Hearing Type:</t>
  </si>
  <si>
    <t>Number of Units:</t>
  </si>
  <si>
    <t>Duration of Hearing:</t>
  </si>
  <si>
    <t>If the CIS process bills screen states "The firm has a Family &amp; Housing contract" then the previous rates apply to any certificate issued prior to 01/02/12</t>
  </si>
  <si>
    <t>Add FAS Hearing Duration Calculator</t>
  </si>
  <si>
    <t>Re-word Family/Housing contract text</t>
  </si>
  <si>
    <t>FAS Hearing Duration Calculator (This Only Applies To 1 Day Interim Hearings)
Enter Times in hh:mm format</t>
  </si>
  <si>
    <t>FAS Hearing Duration Calculator 
(This Only Applies To 1 Day Interim Hearings)
Enter Times in hh:mm format</t>
  </si>
  <si>
    <t>FAS Hearing Duration Calculator
(This Only Applies To 1 Day Interim Hearings)
Enter Times in hh:mm format</t>
  </si>
  <si>
    <t>Judicial Review04/10/11 - 21/04/14</t>
  </si>
  <si>
    <t>Judicial Review22/04/14 Onwards</t>
  </si>
  <si>
    <t xml:space="preserve">Interim Hearing Number of Days  </t>
  </si>
  <si>
    <t xml:space="preserve">Court Bundle  </t>
  </si>
  <si>
    <t>Interim Hearing Number of Days Function</t>
  </si>
  <si>
    <t>Judicial Review Case Text Box</t>
  </si>
  <si>
    <t>Interim Hearing Number Of Days</t>
  </si>
  <si>
    <t>Attendance Behind Counsel</t>
  </si>
  <si>
    <t>Version 2.13</t>
  </si>
  <si>
    <t>Attendance With Counsel to Attendance Behind Counsel</t>
  </si>
  <si>
    <t>Addition of VHCC Event Rates</t>
  </si>
  <si>
    <t>Judicial Review Automatically selecting High Court.  Text Box Removed</t>
  </si>
  <si>
    <t>10% reduction</t>
  </si>
  <si>
    <t>01/05/13 or later</t>
  </si>
  <si>
    <t>01/02/12 or Later</t>
  </si>
  <si>
    <t>NoNo</t>
  </si>
  <si>
    <t>Original</t>
  </si>
  <si>
    <t>01/02/12 - 30/04/13</t>
  </si>
  <si>
    <t>NoYes</t>
  </si>
  <si>
    <t>N/A</t>
  </si>
  <si>
    <t>Pre 01/02/12</t>
  </si>
  <si>
    <t>YesNo</t>
  </si>
  <si>
    <t>YesYes</t>
  </si>
  <si>
    <t>Scheme that apples</t>
  </si>
  <si>
    <t>Date Registered As VHCC</t>
  </si>
  <si>
    <t>Date Certificate Registered</t>
  </si>
  <si>
    <t>+ FAS no hearing payment</t>
  </si>
  <si>
    <t>+ FAS</t>
  </si>
  <si>
    <t>FAS Rates Apply to Barrister Fees</t>
  </si>
  <si>
    <t>Stand</t>
  </si>
  <si>
    <t>Main Hear</t>
  </si>
  <si>
    <t>Scheme</t>
  </si>
  <si>
    <t>Sols</t>
  </si>
  <si>
    <t>Barrister</t>
  </si>
  <si>
    <t>Adv Alternative</t>
  </si>
  <si>
    <t>Adv Standard</t>
  </si>
  <si>
    <t>With Barrister</t>
  </si>
  <si>
    <t>or FGF/FAS</t>
  </si>
  <si>
    <t>Barrister Fees</t>
  </si>
  <si>
    <t>Solicitors Fees</t>
  </si>
  <si>
    <t>Alternative Model Totals (Excluding FAS Fees)</t>
  </si>
  <si>
    <t>Standard Event Total</t>
  </si>
  <si>
    <t>Under-run</t>
  </si>
  <si>
    <t>Overrun</t>
  </si>
  <si>
    <t>Standard</t>
  </si>
  <si>
    <t>Alternative Model</t>
  </si>
  <si>
    <t>Standard Event</t>
  </si>
  <si>
    <t>Event With Solicitor as advocate</t>
  </si>
  <si>
    <t>Event with solicitor as advocate cannot be claimed for an event attended by a Barrister however it may be claimed in a case where a Barrister was instructed previously but is not attending a specific event</t>
  </si>
  <si>
    <t>Solicitor</t>
  </si>
  <si>
    <t>Event With Barrister as advocate</t>
  </si>
  <si>
    <t>You may choose to apply the Standard Event or Alternative model to all events with Solicitor as advocate</t>
  </si>
  <si>
    <t>Was the main hearing listed to last more than 10 days?</t>
  </si>
  <si>
    <t>Did this case conclude in the High Court?</t>
  </si>
  <si>
    <t>Has this case been registered or is it likely to go high cost?</t>
  </si>
  <si>
    <t>Does this case fall under Care proceedings/Have you had authority to use this Scheme on a non-care case?</t>
  </si>
  <si>
    <t>Case Conclusion</t>
  </si>
  <si>
    <t>Scope</t>
  </si>
  <si>
    <t>VHCC Care Case Fee Scheme - Advocacy Model</t>
  </si>
  <si>
    <t>Solicitor (including Events attended by a Barrister)</t>
  </si>
  <si>
    <t>Number of Events</t>
  </si>
  <si>
    <t>Was this case registered as a VHCC prior to 01/05/13?</t>
  </si>
  <si>
    <t>Was this certificate issued prior to 01/02/12?</t>
  </si>
  <si>
    <t>Certificate</t>
  </si>
  <si>
    <t>Event Rates</t>
  </si>
  <si>
    <t>VHCC Care Case Fee Scheme - Standard Model</t>
  </si>
  <si>
    <t>Version 2.14</t>
  </si>
  <si>
    <t>Standard &amp; Advocacy Model Change of Counsel Question Requested by Daniel Good based on feedback received</t>
  </si>
  <si>
    <t>Only applies certificates issued between 03/10/11 and 30/11/13</t>
  </si>
  <si>
    <t>Was this Certificate issued after 30/11/13?</t>
  </si>
  <si>
    <t>Update to limit counsel fee section up to 01/12/13.  Sols rates apply after this.</t>
  </si>
  <si>
    <t>Duration Calculator not deducting adjournment - fixed</t>
  </si>
  <si>
    <t>Version 2.15</t>
  </si>
  <si>
    <t>Emergency limit amendment</t>
  </si>
  <si>
    <t>*56</t>
  </si>
  <si>
    <t>*28</t>
  </si>
  <si>
    <t>LEMNO - LAPSED EMERGENCY NO OUT OF SCOPE WORK</t>
  </si>
  <si>
    <t>LEMRED - LAPSED EMERGENCY REDUCTIONS</t>
  </si>
  <si>
    <t>MEMO PAD MUST BE UPDATED WITH ONE OF THE FOLLOWING CODES:</t>
  </si>
  <si>
    <t>Scope calculator amended to include 13/10/15 change and popup message for lapse cases</t>
  </si>
  <si>
    <r>
      <t xml:space="preserve">RATES CALCULATOR </t>
    </r>
    <r>
      <rPr>
        <b/>
        <sz val="10"/>
        <color indexed="9"/>
        <rFont val="Calibri"/>
        <family val="2"/>
      </rPr>
      <t>(Version 2.16)</t>
    </r>
  </si>
  <si>
    <t>Version 2.16</t>
  </si>
  <si>
    <t>Add clear data buttons to calculator</t>
  </si>
  <si>
    <t>Select the appropriate category of law below</t>
  </si>
  <si>
    <t>Hearing Unit 2 Fee</t>
  </si>
  <si>
    <t>Lay Bench - Private Children</t>
  </si>
  <si>
    <t>Hearing Unit 1 Fee</t>
  </si>
  <si>
    <t>Enter the start time, finish time and the length of adjournments in hours and minutes for each day of the multi-day hearing below:</t>
  </si>
  <si>
    <t>The total time of the multi-day hearing is given below including the appropriate number of units allowed and the applicable fee</t>
  </si>
  <si>
    <t>Start Time (00:00)</t>
  </si>
  <si>
    <t>Finish Time (00:00)</t>
  </si>
  <si>
    <t>Adjournment Time (00:00)</t>
  </si>
  <si>
    <t>Total Hearing Time</t>
  </si>
  <si>
    <t>Individual Units</t>
  </si>
  <si>
    <t>Individual Fee</t>
  </si>
  <si>
    <t>TOTAL TIME</t>
  </si>
  <si>
    <t>MULTI-DAY UNITS</t>
  </si>
  <si>
    <t>MULTI-DAY FEE</t>
  </si>
  <si>
    <t>The number of units and fee are calculated below to show the applicable fee for hearings claimed on separate lines</t>
  </si>
  <si>
    <t>SINGLE UNITS</t>
  </si>
  <si>
    <t>SINGLE FEE</t>
  </si>
  <si>
    <t>Unit 1</t>
  </si>
  <si>
    <t>Unit 2</t>
  </si>
  <si>
    <t>District/Circuit - Care &amp; Supervision</t>
  </si>
  <si>
    <t>District/Circuit - Domestic Abuse</t>
  </si>
  <si>
    <t>District/Circuit - Finance</t>
  </si>
  <si>
    <t>District/Circuit - Other Public Law</t>
  </si>
  <si>
    <t>District/Circuit - Private Children</t>
  </si>
  <si>
    <t>High Court - Care &amp; Supervision</t>
  </si>
  <si>
    <t>High Court - Domestic Abuse</t>
  </si>
  <si>
    <t>High Court - Finance</t>
  </si>
  <si>
    <t>High Court - Other Public Law</t>
  </si>
  <si>
    <t>High Court - Private Children</t>
  </si>
  <si>
    <t>Lay Bench -  Domestic Abuse</t>
  </si>
  <si>
    <t>Lay Bench - Care &amp; Supervision</t>
  </si>
  <si>
    <t>Lay Bench - Other Public Law</t>
  </si>
  <si>
    <t>Multi-Day Hearing Unit Calculator</t>
  </si>
  <si>
    <t>Category (PRE-2012)</t>
  </si>
  <si>
    <t>Certificate issue Date</t>
  </si>
  <si>
    <t>Add FAS Multi Day Unit Calc</t>
  </si>
  <si>
    <t>High Court - FDR Finance</t>
  </si>
  <si>
    <t>District/Circuit - FDR Finance</t>
  </si>
  <si>
    <t>REMINDER: Where there is a error in claim the claim will be rejected</t>
  </si>
  <si>
    <t>Error in claim</t>
  </si>
  <si>
    <t>Difference if claimed as single units and not multi day hearing</t>
  </si>
  <si>
    <t>Version 2.17</t>
  </si>
  <si>
    <t>Update Queens Counsel to Kings Counsel</t>
  </si>
  <si>
    <t>Have you had authority to instruct 2 counsel or KC?</t>
  </si>
  <si>
    <t>Kings Counsel (where approved for briefing or instruction by the Lord Chancellor) in the High Court or Court of Appeal</t>
  </si>
  <si>
    <t>Kings Counsel (where approved for briefing or instruction by the Lord Chancellor) in the Supreme Court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</si>
</sst>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&quot;£&quot;#,##0"/>
    <numFmt numFmtId="167" formatCode="0.0%"/>
    <numFmt numFmtId="168" formatCode="dd/mm/yy"/>
    <numFmt numFmtId="169" formatCode="[$-809]dd\ mmmm\ yyyy"/>
    <numFmt numFmtId="170" formatCode="d/m/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2"/>
    </font>
    <font>
      <sz val="10"/>
      <color indexed="63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20"/>
      <color indexed="10"/>
      <name val="Calibri"/>
      <family val="2"/>
    </font>
    <font>
      <i/>
      <sz val="16"/>
      <name val="Calibri"/>
      <family val="2"/>
    </font>
    <font>
      <sz val="18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10"/>
      <name val="Calibri"/>
      <family val="2"/>
    </font>
    <font>
      <b/>
      <sz val="15"/>
      <color indexed="10"/>
      <name val="Calibri"/>
      <family val="2"/>
    </font>
    <font>
      <b/>
      <sz val="24"/>
      <color indexed="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56"/>
      <name val="Calibri"/>
      <family val="2"/>
    </font>
    <font>
      <sz val="18"/>
      <color indexed="8"/>
      <name val="Calibri"/>
      <family val="2"/>
    </font>
    <font>
      <b/>
      <sz val="2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16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Calibri"/>
      <family val="2"/>
    </font>
    <font>
      <sz val="10"/>
      <color rgb="FF333333"/>
      <name val="Calibri"/>
      <family val="2"/>
    </font>
    <font>
      <sz val="20"/>
      <color rgb="FFFF0000"/>
      <name val="Calibri"/>
      <family val="2"/>
    </font>
    <font>
      <sz val="18"/>
      <color rgb="FFFF0000"/>
      <name val="Calibri"/>
      <family val="2"/>
    </font>
    <font>
      <b/>
      <sz val="24"/>
      <color theme="1"/>
      <name val="Calibri"/>
      <family val="2"/>
    </font>
    <font>
      <b/>
      <sz val="11"/>
      <color rgb="FF002060"/>
      <name val="Calibri"/>
      <family val="2"/>
    </font>
    <font>
      <b/>
      <sz val="24"/>
      <color theme="0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5"/>
      <color rgb="FFFF0000"/>
      <name val="Calibri"/>
      <family val="2"/>
    </font>
    <font>
      <sz val="16"/>
      <color rgb="FFFF0000"/>
      <name val="Calibri"/>
      <family val="2"/>
    </font>
    <font>
      <b/>
      <u val="single"/>
      <sz val="14"/>
      <color rgb="FFFF0000"/>
      <name val="Calibri"/>
      <family val="2"/>
    </font>
    <font>
      <sz val="11"/>
      <color rgb="FF002060"/>
      <name val="Calibri"/>
      <family val="2"/>
    </font>
    <font>
      <sz val="18"/>
      <color theme="1"/>
      <name val="Calibri"/>
      <family val="2"/>
    </font>
    <font>
      <b/>
      <sz val="2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7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16" borderId="0" xfId="0" applyFont="1" applyFill="1" applyAlignment="1">
      <alignment/>
    </xf>
    <xf numFmtId="0" fontId="67" fillId="8" borderId="10" xfId="0" applyFont="1" applyFill="1" applyBorder="1" applyAlignment="1">
      <alignment horizontal="right"/>
    </xf>
    <xf numFmtId="0" fontId="67" fillId="8" borderId="11" xfId="0" applyFont="1" applyFill="1" applyBorder="1" applyAlignment="1">
      <alignment horizontal="right"/>
    </xf>
    <xf numFmtId="164" fontId="67" fillId="32" borderId="12" xfId="0" applyNumberFormat="1" applyFont="1" applyFill="1" applyBorder="1" applyAlignment="1">
      <alignment horizontal="left"/>
    </xf>
    <xf numFmtId="164" fontId="67" fillId="32" borderId="13" xfId="0" applyNumberFormat="1" applyFont="1" applyFill="1" applyBorder="1" applyAlignment="1">
      <alignment horizontal="left"/>
    </xf>
    <xf numFmtId="0" fontId="67" fillId="8" borderId="14" xfId="0" applyFont="1" applyFill="1" applyBorder="1" applyAlignment="1">
      <alignment horizontal="right"/>
    </xf>
    <xf numFmtId="164" fontId="67" fillId="32" borderId="15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8" borderId="18" xfId="0" applyFont="1" applyFill="1" applyBorder="1" applyAlignment="1">
      <alignment/>
    </xf>
    <xf numFmtId="0" fontId="2" fillId="8" borderId="18" xfId="0" applyFont="1" applyFill="1" applyBorder="1" applyAlignment="1">
      <alignment/>
    </xf>
    <xf numFmtId="0" fontId="2" fillId="8" borderId="18" xfId="0" applyFont="1" applyFill="1" applyBorder="1" applyAlignment="1">
      <alignment vertical="top" wrapText="1"/>
    </xf>
    <xf numFmtId="0" fontId="2" fillId="8" borderId="18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0" fontId="0" fillId="8" borderId="19" xfId="0" applyFont="1" applyFill="1" applyBorder="1" applyAlignment="1">
      <alignment/>
    </xf>
    <xf numFmtId="164" fontId="2" fillId="8" borderId="19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/>
    </xf>
    <xf numFmtId="164" fontId="2" fillId="8" borderId="0" xfId="0" applyNumberFormat="1" applyFont="1" applyFill="1" applyBorder="1" applyAlignment="1">
      <alignment/>
    </xf>
    <xf numFmtId="0" fontId="0" fillId="8" borderId="19" xfId="0" applyFont="1" applyFill="1" applyBorder="1" applyAlignment="1">
      <alignment horizontal="center"/>
    </xf>
    <xf numFmtId="164" fontId="0" fillId="8" borderId="19" xfId="0" applyNumberFormat="1" applyFont="1" applyFill="1" applyBorder="1" applyAlignment="1">
      <alignment horizontal="center"/>
    </xf>
    <xf numFmtId="164" fontId="2" fillId="8" borderId="23" xfId="0" applyNumberFormat="1" applyFont="1" applyFill="1" applyBorder="1" applyAlignment="1">
      <alignment/>
    </xf>
    <xf numFmtId="164" fontId="2" fillId="8" borderId="21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righ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right"/>
    </xf>
    <xf numFmtId="164" fontId="0" fillId="8" borderId="0" xfId="0" applyNumberFormat="1" applyFill="1" applyBorder="1" applyAlignment="1">
      <alignment/>
    </xf>
    <xf numFmtId="164" fontId="68" fillId="8" borderId="0" xfId="0" applyNumberFormat="1" applyFont="1" applyFill="1" applyBorder="1" applyAlignment="1">
      <alignment horizontal="right"/>
    </xf>
    <xf numFmtId="164" fontId="69" fillId="8" borderId="0" xfId="0" applyNumberFormat="1" applyFont="1" applyFill="1" applyBorder="1" applyAlignment="1">
      <alignment horizontal="right"/>
    </xf>
    <xf numFmtId="0" fontId="68" fillId="8" borderId="0" xfId="0" applyFont="1" applyFill="1" applyBorder="1" applyAlignment="1">
      <alignment horizontal="right"/>
    </xf>
    <xf numFmtId="164" fontId="4" fillId="8" borderId="0" xfId="0" applyNumberFormat="1" applyFont="1" applyFill="1" applyBorder="1" applyAlignment="1">
      <alignment/>
    </xf>
    <xf numFmtId="0" fontId="4" fillId="8" borderId="23" xfId="0" applyFont="1" applyFill="1" applyBorder="1" applyAlignment="1">
      <alignment horizontal="left"/>
    </xf>
    <xf numFmtId="0" fontId="0" fillId="8" borderId="20" xfId="0" applyFill="1" applyBorder="1" applyAlignment="1">
      <alignment horizontal="right" shrinkToFit="1"/>
    </xf>
    <xf numFmtId="0" fontId="0" fillId="8" borderId="19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3" fillId="8" borderId="24" xfId="0" applyFont="1" applyFill="1" applyBorder="1" applyAlignment="1">
      <alignment/>
    </xf>
    <xf numFmtId="164" fontId="3" fillId="8" borderId="22" xfId="0" applyNumberFormat="1" applyFont="1" applyFill="1" applyBorder="1" applyAlignment="1">
      <alignment/>
    </xf>
    <xf numFmtId="49" fontId="3" fillId="8" borderId="19" xfId="0" applyNumberFormat="1" applyFont="1" applyFill="1" applyBorder="1" applyAlignment="1">
      <alignment horizontal="center"/>
    </xf>
    <xf numFmtId="0" fontId="0" fillId="8" borderId="16" xfId="0" applyFill="1" applyBorder="1" applyAlignment="1">
      <alignment/>
    </xf>
    <xf numFmtId="0" fontId="0" fillId="8" borderId="25" xfId="0" applyFill="1" applyBorder="1" applyAlignment="1">
      <alignment/>
    </xf>
    <xf numFmtId="0" fontId="3" fillId="8" borderId="17" xfId="0" applyFont="1" applyFill="1" applyBorder="1" applyAlignment="1">
      <alignment/>
    </xf>
    <xf numFmtId="0" fontId="3" fillId="8" borderId="18" xfId="0" applyFont="1" applyFill="1" applyBorder="1" applyAlignment="1">
      <alignment/>
    </xf>
    <xf numFmtId="0" fontId="3" fillId="8" borderId="18" xfId="0" applyFont="1" applyFill="1" applyBorder="1" applyAlignment="1">
      <alignment vertical="top" wrapText="1"/>
    </xf>
    <xf numFmtId="0" fontId="0" fillId="8" borderId="20" xfId="0" applyFill="1" applyBorder="1" applyAlignment="1">
      <alignment/>
    </xf>
    <xf numFmtId="0" fontId="0" fillId="8" borderId="0" xfId="0" applyFill="1" applyBorder="1" applyAlignment="1" applyProtection="1">
      <alignment/>
      <protection/>
    </xf>
    <xf numFmtId="164" fontId="3" fillId="8" borderId="0" xfId="0" applyNumberFormat="1" applyFont="1" applyFill="1" applyBorder="1" applyAlignment="1">
      <alignment horizontal="center"/>
    </xf>
    <xf numFmtId="0" fontId="0" fillId="8" borderId="23" xfId="0" applyFill="1" applyBorder="1" applyAlignment="1">
      <alignment/>
    </xf>
    <xf numFmtId="9" fontId="0" fillId="8" borderId="19" xfId="0" applyNumberFormat="1" applyFill="1" applyBorder="1" applyAlignment="1">
      <alignment horizontal="left"/>
    </xf>
    <xf numFmtId="164" fontId="3" fillId="8" borderId="0" xfId="0" applyNumberFormat="1" applyFont="1" applyFill="1" applyBorder="1" applyAlignment="1">
      <alignment/>
    </xf>
    <xf numFmtId="49" fontId="3" fillId="8" borderId="0" xfId="0" applyNumberFormat="1" applyFont="1" applyFill="1" applyBorder="1" applyAlignment="1">
      <alignment horizontal="center"/>
    </xf>
    <xf numFmtId="164" fontId="3" fillId="8" borderId="23" xfId="0" applyNumberFormat="1" applyFont="1" applyFill="1" applyBorder="1" applyAlignment="1">
      <alignment/>
    </xf>
    <xf numFmtId="49" fontId="3" fillId="8" borderId="23" xfId="0" applyNumberFormat="1" applyFont="1" applyFill="1" applyBorder="1" applyAlignment="1">
      <alignment horizontal="center"/>
    </xf>
    <xf numFmtId="0" fontId="0" fillId="8" borderId="21" xfId="0" applyFill="1" applyBorder="1" applyAlignment="1">
      <alignment vertical="top"/>
    </xf>
    <xf numFmtId="164" fontId="0" fillId="8" borderId="0" xfId="0" applyNumberFormat="1" applyFill="1" applyBorder="1" applyAlignment="1" applyProtection="1">
      <alignment/>
      <protection/>
    </xf>
    <xf numFmtId="0" fontId="0" fillId="8" borderId="19" xfId="0" applyFill="1" applyBorder="1" applyAlignment="1">
      <alignment horizontal="center"/>
    </xf>
    <xf numFmtId="0" fontId="0" fillId="8" borderId="17" xfId="0" applyFill="1" applyBorder="1" applyAlignment="1">
      <alignment/>
    </xf>
    <xf numFmtId="0" fontId="0" fillId="8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64" fillId="8" borderId="0" xfId="0" applyFont="1" applyFill="1" applyBorder="1" applyAlignment="1">
      <alignment/>
    </xf>
    <xf numFmtId="0" fontId="64" fillId="8" borderId="18" xfId="0" applyFont="1" applyFill="1" applyBorder="1" applyAlignment="1">
      <alignment/>
    </xf>
    <xf numFmtId="0" fontId="64" fillId="8" borderId="0" xfId="0" applyFont="1" applyFill="1" applyBorder="1" applyAlignment="1">
      <alignment horizontal="center"/>
    </xf>
    <xf numFmtId="0" fontId="64" fillId="8" borderId="19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70" fillId="33" borderId="14" xfId="0" applyFont="1" applyFill="1" applyBorder="1" applyAlignment="1" applyProtection="1">
      <alignment/>
      <protection locked="0"/>
    </xf>
    <xf numFmtId="0" fontId="70" fillId="33" borderId="15" xfId="0" applyFont="1" applyFill="1" applyBorder="1" applyAlignment="1" applyProtection="1">
      <alignment/>
      <protection locked="0"/>
    </xf>
    <xf numFmtId="14" fontId="67" fillId="33" borderId="26" xfId="0" applyNumberFormat="1" applyFont="1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64" fontId="0" fillId="8" borderId="19" xfId="0" applyNumberFormat="1" applyFill="1" applyBorder="1" applyAlignment="1">
      <alignment/>
    </xf>
    <xf numFmtId="0" fontId="64" fillId="8" borderId="16" xfId="0" applyFont="1" applyFill="1" applyBorder="1" applyAlignment="1">
      <alignment/>
    </xf>
    <xf numFmtId="0" fontId="64" fillId="8" borderId="25" xfId="0" applyFont="1" applyFill="1" applyBorder="1" applyAlignment="1">
      <alignment/>
    </xf>
    <xf numFmtId="164" fontId="64" fillId="8" borderId="0" xfId="0" applyNumberFormat="1" applyFont="1" applyFill="1" applyBorder="1" applyAlignment="1">
      <alignment/>
    </xf>
    <xf numFmtId="0" fontId="64" fillId="8" borderId="20" xfId="0" applyFont="1" applyFill="1" applyBorder="1" applyAlignment="1">
      <alignment/>
    </xf>
    <xf numFmtId="164" fontId="64" fillId="8" borderId="23" xfId="0" applyNumberFormat="1" applyFont="1" applyFill="1" applyBorder="1" applyAlignment="1">
      <alignment/>
    </xf>
    <xf numFmtId="164" fontId="0" fillId="8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6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166" fontId="27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0" fontId="67" fillId="8" borderId="0" xfId="0" applyFont="1" applyFill="1" applyBorder="1" applyAlignment="1">
      <alignment horizontal="left"/>
    </xf>
    <xf numFmtId="0" fontId="67" fillId="8" borderId="0" xfId="0" applyFont="1" applyFill="1" applyBorder="1" applyAlignment="1">
      <alignment horizontal="center"/>
    </xf>
    <xf numFmtId="0" fontId="67" fillId="8" borderId="18" xfId="0" applyFont="1" applyFill="1" applyBorder="1" applyAlignment="1">
      <alignment horizontal="left"/>
    </xf>
    <xf numFmtId="0" fontId="67" fillId="8" borderId="19" xfId="0" applyFont="1" applyFill="1" applyBorder="1" applyAlignment="1">
      <alignment horizontal="center"/>
    </xf>
    <xf numFmtId="0" fontId="67" fillId="8" borderId="0" xfId="0" applyFont="1" applyFill="1" applyBorder="1" applyAlignment="1">
      <alignment/>
    </xf>
    <xf numFmtId="0" fontId="0" fillId="8" borderId="0" xfId="0" applyFill="1" applyBorder="1" applyAlignment="1" applyProtection="1">
      <alignment horizontal="center"/>
      <protection/>
    </xf>
    <xf numFmtId="0" fontId="0" fillId="8" borderId="19" xfId="0" applyFill="1" applyBorder="1" applyAlignment="1" applyProtection="1">
      <alignment horizontal="center"/>
      <protection/>
    </xf>
    <xf numFmtId="164" fontId="67" fillId="8" borderId="18" xfId="0" applyNumberFormat="1" applyFont="1" applyFill="1" applyBorder="1" applyAlignment="1" applyProtection="1">
      <alignment horizontal="center" vertical="center"/>
      <protection/>
    </xf>
    <xf numFmtId="0" fontId="67" fillId="8" borderId="0" xfId="0" applyFont="1" applyFill="1" applyBorder="1" applyAlignment="1" applyProtection="1">
      <alignment horizontal="center" vertical="center"/>
      <protection/>
    </xf>
    <xf numFmtId="164" fontId="67" fillId="8" borderId="0" xfId="0" applyNumberFormat="1" applyFont="1" applyFill="1" applyBorder="1" applyAlignment="1" applyProtection="1">
      <alignment horizontal="center" vertical="center"/>
      <protection/>
    </xf>
    <xf numFmtId="0" fontId="67" fillId="8" borderId="19" xfId="0" applyFont="1" applyFill="1" applyBorder="1" applyAlignment="1" applyProtection="1">
      <alignment horizontal="center" vertical="center"/>
      <protection/>
    </xf>
    <xf numFmtId="0" fontId="67" fillId="8" borderId="20" xfId="0" applyFont="1" applyFill="1" applyBorder="1" applyAlignment="1" applyProtection="1">
      <alignment horizontal="center" vertical="center"/>
      <protection/>
    </xf>
    <xf numFmtId="0" fontId="67" fillId="8" borderId="23" xfId="0" applyFont="1" applyFill="1" applyBorder="1" applyAlignment="1" applyProtection="1">
      <alignment horizontal="center" vertical="center"/>
      <protection/>
    </xf>
    <xf numFmtId="0" fontId="67" fillId="8" borderId="21" xfId="0" applyFont="1" applyFill="1" applyBorder="1" applyAlignment="1" applyProtection="1">
      <alignment horizontal="center" vertical="center"/>
      <protection/>
    </xf>
    <xf numFmtId="0" fontId="67" fillId="8" borderId="23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/>
    </xf>
    <xf numFmtId="164" fontId="0" fillId="8" borderId="25" xfId="0" applyNumberFormat="1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0" fontId="71" fillId="34" borderId="27" xfId="0" applyFont="1" applyFill="1" applyBorder="1" applyAlignment="1">
      <alignment horizontal="right"/>
    </xf>
    <xf numFmtId="0" fontId="72" fillId="34" borderId="20" xfId="0" applyFont="1" applyFill="1" applyBorder="1" applyAlignment="1">
      <alignment/>
    </xf>
    <xf numFmtId="0" fontId="72" fillId="34" borderId="23" xfId="0" applyFont="1" applyFill="1" applyBorder="1" applyAlignment="1">
      <alignment/>
    </xf>
    <xf numFmtId="0" fontId="72" fillId="34" borderId="21" xfId="0" applyFont="1" applyFill="1" applyBorder="1" applyAlignment="1">
      <alignment/>
    </xf>
    <xf numFmtId="164" fontId="0" fillId="32" borderId="12" xfId="0" applyNumberFormat="1" applyFont="1" applyFill="1" applyBorder="1" applyAlignment="1" applyProtection="1">
      <alignment/>
      <protection locked="0"/>
    </xf>
    <xf numFmtId="0" fontId="0" fillId="32" borderId="28" xfId="0" applyFont="1" applyFill="1" applyBorder="1" applyAlignment="1" applyProtection="1">
      <alignment/>
      <protection locked="0"/>
    </xf>
    <xf numFmtId="0" fontId="0" fillId="32" borderId="29" xfId="0" applyFont="1" applyFill="1" applyBorder="1" applyAlignment="1" applyProtection="1">
      <alignment/>
      <protection locked="0"/>
    </xf>
    <xf numFmtId="0" fontId="0" fillId="32" borderId="30" xfId="0" applyFill="1" applyBorder="1" applyAlignment="1" applyProtection="1">
      <alignment/>
      <protection locked="0"/>
    </xf>
    <xf numFmtId="0" fontId="0" fillId="32" borderId="31" xfId="0" applyFont="1" applyFill="1" applyBorder="1" applyAlignment="1" applyProtection="1">
      <alignment/>
      <protection locked="0"/>
    </xf>
    <xf numFmtId="0" fontId="0" fillId="32" borderId="30" xfId="0" applyFont="1" applyFill="1" applyBorder="1" applyAlignment="1" applyProtection="1">
      <alignment/>
      <protection locked="0"/>
    </xf>
    <xf numFmtId="0" fontId="0" fillId="32" borderId="32" xfId="0" applyFont="1" applyFill="1" applyBorder="1" applyAlignment="1" applyProtection="1">
      <alignment/>
      <protection locked="0"/>
    </xf>
    <xf numFmtId="0" fontId="0" fillId="32" borderId="33" xfId="0" applyFont="1" applyFill="1" applyBorder="1" applyAlignment="1" applyProtection="1">
      <alignment/>
      <protection locked="0"/>
    </xf>
    <xf numFmtId="0" fontId="0" fillId="32" borderId="34" xfId="0" applyFont="1" applyFill="1" applyBorder="1" applyAlignment="1" applyProtection="1">
      <alignment/>
      <protection locked="0"/>
    </xf>
    <xf numFmtId="0" fontId="0" fillId="32" borderId="35" xfId="0" applyFont="1" applyFill="1" applyBorder="1" applyAlignment="1" applyProtection="1">
      <alignment/>
      <protection locked="0"/>
    </xf>
    <xf numFmtId="0" fontId="0" fillId="32" borderId="15" xfId="0" applyFont="1" applyFill="1" applyBorder="1" applyAlignment="1" applyProtection="1">
      <alignment/>
      <protection locked="0"/>
    </xf>
    <xf numFmtId="164" fontId="0" fillId="32" borderId="34" xfId="0" applyNumberFormat="1" applyFont="1" applyFill="1" applyBorder="1" applyAlignment="1" applyProtection="1">
      <alignment/>
      <protection locked="0"/>
    </xf>
    <xf numFmtId="164" fontId="0" fillId="32" borderId="15" xfId="0" applyNumberFormat="1" applyFont="1" applyFill="1" applyBorder="1" applyAlignment="1" applyProtection="1">
      <alignment/>
      <protection locked="0"/>
    </xf>
    <xf numFmtId="167" fontId="0" fillId="33" borderId="13" xfId="0" applyNumberFormat="1" applyFont="1" applyFill="1" applyBorder="1" applyAlignment="1" applyProtection="1">
      <alignment horizontal="left"/>
      <protection locked="0"/>
    </xf>
    <xf numFmtId="167" fontId="0" fillId="0" borderId="0" xfId="0" applyNumberFormat="1" applyAlignment="1">
      <alignment/>
    </xf>
    <xf numFmtId="0" fontId="67" fillId="8" borderId="18" xfId="0" applyFont="1" applyFill="1" applyBorder="1" applyAlignment="1">
      <alignment horizontal="right"/>
    </xf>
    <xf numFmtId="168" fontId="67" fillId="33" borderId="19" xfId="0" applyNumberFormat="1" applyFont="1" applyFill="1" applyBorder="1" applyAlignment="1" applyProtection="1">
      <alignment/>
      <protection locked="0"/>
    </xf>
    <xf numFmtId="164" fontId="4" fillId="8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4" fillId="0" borderId="0" xfId="0" applyFont="1" applyAlignment="1">
      <alignment/>
    </xf>
    <xf numFmtId="0" fontId="3" fillId="8" borderId="0" xfId="0" applyFont="1" applyFill="1" applyBorder="1" applyAlignment="1">
      <alignment vertical="top" wrapText="1"/>
    </xf>
    <xf numFmtId="164" fontId="64" fillId="8" borderId="0" xfId="0" applyNumberFormat="1" applyFont="1" applyFill="1" applyBorder="1" applyAlignment="1">
      <alignment vertical="center"/>
    </xf>
    <xf numFmtId="164" fontId="0" fillId="8" borderId="23" xfId="0" applyNumberFormat="1" applyFill="1" applyBorder="1" applyAlignment="1">
      <alignment horizontal="center"/>
    </xf>
    <xf numFmtId="164" fontId="0" fillId="8" borderId="23" xfId="0" applyNumberFormat="1" applyFill="1" applyBorder="1" applyAlignment="1">
      <alignment horizontal="left"/>
    </xf>
    <xf numFmtId="0" fontId="64" fillId="8" borderId="23" xfId="0" applyFont="1" applyFill="1" applyBorder="1" applyAlignment="1">
      <alignment/>
    </xf>
    <xf numFmtId="164" fontId="0" fillId="8" borderId="21" xfId="0" applyNumberFormat="1" applyFill="1" applyBorder="1" applyAlignment="1">
      <alignment horizontal="center"/>
    </xf>
    <xf numFmtId="0" fontId="67" fillId="8" borderId="18" xfId="0" applyFont="1" applyFill="1" applyBorder="1" applyAlignment="1" applyProtection="1">
      <alignment horizontal="center"/>
      <protection/>
    </xf>
    <xf numFmtId="0" fontId="67" fillId="8" borderId="0" xfId="0" applyFont="1" applyFill="1" applyBorder="1" applyAlignment="1" applyProtection="1">
      <alignment horizontal="center"/>
      <protection/>
    </xf>
    <xf numFmtId="0" fontId="64" fillId="0" borderId="0" xfId="0" applyFont="1" applyAlignment="1">
      <alignment horizontal="right"/>
    </xf>
    <xf numFmtId="0" fontId="67" fillId="8" borderId="0" xfId="0" applyFont="1" applyFill="1" applyBorder="1" applyAlignment="1">
      <alignment vertical="center" wrapText="1"/>
    </xf>
    <xf numFmtId="0" fontId="67" fillId="8" borderId="18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67" fillId="33" borderId="18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/>
    </xf>
    <xf numFmtId="0" fontId="6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73" fillId="0" borderId="0" xfId="0" applyFont="1" applyAlignment="1">
      <alignment/>
    </xf>
    <xf numFmtId="0" fontId="65" fillId="0" borderId="0" xfId="0" applyFont="1" applyAlignment="1">
      <alignment/>
    </xf>
    <xf numFmtId="0" fontId="32" fillId="8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68" fontId="32" fillId="33" borderId="18" xfId="0" applyNumberFormat="1" applyFont="1" applyFill="1" applyBorder="1" applyAlignment="1" applyProtection="1">
      <alignment horizontal="center"/>
      <protection locked="0"/>
    </xf>
    <xf numFmtId="164" fontId="67" fillId="8" borderId="0" xfId="0" applyNumberFormat="1" applyFont="1" applyFill="1" applyBorder="1" applyAlignment="1">
      <alignment horizontal="center"/>
    </xf>
    <xf numFmtId="164" fontId="67" fillId="8" borderId="19" xfId="0" applyNumberFormat="1" applyFont="1" applyFill="1" applyBorder="1" applyAlignment="1">
      <alignment horizontal="center"/>
    </xf>
    <xf numFmtId="0" fontId="74" fillId="8" borderId="0" xfId="0" applyFont="1" applyFill="1" applyBorder="1" applyAlignment="1">
      <alignment vertical="center"/>
    </xf>
    <xf numFmtId="0" fontId="74" fillId="8" borderId="19" xfId="0" applyFont="1" applyFill="1" applyBorder="1" applyAlignment="1">
      <alignment vertical="center"/>
    </xf>
    <xf numFmtId="0" fontId="70" fillId="32" borderId="10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right"/>
    </xf>
    <xf numFmtId="168" fontId="36" fillId="33" borderId="12" xfId="0" applyNumberFormat="1" applyFont="1" applyFill="1" applyBorder="1" applyAlignment="1" applyProtection="1">
      <alignment horizontal="left" vertical="center"/>
      <protection locked="0"/>
    </xf>
    <xf numFmtId="0" fontId="64" fillId="8" borderId="0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64" fillId="8" borderId="19" xfId="0" applyFont="1" applyFill="1" applyBorder="1" applyAlignment="1">
      <alignment horizontal="center"/>
    </xf>
    <xf numFmtId="164" fontId="0" fillId="8" borderId="23" xfId="0" applyNumberFormat="1" applyFill="1" applyBorder="1" applyAlignment="1">
      <alignment horizontal="center"/>
    </xf>
    <xf numFmtId="0" fontId="70" fillId="8" borderId="18" xfId="0" applyFont="1" applyFill="1" applyBorder="1" applyAlignment="1" applyProtection="1">
      <alignment/>
      <protection/>
    </xf>
    <xf numFmtId="0" fontId="67" fillId="8" borderId="0" xfId="0" applyFont="1" applyFill="1" applyBorder="1" applyAlignment="1" applyProtection="1">
      <alignment/>
      <protection/>
    </xf>
    <xf numFmtId="0" fontId="70" fillId="8" borderId="0" xfId="0" applyFont="1" applyFill="1" applyBorder="1" applyAlignment="1" applyProtection="1">
      <alignment/>
      <protection/>
    </xf>
    <xf numFmtId="14" fontId="67" fillId="8" borderId="19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64" fillId="8" borderId="18" xfId="0" applyFont="1" applyFill="1" applyBorder="1" applyAlignment="1">
      <alignment horizontal="center" vertical="center"/>
    </xf>
    <xf numFmtId="0" fontId="64" fillId="8" borderId="0" xfId="0" applyFont="1" applyFill="1" applyBorder="1" applyAlignment="1">
      <alignment horizontal="center" vertical="center"/>
    </xf>
    <xf numFmtId="0" fontId="64" fillId="8" borderId="16" xfId="0" applyFont="1" applyFill="1" applyBorder="1" applyAlignment="1">
      <alignment vertical="center"/>
    </xf>
    <xf numFmtId="0" fontId="64" fillId="8" borderId="25" xfId="0" applyFont="1" applyFill="1" applyBorder="1" applyAlignment="1">
      <alignment vertical="center"/>
    </xf>
    <xf numFmtId="168" fontId="0" fillId="33" borderId="12" xfId="0" applyNumberFormat="1" applyFill="1" applyBorder="1" applyAlignment="1" applyProtection="1">
      <alignment horizontal="center"/>
      <protection locked="0"/>
    </xf>
    <xf numFmtId="0" fontId="64" fillId="8" borderId="0" xfId="0" applyFont="1" applyFill="1" applyBorder="1" applyAlignment="1">
      <alignment horizontal="center"/>
    </xf>
    <xf numFmtId="0" fontId="0" fillId="33" borderId="36" xfId="0" applyFill="1" applyBorder="1" applyAlignment="1" applyProtection="1">
      <alignment horizontal="center"/>
      <protection locked="0"/>
    </xf>
    <xf numFmtId="164" fontId="0" fillId="8" borderId="23" xfId="0" applyNumberForma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/>
    </xf>
    <xf numFmtId="0" fontId="64" fillId="8" borderId="19" xfId="0" applyFont="1" applyFill="1" applyBorder="1" applyAlignment="1">
      <alignment horizontal="center"/>
    </xf>
    <xf numFmtId="0" fontId="64" fillId="8" borderId="0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164" fontId="0" fillId="8" borderId="23" xfId="0" applyNumberFormat="1" applyFill="1" applyBorder="1" applyAlignment="1">
      <alignment horizontal="center"/>
    </xf>
    <xf numFmtId="0" fontId="64" fillId="8" borderId="18" xfId="0" applyFont="1" applyFill="1" applyBorder="1" applyAlignment="1" applyProtection="1">
      <alignment horizontal="center"/>
      <protection/>
    </xf>
    <xf numFmtId="0" fontId="64" fillId="8" borderId="0" xfId="0" applyFont="1" applyFill="1" applyBorder="1" applyAlignment="1" applyProtection="1">
      <alignment horizontal="center"/>
      <protection/>
    </xf>
    <xf numFmtId="0" fontId="64" fillId="8" borderId="19" xfId="0" applyFont="1" applyFill="1" applyBorder="1" applyAlignment="1" applyProtection="1">
      <alignment horizontal="center"/>
      <protection/>
    </xf>
    <xf numFmtId="0" fontId="0" fillId="8" borderId="20" xfId="0" applyFill="1" applyBorder="1" applyAlignment="1" applyProtection="1">
      <alignment/>
      <protection/>
    </xf>
    <xf numFmtId="0" fontId="0" fillId="8" borderId="23" xfId="0" applyFill="1" applyBorder="1" applyAlignment="1" applyProtection="1">
      <alignment/>
      <protection/>
    </xf>
    <xf numFmtId="0" fontId="0" fillId="8" borderId="21" xfId="0" applyFill="1" applyBorder="1" applyAlignment="1" applyProtection="1">
      <alignment/>
      <protection/>
    </xf>
    <xf numFmtId="20" fontId="0" fillId="33" borderId="10" xfId="0" applyNumberFormat="1" applyFont="1" applyFill="1" applyBorder="1" applyAlignment="1" applyProtection="1">
      <alignment horizontal="center" vertical="center"/>
      <protection locked="0"/>
    </xf>
    <xf numFmtId="20" fontId="0" fillId="33" borderId="12" xfId="0" applyNumberFormat="1" applyFont="1" applyFill="1" applyBorder="1" applyAlignment="1" applyProtection="1">
      <alignment horizontal="center" vertical="center"/>
      <protection locked="0"/>
    </xf>
    <xf numFmtId="2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top"/>
      <protection/>
    </xf>
    <xf numFmtId="0" fontId="3" fillId="8" borderId="23" xfId="0" applyFont="1" applyFill="1" applyBorder="1" applyAlignment="1">
      <alignment/>
    </xf>
    <xf numFmtId="0" fontId="3" fillId="8" borderId="21" xfId="0" applyFont="1" applyFill="1" applyBorder="1" applyAlignment="1">
      <alignment/>
    </xf>
    <xf numFmtId="0" fontId="64" fillId="8" borderId="37" xfId="0" applyFont="1" applyFill="1" applyBorder="1" applyAlignment="1" applyProtection="1">
      <alignment horizontal="right" vertical="center"/>
      <protection/>
    </xf>
    <xf numFmtId="0" fontId="64" fillId="8" borderId="18" xfId="0" applyFont="1" applyFill="1" applyBorder="1" applyAlignment="1" applyProtection="1">
      <alignment horizontal="right" vertical="center"/>
      <protection/>
    </xf>
    <xf numFmtId="0" fontId="0" fillId="33" borderId="36" xfId="0" applyFill="1" applyBorder="1" applyAlignment="1" applyProtection="1">
      <alignment/>
      <protection locked="0"/>
    </xf>
    <xf numFmtId="0" fontId="64" fillId="8" borderId="0" xfId="0" applyFont="1" applyFill="1" applyBorder="1" applyAlignment="1">
      <alignment/>
    </xf>
    <xf numFmtId="0" fontId="64" fillId="8" borderId="0" xfId="0" applyFont="1" applyFill="1" applyBorder="1" applyAlignment="1">
      <alignment horizontal="right"/>
    </xf>
    <xf numFmtId="164" fontId="0" fillId="8" borderId="0" xfId="0" applyNumberForma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164" fontId="0" fillId="0" borderId="0" xfId="0" applyNumberFormat="1" applyAlignment="1" quotePrefix="1">
      <alignment/>
    </xf>
    <xf numFmtId="0" fontId="50" fillId="35" borderId="13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164" fontId="0" fillId="36" borderId="38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164" fontId="0" fillId="36" borderId="39" xfId="0" applyNumberForma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64" fontId="0" fillId="36" borderId="40" xfId="0" applyNumberFormat="1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164" fontId="0" fillId="36" borderId="12" xfId="0" applyNumberFormat="1" applyFill="1" applyBorder="1" applyAlignment="1">
      <alignment horizontal="center" vertical="center"/>
    </xf>
    <xf numFmtId="164" fontId="0" fillId="36" borderId="38" xfId="0" applyNumberFormat="1" applyFill="1" applyBorder="1" applyAlignment="1">
      <alignment horizontal="right" vertical="center"/>
    </xf>
    <xf numFmtId="164" fontId="0" fillId="36" borderId="39" xfId="0" applyNumberFormat="1" applyFill="1" applyBorder="1" applyAlignment="1">
      <alignment horizontal="right"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36" borderId="42" xfId="0" applyNumberFormat="1" applyFill="1" applyBorder="1" applyAlignment="1" applyProtection="1">
      <alignment horizontal="center" vertical="center"/>
      <protection hidden="1"/>
    </xf>
    <xf numFmtId="164" fontId="0" fillId="36" borderId="13" xfId="0" applyNumberFormat="1" applyFill="1" applyBorder="1" applyAlignment="1" applyProtection="1">
      <alignment horizontal="center" vertical="center"/>
      <protection hidden="1"/>
    </xf>
    <xf numFmtId="0" fontId="0" fillId="36" borderId="13" xfId="0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 locked="0"/>
    </xf>
    <xf numFmtId="164" fontId="0" fillId="36" borderId="36" xfId="0" applyNumberFormat="1" applyFill="1" applyBorder="1" applyAlignment="1" applyProtection="1">
      <alignment horizontal="center" vertical="center"/>
      <protection hidden="1"/>
    </xf>
    <xf numFmtId="164" fontId="0" fillId="36" borderId="12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37" borderId="10" xfId="0" applyFill="1" applyBorder="1" applyAlignment="1" applyProtection="1">
      <alignment horizontal="center" vertical="center"/>
      <protection hidden="1"/>
    </xf>
    <xf numFmtId="164" fontId="0" fillId="36" borderId="26" xfId="0" applyNumberFormat="1" applyFill="1" applyBorder="1" applyAlignment="1" applyProtection="1">
      <alignment horizontal="center" vertical="center"/>
      <protection hidden="1"/>
    </xf>
    <xf numFmtId="164" fontId="0" fillId="36" borderId="15" xfId="0" applyNumberForma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37" borderId="14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53" fillId="35" borderId="43" xfId="0" applyFont="1" applyFill="1" applyBorder="1" applyAlignment="1" applyProtection="1">
      <alignment horizontal="center" vertical="center"/>
      <protection hidden="1"/>
    </xf>
    <xf numFmtId="0" fontId="53" fillId="35" borderId="44" xfId="0" applyFont="1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vertical="center"/>
      <protection hidden="1"/>
    </xf>
    <xf numFmtId="0" fontId="53" fillId="35" borderId="41" xfId="0" applyFont="1" applyFill="1" applyBorder="1" applyAlignment="1" applyProtection="1">
      <alignment horizontal="center" vertical="center"/>
      <protection hidden="1"/>
    </xf>
    <xf numFmtId="0" fontId="53" fillId="35" borderId="4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75" fillId="8" borderId="18" xfId="0" applyFont="1" applyFill="1" applyBorder="1" applyAlignment="1">
      <alignment vertical="center" wrapText="1"/>
    </xf>
    <xf numFmtId="0" fontId="75" fillId="8" borderId="0" xfId="0" applyFont="1" applyFill="1" applyBorder="1" applyAlignment="1">
      <alignment vertical="center" wrapText="1"/>
    </xf>
    <xf numFmtId="0" fontId="75" fillId="8" borderId="19" xfId="0" applyFont="1" applyFill="1" applyBorder="1" applyAlignment="1">
      <alignment vertical="center" wrapText="1"/>
    </xf>
    <xf numFmtId="0" fontId="0" fillId="0" borderId="0" xfId="0" applyAlignment="1" quotePrefix="1">
      <alignment/>
    </xf>
    <xf numFmtId="9" fontId="0" fillId="0" borderId="0" xfId="0" applyNumberFormat="1" applyFont="1" applyFill="1" applyBorder="1" applyAlignment="1" applyProtection="1">
      <alignment/>
      <protection locked="0"/>
    </xf>
    <xf numFmtId="20" fontId="0" fillId="33" borderId="12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20" fontId="0" fillId="33" borderId="10" xfId="0" applyNumberFormat="1" applyFill="1" applyBorder="1" applyAlignment="1" applyProtection="1">
      <alignment horizontal="center"/>
      <protection locked="0"/>
    </xf>
    <xf numFmtId="0" fontId="64" fillId="0" borderId="12" xfId="0" applyFont="1" applyBorder="1" applyAlignment="1">
      <alignment/>
    </xf>
    <xf numFmtId="164" fontId="0" fillId="0" borderId="12" xfId="0" applyNumberFormat="1" applyFill="1" applyBorder="1" applyAlignment="1" applyProtection="1">
      <alignment/>
      <protection/>
    </xf>
    <xf numFmtId="0" fontId="76" fillId="8" borderId="18" xfId="0" applyFont="1" applyFill="1" applyBorder="1" applyAlignment="1" applyProtection="1">
      <alignment horizontal="center"/>
      <protection/>
    </xf>
    <xf numFmtId="0" fontId="76" fillId="8" borderId="0" xfId="0" applyFont="1" applyFill="1" applyBorder="1" applyAlignment="1" applyProtection="1">
      <alignment horizontal="center"/>
      <protection/>
    </xf>
    <xf numFmtId="0" fontId="77" fillId="8" borderId="0" xfId="0" applyFont="1" applyFill="1" applyBorder="1" applyAlignment="1" applyProtection="1">
      <alignment horizontal="center" vertical="center" wrapText="1"/>
      <protection/>
    </xf>
    <xf numFmtId="0" fontId="76" fillId="8" borderId="19" xfId="0" applyFont="1" applyFill="1" applyBorder="1" applyAlignment="1" applyProtection="1">
      <alignment horizontal="center"/>
      <protection/>
    </xf>
    <xf numFmtId="0" fontId="64" fillId="38" borderId="45" xfId="0" applyFont="1" applyFill="1" applyBorder="1" applyAlignment="1" applyProtection="1">
      <alignment/>
      <protection/>
    </xf>
    <xf numFmtId="164" fontId="0" fillId="39" borderId="41" xfId="0" applyNumberFormat="1" applyFill="1" applyBorder="1" applyAlignment="1" applyProtection="1">
      <alignment/>
      <protection/>
    </xf>
    <xf numFmtId="0" fontId="64" fillId="8" borderId="0" xfId="0" applyFont="1" applyFill="1" applyBorder="1" applyAlignment="1" applyProtection="1">
      <alignment/>
      <protection/>
    </xf>
    <xf numFmtId="0" fontId="0" fillId="8" borderId="19" xfId="0" applyFill="1" applyBorder="1" applyAlignment="1" applyProtection="1">
      <alignment/>
      <protection/>
    </xf>
    <xf numFmtId="0" fontId="64" fillId="38" borderId="11" xfId="0" applyFont="1" applyFill="1" applyBorder="1" applyAlignment="1" applyProtection="1">
      <alignment/>
      <protection/>
    </xf>
    <xf numFmtId="164" fontId="0" fillId="39" borderId="13" xfId="0" applyNumberFormat="1" applyFill="1" applyBorder="1" applyAlignment="1" applyProtection="1">
      <alignment/>
      <protection/>
    </xf>
    <xf numFmtId="0" fontId="64" fillId="38" borderId="41" xfId="0" applyFont="1" applyFill="1" applyBorder="1" applyAlignment="1" applyProtection="1">
      <alignment/>
      <protection/>
    </xf>
    <xf numFmtId="0" fontId="64" fillId="38" borderId="46" xfId="0" applyFont="1" applyFill="1" applyBorder="1" applyAlignment="1" applyProtection="1">
      <alignment/>
      <protection/>
    </xf>
    <xf numFmtId="20" fontId="64" fillId="0" borderId="46" xfId="0" applyNumberFormat="1" applyFont="1" applyFill="1" applyBorder="1" applyAlignment="1" applyProtection="1">
      <alignment horizontal="center"/>
      <protection/>
    </xf>
    <xf numFmtId="20" fontId="64" fillId="0" borderId="12" xfId="0" applyNumberFormat="1" applyFont="1" applyFill="1" applyBorder="1" applyAlignment="1" applyProtection="1">
      <alignment horizontal="center"/>
      <protection/>
    </xf>
    <xf numFmtId="1" fontId="64" fillId="0" borderId="12" xfId="0" applyNumberFormat="1" applyFont="1" applyFill="1" applyBorder="1" applyAlignment="1" applyProtection="1">
      <alignment horizontal="center"/>
      <protection/>
    </xf>
    <xf numFmtId="164" fontId="64" fillId="0" borderId="36" xfId="0" applyNumberFormat="1" applyFont="1" applyFill="1" applyBorder="1" applyAlignment="1" applyProtection="1">
      <alignment horizontal="center"/>
      <protection/>
    </xf>
    <xf numFmtId="0" fontId="64" fillId="38" borderId="10" xfId="0" applyFont="1" applyFill="1" applyBorder="1" applyAlignment="1" applyProtection="1">
      <alignment/>
      <protection/>
    </xf>
    <xf numFmtId="1" fontId="64" fillId="0" borderId="36" xfId="0" applyNumberFormat="1" applyFont="1" applyFill="1" applyBorder="1" applyAlignment="1" applyProtection="1">
      <alignment horizontal="center"/>
      <protection/>
    </xf>
    <xf numFmtId="164" fontId="64" fillId="0" borderId="42" xfId="0" applyNumberFormat="1" applyFont="1" applyFill="1" applyBorder="1" applyAlignment="1" applyProtection="1">
      <alignment horizontal="center"/>
      <protection/>
    </xf>
    <xf numFmtId="0" fontId="64" fillId="8" borderId="19" xfId="0" applyFont="1" applyFill="1" applyBorder="1" applyAlignment="1" applyProtection="1">
      <alignment/>
      <protection/>
    </xf>
    <xf numFmtId="1" fontId="64" fillId="0" borderId="46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78" fillId="34" borderId="16" xfId="0" applyFont="1" applyFill="1" applyBorder="1" applyAlignment="1">
      <alignment horizontal="center"/>
    </xf>
    <xf numFmtId="0" fontId="78" fillId="34" borderId="25" xfId="0" applyFont="1" applyFill="1" applyBorder="1" applyAlignment="1">
      <alignment horizontal="center"/>
    </xf>
    <xf numFmtId="0" fontId="78" fillId="34" borderId="17" xfId="0" applyFont="1" applyFill="1" applyBorder="1" applyAlignment="1">
      <alignment horizontal="center"/>
    </xf>
    <xf numFmtId="0" fontId="78" fillId="34" borderId="18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78" fillId="34" borderId="19" xfId="0" applyFont="1" applyFill="1" applyBorder="1" applyAlignment="1">
      <alignment horizontal="center"/>
    </xf>
    <xf numFmtId="0" fontId="79" fillId="34" borderId="18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19" xfId="0" applyFont="1" applyFill="1" applyBorder="1" applyAlignment="1">
      <alignment horizontal="center"/>
    </xf>
    <xf numFmtId="0" fontId="80" fillId="8" borderId="18" xfId="0" applyFont="1" applyFill="1" applyBorder="1" applyAlignment="1">
      <alignment horizontal="center"/>
    </xf>
    <xf numFmtId="0" fontId="80" fillId="8" borderId="0" xfId="0" applyFont="1" applyFill="1" applyBorder="1" applyAlignment="1">
      <alignment horizontal="center"/>
    </xf>
    <xf numFmtId="0" fontId="80" fillId="8" borderId="19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 vertical="center" wrapText="1"/>
      <protection locked="0"/>
    </xf>
    <xf numFmtId="0" fontId="74" fillId="8" borderId="18" xfId="0" applyFont="1" applyFill="1" applyBorder="1" applyAlignment="1">
      <alignment horizontal="center" vertical="center"/>
    </xf>
    <xf numFmtId="0" fontId="74" fillId="8" borderId="0" xfId="0" applyFont="1" applyFill="1" applyBorder="1" applyAlignment="1">
      <alignment horizontal="center" vertical="center"/>
    </xf>
    <xf numFmtId="0" fontId="74" fillId="8" borderId="19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/>
    </xf>
    <xf numFmtId="0" fontId="72" fillId="34" borderId="48" xfId="0" applyFont="1" applyFill="1" applyBorder="1" applyAlignment="1">
      <alignment horizontal="center" vertical="center"/>
    </xf>
    <xf numFmtId="0" fontId="72" fillId="34" borderId="49" xfId="0" applyFont="1" applyFill="1" applyBorder="1" applyAlignment="1">
      <alignment horizontal="center" vertical="center"/>
    </xf>
    <xf numFmtId="0" fontId="81" fillId="34" borderId="18" xfId="0" applyFont="1" applyFill="1" applyBorder="1" applyAlignment="1" applyProtection="1">
      <alignment horizontal="center"/>
      <protection/>
    </xf>
    <xf numFmtId="0" fontId="81" fillId="34" borderId="0" xfId="0" applyFont="1" applyFill="1" applyBorder="1" applyAlignment="1" applyProtection="1">
      <alignment horizontal="center"/>
      <protection/>
    </xf>
    <xf numFmtId="0" fontId="81" fillId="34" borderId="19" xfId="0" applyFont="1" applyFill="1" applyBorder="1" applyAlignment="1" applyProtection="1">
      <alignment horizontal="center"/>
      <protection/>
    </xf>
    <xf numFmtId="0" fontId="70" fillId="32" borderId="10" xfId="0" applyFont="1" applyFill="1" applyBorder="1" applyAlignment="1">
      <alignment horizontal="center" vertical="center" wrapText="1"/>
    </xf>
    <xf numFmtId="0" fontId="70" fillId="32" borderId="39" xfId="0" applyFont="1" applyFill="1" applyBorder="1" applyAlignment="1">
      <alignment vertical="top" wrapText="1"/>
    </xf>
    <xf numFmtId="0" fontId="70" fillId="32" borderId="48" xfId="0" applyFont="1" applyFill="1" applyBorder="1" applyAlignment="1">
      <alignment vertical="top" wrapText="1"/>
    </xf>
    <xf numFmtId="0" fontId="70" fillId="32" borderId="50" xfId="0" applyFont="1" applyFill="1" applyBorder="1" applyAlignment="1">
      <alignment vertical="top" wrapText="1"/>
    </xf>
    <xf numFmtId="0" fontId="82" fillId="8" borderId="18" xfId="0" applyFont="1" applyFill="1" applyBorder="1" applyAlignment="1">
      <alignment horizontal="center" vertical="center" wrapText="1"/>
    </xf>
    <xf numFmtId="0" fontId="82" fillId="8" borderId="0" xfId="0" applyFont="1" applyFill="1" applyBorder="1" applyAlignment="1">
      <alignment horizontal="center" vertical="center" wrapText="1"/>
    </xf>
    <xf numFmtId="0" fontId="82" fillId="8" borderId="19" xfId="0" applyFont="1" applyFill="1" applyBorder="1" applyAlignment="1">
      <alignment horizontal="center" vertical="center" wrapText="1"/>
    </xf>
    <xf numFmtId="0" fontId="82" fillId="8" borderId="20" xfId="0" applyFont="1" applyFill="1" applyBorder="1" applyAlignment="1">
      <alignment horizontal="center" vertical="center" wrapText="1"/>
    </xf>
    <xf numFmtId="0" fontId="82" fillId="8" borderId="23" xfId="0" applyFont="1" applyFill="1" applyBorder="1" applyAlignment="1">
      <alignment horizontal="center" vertical="center" wrapText="1"/>
    </xf>
    <xf numFmtId="0" fontId="82" fillId="8" borderId="21" xfId="0" applyFont="1" applyFill="1" applyBorder="1" applyAlignment="1">
      <alignment horizontal="center" vertical="center" wrapText="1"/>
    </xf>
    <xf numFmtId="168" fontId="32" fillId="33" borderId="0" xfId="0" applyNumberFormat="1" applyFont="1" applyFill="1" applyBorder="1" applyAlignment="1" applyProtection="1">
      <alignment horizontal="center"/>
      <protection locked="0"/>
    </xf>
    <xf numFmtId="168" fontId="32" fillId="33" borderId="19" xfId="0" applyNumberFormat="1" applyFont="1" applyFill="1" applyBorder="1" applyAlignment="1" applyProtection="1">
      <alignment horizontal="center"/>
      <protection locked="0"/>
    </xf>
    <xf numFmtId="0" fontId="67" fillId="33" borderId="0" xfId="0" applyFont="1" applyFill="1" applyBorder="1" applyAlignment="1" applyProtection="1">
      <alignment horizontal="center"/>
      <protection locked="0"/>
    </xf>
    <xf numFmtId="0" fontId="67" fillId="33" borderId="19" xfId="0" applyFont="1" applyFill="1" applyBorder="1" applyAlignment="1" applyProtection="1">
      <alignment horizontal="center"/>
      <protection locked="0"/>
    </xf>
    <xf numFmtId="0" fontId="67" fillId="8" borderId="18" xfId="0" applyFont="1" applyFill="1" applyBorder="1" applyAlignment="1">
      <alignment horizontal="right"/>
    </xf>
    <xf numFmtId="0" fontId="67" fillId="8" borderId="0" xfId="0" applyFont="1" applyFill="1" applyBorder="1" applyAlignment="1">
      <alignment horizontal="right"/>
    </xf>
    <xf numFmtId="0" fontId="67" fillId="8" borderId="18" xfId="0" applyFont="1" applyFill="1" applyBorder="1" applyAlignment="1">
      <alignment horizontal="center" vertical="top"/>
    </xf>
    <xf numFmtId="0" fontId="67" fillId="8" borderId="0" xfId="0" applyFont="1" applyFill="1" applyBorder="1" applyAlignment="1">
      <alignment horizontal="center" vertical="top"/>
    </xf>
    <xf numFmtId="0" fontId="67" fillId="8" borderId="19" xfId="0" applyFont="1" applyFill="1" applyBorder="1" applyAlignment="1">
      <alignment horizontal="center" vertical="top"/>
    </xf>
    <xf numFmtId="0" fontId="78" fillId="34" borderId="16" xfId="0" applyFont="1" applyFill="1" applyBorder="1" applyAlignment="1" applyProtection="1">
      <alignment horizontal="center" vertical="center"/>
      <protection/>
    </xf>
    <xf numFmtId="0" fontId="78" fillId="34" borderId="25" xfId="0" applyFont="1" applyFill="1" applyBorder="1" applyAlignment="1" applyProtection="1">
      <alignment horizontal="center" vertical="center"/>
      <protection/>
    </xf>
    <xf numFmtId="0" fontId="78" fillId="34" borderId="17" xfId="0" applyFont="1" applyFill="1" applyBorder="1" applyAlignment="1" applyProtection="1">
      <alignment horizontal="center" vertical="center"/>
      <protection/>
    </xf>
    <xf numFmtId="0" fontId="78" fillId="34" borderId="18" xfId="0" applyFont="1" applyFill="1" applyBorder="1" applyAlignment="1" applyProtection="1">
      <alignment horizontal="center" vertical="center"/>
      <protection/>
    </xf>
    <xf numFmtId="0" fontId="78" fillId="34" borderId="0" xfId="0" applyFont="1" applyFill="1" applyBorder="1" applyAlignment="1" applyProtection="1">
      <alignment horizontal="center" vertical="center"/>
      <protection/>
    </xf>
    <xf numFmtId="0" fontId="78" fillId="34" borderId="19" xfId="0" applyFont="1" applyFill="1" applyBorder="1" applyAlignment="1" applyProtection="1">
      <alignment horizontal="center" vertical="center"/>
      <protection/>
    </xf>
    <xf numFmtId="0" fontId="83" fillId="8" borderId="18" xfId="0" applyFont="1" applyFill="1" applyBorder="1" applyAlignment="1">
      <alignment horizontal="center" vertical="center" wrapText="1"/>
    </xf>
    <xf numFmtId="0" fontId="83" fillId="8" borderId="0" xfId="0" applyFont="1" applyFill="1" applyBorder="1" applyAlignment="1">
      <alignment horizontal="center" vertical="center" wrapText="1"/>
    </xf>
    <xf numFmtId="0" fontId="83" fillId="8" borderId="19" xfId="0" applyFont="1" applyFill="1" applyBorder="1" applyAlignment="1">
      <alignment horizontal="center" vertical="center" wrapText="1"/>
    </xf>
    <xf numFmtId="0" fontId="83" fillId="8" borderId="20" xfId="0" applyFont="1" applyFill="1" applyBorder="1" applyAlignment="1">
      <alignment horizontal="center" vertical="center" wrapText="1"/>
    </xf>
    <xf numFmtId="0" fontId="83" fillId="8" borderId="23" xfId="0" applyFont="1" applyFill="1" applyBorder="1" applyAlignment="1">
      <alignment horizontal="center" vertical="center" wrapText="1"/>
    </xf>
    <xf numFmtId="0" fontId="83" fillId="8" borderId="21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72" fillId="34" borderId="17" xfId="0" applyFont="1" applyFill="1" applyBorder="1" applyAlignment="1">
      <alignment horizontal="center" vertical="center"/>
    </xf>
    <xf numFmtId="0" fontId="72" fillId="34" borderId="20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 vertical="center"/>
    </xf>
    <xf numFmtId="0" fontId="72" fillId="34" borderId="21" xfId="0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7" fillId="8" borderId="20" xfId="0" applyFont="1" applyFill="1" applyBorder="1" applyAlignment="1">
      <alignment horizontal="right"/>
    </xf>
    <xf numFmtId="0" fontId="67" fillId="8" borderId="23" xfId="0" applyFont="1" applyFill="1" applyBorder="1" applyAlignment="1">
      <alignment horizontal="right"/>
    </xf>
    <xf numFmtId="167" fontId="67" fillId="8" borderId="19" xfId="0" applyNumberFormat="1" applyFont="1" applyFill="1" applyBorder="1" applyAlignment="1">
      <alignment horizontal="left"/>
    </xf>
    <xf numFmtId="167" fontId="67" fillId="8" borderId="21" xfId="0" applyNumberFormat="1" applyFont="1" applyFill="1" applyBorder="1" applyAlignment="1">
      <alignment horizontal="left"/>
    </xf>
    <xf numFmtId="0" fontId="67" fillId="8" borderId="18" xfId="0" applyFont="1" applyFill="1" applyBorder="1" applyAlignment="1" applyProtection="1">
      <alignment horizontal="center"/>
      <protection/>
    </xf>
    <xf numFmtId="0" fontId="67" fillId="8" borderId="0" xfId="0" applyFont="1" applyFill="1" applyBorder="1" applyAlignment="1" applyProtection="1">
      <alignment horizontal="center"/>
      <protection/>
    </xf>
    <xf numFmtId="0" fontId="67" fillId="8" borderId="19" xfId="0" applyFont="1" applyFill="1" applyBorder="1" applyAlignment="1" applyProtection="1">
      <alignment horizontal="center"/>
      <protection/>
    </xf>
    <xf numFmtId="0" fontId="67" fillId="8" borderId="16" xfId="0" applyFont="1" applyFill="1" applyBorder="1" applyAlignment="1">
      <alignment horizontal="center"/>
    </xf>
    <xf numFmtId="0" fontId="67" fillId="8" borderId="25" xfId="0" applyFont="1" applyFill="1" applyBorder="1" applyAlignment="1">
      <alignment horizontal="center"/>
    </xf>
    <xf numFmtId="0" fontId="67" fillId="8" borderId="17" xfId="0" applyFont="1" applyFill="1" applyBorder="1" applyAlignment="1">
      <alignment horizontal="center"/>
    </xf>
    <xf numFmtId="164" fontId="0" fillId="8" borderId="23" xfId="0" applyNumberFormat="1" applyFill="1" applyBorder="1" applyAlignment="1">
      <alignment horizontal="center" vertical="center"/>
    </xf>
    <xf numFmtId="164" fontId="0" fillId="8" borderId="18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64" fillId="8" borderId="18" xfId="0" applyFont="1" applyFill="1" applyBorder="1" applyAlignment="1">
      <alignment horizontal="center"/>
    </xf>
    <xf numFmtId="0" fontId="64" fillId="8" borderId="0" xfId="0" applyFont="1" applyFill="1" applyBorder="1" applyAlignment="1">
      <alignment horizontal="center"/>
    </xf>
    <xf numFmtId="164" fontId="0" fillId="8" borderId="20" xfId="0" applyNumberFormat="1" applyFill="1" applyBorder="1" applyAlignment="1">
      <alignment horizontal="center" vertical="center"/>
    </xf>
    <xf numFmtId="0" fontId="0" fillId="33" borderId="47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64" fillId="8" borderId="18" xfId="0" applyFont="1" applyFill="1" applyBorder="1" applyAlignment="1">
      <alignment horizontal="center" vertical="top"/>
    </xf>
    <xf numFmtId="0" fontId="64" fillId="8" borderId="0" xfId="0" applyFont="1" applyFill="1" applyBorder="1" applyAlignment="1">
      <alignment horizontal="center" vertical="top"/>
    </xf>
    <xf numFmtId="168" fontId="0" fillId="33" borderId="39" xfId="0" applyNumberForma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53" fillId="34" borderId="16" xfId="0" applyFont="1" applyFill="1" applyBorder="1" applyAlignment="1">
      <alignment horizontal="center" vertical="top" wrapText="1"/>
    </xf>
    <xf numFmtId="0" fontId="53" fillId="34" borderId="25" xfId="0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 wrapText="1"/>
    </xf>
    <xf numFmtId="0" fontId="53" fillId="34" borderId="20" xfId="0" applyFont="1" applyFill="1" applyBorder="1" applyAlignment="1">
      <alignment horizontal="center" vertical="top" wrapText="1"/>
    </xf>
    <xf numFmtId="0" fontId="53" fillId="34" borderId="23" xfId="0" applyFont="1" applyFill="1" applyBorder="1" applyAlignment="1">
      <alignment horizontal="center" vertical="top" wrapText="1"/>
    </xf>
    <xf numFmtId="0" fontId="53" fillId="34" borderId="21" xfId="0" applyFont="1" applyFill="1" applyBorder="1" applyAlignment="1">
      <alignment horizontal="center" vertical="top" wrapText="1"/>
    </xf>
    <xf numFmtId="0" fontId="64" fillId="8" borderId="0" xfId="0" applyFont="1" applyFill="1" applyBorder="1" applyAlignment="1">
      <alignment horizontal="right"/>
    </xf>
    <xf numFmtId="0" fontId="64" fillId="8" borderId="31" xfId="0" applyFont="1" applyFill="1" applyBorder="1" applyAlignment="1">
      <alignment horizontal="right"/>
    </xf>
    <xf numFmtId="0" fontId="64" fillId="8" borderId="19" xfId="0" applyFont="1" applyFill="1" applyBorder="1" applyAlignment="1">
      <alignment horizontal="center"/>
    </xf>
    <xf numFmtId="0" fontId="53" fillId="34" borderId="51" xfId="0" applyFont="1" applyFill="1" applyBorder="1" applyAlignment="1">
      <alignment horizontal="center"/>
    </xf>
    <xf numFmtId="0" fontId="53" fillId="34" borderId="52" xfId="0" applyFont="1" applyFill="1" applyBorder="1" applyAlignment="1">
      <alignment horizontal="center"/>
    </xf>
    <xf numFmtId="0" fontId="53" fillId="34" borderId="53" xfId="0" applyFont="1" applyFill="1" applyBorder="1" applyAlignment="1">
      <alignment horizontal="center"/>
    </xf>
    <xf numFmtId="0" fontId="64" fillId="8" borderId="18" xfId="0" applyFont="1" applyFill="1" applyBorder="1" applyAlignment="1" applyProtection="1">
      <alignment horizontal="right" vertical="center"/>
      <protection/>
    </xf>
    <xf numFmtId="0" fontId="64" fillId="8" borderId="0" xfId="0" applyFont="1" applyFill="1" applyBorder="1" applyAlignment="1" applyProtection="1">
      <alignment horizontal="right" vertical="center"/>
      <protection/>
    </xf>
    <xf numFmtId="0" fontId="64" fillId="8" borderId="18" xfId="0" applyFont="1" applyFill="1" applyBorder="1" applyAlignment="1" applyProtection="1">
      <alignment horizontal="center" vertical="center" wrapText="1"/>
      <protection/>
    </xf>
    <xf numFmtId="0" fontId="64" fillId="8" borderId="0" xfId="0" applyFont="1" applyFill="1" applyBorder="1" applyAlignment="1" applyProtection="1">
      <alignment horizontal="center" vertical="center" wrapText="1"/>
      <protection/>
    </xf>
    <xf numFmtId="0" fontId="64" fillId="8" borderId="0" xfId="0" applyFont="1" applyFill="1" applyBorder="1" applyAlignment="1" applyProtection="1">
      <alignment horizontal="center"/>
      <protection/>
    </xf>
    <xf numFmtId="0" fontId="53" fillId="34" borderId="16" xfId="0" applyFont="1" applyFill="1" applyBorder="1" applyAlignment="1" applyProtection="1">
      <alignment horizontal="center" vertical="top" wrapText="1"/>
      <protection/>
    </xf>
    <xf numFmtId="0" fontId="53" fillId="34" borderId="25" xfId="0" applyFont="1" applyFill="1" applyBorder="1" applyAlignment="1" applyProtection="1">
      <alignment horizontal="center" vertical="top" wrapText="1"/>
      <protection/>
    </xf>
    <xf numFmtId="0" fontId="53" fillId="34" borderId="17" xfId="0" applyFont="1" applyFill="1" applyBorder="1" applyAlignment="1" applyProtection="1">
      <alignment horizontal="center" vertical="top" wrapText="1"/>
      <protection/>
    </xf>
    <xf numFmtId="0" fontId="0" fillId="8" borderId="0" xfId="0" applyFill="1" applyBorder="1" applyAlignment="1" applyProtection="1">
      <alignment horizontal="center" vertical="center"/>
      <protection/>
    </xf>
    <xf numFmtId="0" fontId="0" fillId="8" borderId="19" xfId="0" applyFill="1" applyBorder="1" applyAlignment="1" applyProtection="1">
      <alignment horizontal="center" vertical="center"/>
      <protection/>
    </xf>
    <xf numFmtId="0" fontId="64" fillId="8" borderId="18" xfId="0" applyFont="1" applyFill="1" applyBorder="1" applyAlignment="1" applyProtection="1">
      <alignment horizontal="center"/>
      <protection/>
    </xf>
    <xf numFmtId="20" fontId="0" fillId="33" borderId="47" xfId="0" applyNumberFormat="1" applyFont="1" applyFill="1" applyBorder="1" applyAlignment="1" applyProtection="1">
      <alignment horizontal="center" vertical="center"/>
      <protection locked="0"/>
    </xf>
    <xf numFmtId="20" fontId="0" fillId="33" borderId="49" xfId="0" applyNumberFormat="1" applyFont="1" applyFill="1" applyBorder="1" applyAlignment="1" applyProtection="1">
      <alignment horizontal="center" vertical="center"/>
      <protection locked="0"/>
    </xf>
    <xf numFmtId="2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64" fillId="8" borderId="19" xfId="0" applyFont="1" applyFill="1" applyBorder="1" applyAlignment="1" applyProtection="1">
      <alignment horizontal="center" vertical="center" wrapText="1"/>
      <protection/>
    </xf>
    <xf numFmtId="20" fontId="0" fillId="33" borderId="12" xfId="0" applyNumberFormat="1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64" fillId="8" borderId="19" xfId="0" applyFont="1" applyFill="1" applyBorder="1" applyAlignment="1" applyProtection="1">
      <alignment horizontal="center"/>
      <protection/>
    </xf>
    <xf numFmtId="0" fontId="64" fillId="8" borderId="18" xfId="0" applyFont="1" applyFill="1" applyBorder="1" applyAlignment="1">
      <alignment horizontal="center" vertical="center"/>
    </xf>
    <xf numFmtId="0" fontId="64" fillId="8" borderId="0" xfId="0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8" borderId="23" xfId="0" applyNumberFormat="1" applyFill="1" applyBorder="1" applyAlignment="1">
      <alignment horizontal="center"/>
    </xf>
    <xf numFmtId="0" fontId="53" fillId="34" borderId="24" xfId="0" applyFont="1" applyFill="1" applyBorder="1" applyAlignment="1">
      <alignment horizontal="center" vertical="top" wrapText="1"/>
    </xf>
    <xf numFmtId="0" fontId="53" fillId="34" borderId="54" xfId="0" applyFont="1" applyFill="1" applyBorder="1" applyAlignment="1">
      <alignment horizontal="center" vertical="top" wrapText="1"/>
    </xf>
    <xf numFmtId="0" fontId="53" fillId="34" borderId="27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64" fillId="8" borderId="0" xfId="0" applyFont="1" applyFill="1" applyBorder="1" applyAlignment="1">
      <alignment horizontal="center" wrapText="1"/>
    </xf>
    <xf numFmtId="0" fontId="53" fillId="34" borderId="18" xfId="0" applyFont="1" applyFill="1" applyBorder="1" applyAlignment="1" applyProtection="1">
      <alignment horizontal="center" vertical="top" wrapText="1"/>
      <protection/>
    </xf>
    <xf numFmtId="0" fontId="53" fillId="34" borderId="0" xfId="0" applyFont="1" applyFill="1" applyBorder="1" applyAlignment="1" applyProtection="1">
      <alignment horizontal="center" vertical="top" wrapText="1"/>
      <protection/>
    </xf>
    <xf numFmtId="0" fontId="53" fillId="34" borderId="19" xfId="0" applyFont="1" applyFill="1" applyBorder="1" applyAlignment="1" applyProtection="1">
      <alignment horizontal="center" vertical="top" wrapText="1"/>
      <protection/>
    </xf>
    <xf numFmtId="0" fontId="53" fillId="34" borderId="24" xfId="0" applyFont="1" applyFill="1" applyBorder="1" applyAlignment="1">
      <alignment horizontal="center"/>
    </xf>
    <xf numFmtId="0" fontId="53" fillId="34" borderId="54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164" fontId="0" fillId="8" borderId="20" xfId="0" applyNumberFormat="1" applyFill="1" applyBorder="1" applyAlignment="1">
      <alignment horizontal="center"/>
    </xf>
    <xf numFmtId="0" fontId="71" fillId="34" borderId="24" xfId="0" applyFont="1" applyFill="1" applyBorder="1" applyAlignment="1" applyProtection="1">
      <alignment horizontal="center"/>
      <protection/>
    </xf>
    <xf numFmtId="0" fontId="71" fillId="34" borderId="54" xfId="0" applyFont="1" applyFill="1" applyBorder="1" applyAlignment="1" applyProtection="1">
      <alignment horizontal="center"/>
      <protection/>
    </xf>
    <xf numFmtId="0" fontId="0" fillId="8" borderId="23" xfId="0" applyFill="1" applyBorder="1" applyAlignment="1">
      <alignment horizontal="center"/>
    </xf>
    <xf numFmtId="0" fontId="0" fillId="8" borderId="55" xfId="0" applyFill="1" applyBorder="1" applyAlignment="1" applyProtection="1">
      <alignment horizontal="center" vertical="center"/>
      <protection/>
    </xf>
    <xf numFmtId="0" fontId="0" fillId="8" borderId="56" xfId="0" applyFill="1" applyBorder="1" applyAlignment="1" applyProtection="1">
      <alignment horizontal="center" vertical="center"/>
      <protection/>
    </xf>
    <xf numFmtId="14" fontId="0" fillId="33" borderId="57" xfId="0" applyNumberFormat="1" applyFill="1" applyBorder="1" applyAlignment="1" applyProtection="1">
      <alignment horizontal="center" vertical="center" wrapText="1"/>
      <protection locked="0"/>
    </xf>
    <xf numFmtId="14" fontId="0" fillId="33" borderId="58" xfId="0" applyNumberFormat="1" applyFill="1" applyBorder="1" applyAlignment="1" applyProtection="1">
      <alignment horizontal="center" vertical="center" wrapText="1"/>
      <protection locked="0"/>
    </xf>
    <xf numFmtId="0" fontId="84" fillId="0" borderId="12" xfId="0" applyFont="1" applyBorder="1" applyAlignment="1" applyProtection="1">
      <alignment horizontal="center" vertical="center" wrapText="1"/>
      <protection/>
    </xf>
    <xf numFmtId="0" fontId="84" fillId="0" borderId="36" xfId="0" applyFont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0" fontId="53" fillId="34" borderId="25" xfId="0" applyFont="1" applyFill="1" applyBorder="1" applyAlignment="1" applyProtection="1">
      <alignment horizontal="center" vertical="center" wrapText="1"/>
      <protection/>
    </xf>
    <xf numFmtId="0" fontId="53" fillId="34" borderId="17" xfId="0" applyFont="1" applyFill="1" applyBorder="1" applyAlignment="1" applyProtection="1">
      <alignment horizontal="center" vertical="center" wrapText="1"/>
      <protection/>
    </xf>
    <xf numFmtId="0" fontId="64" fillId="33" borderId="53" xfId="0" applyFont="1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77" fillId="8" borderId="18" xfId="0" applyFont="1" applyFill="1" applyBorder="1" applyAlignment="1" applyProtection="1">
      <alignment horizontal="left" vertical="center" wrapText="1"/>
      <protection/>
    </xf>
    <xf numFmtId="0" fontId="85" fillId="8" borderId="0" xfId="0" applyFont="1" applyFill="1" applyBorder="1" applyAlignment="1" applyProtection="1">
      <alignment horizontal="left" vertical="center" wrapText="1"/>
      <protection/>
    </xf>
    <xf numFmtId="0" fontId="77" fillId="8" borderId="0" xfId="0" applyFont="1" applyFill="1" applyBorder="1" applyAlignment="1" applyProtection="1">
      <alignment horizontal="center" vertical="center" wrapText="1"/>
      <protection/>
    </xf>
    <xf numFmtId="0" fontId="85" fillId="8" borderId="19" xfId="0" applyFont="1" applyFill="1" applyBorder="1" applyAlignment="1" applyProtection="1">
      <alignment horizontal="center" vertical="center" wrapText="1"/>
      <protection/>
    </xf>
    <xf numFmtId="0" fontId="77" fillId="8" borderId="19" xfId="0" applyFont="1" applyFill="1" applyBorder="1" applyAlignment="1" applyProtection="1">
      <alignment horizontal="center" vertical="center" wrapText="1"/>
      <protection/>
    </xf>
    <xf numFmtId="0" fontId="77" fillId="8" borderId="0" xfId="0" applyFont="1" applyFill="1" applyBorder="1" applyAlignment="1" applyProtection="1">
      <alignment horizontal="center" vertical="top" wrapText="1"/>
      <protection/>
    </xf>
    <xf numFmtId="0" fontId="77" fillId="8" borderId="19" xfId="0" applyFont="1" applyFill="1" applyBorder="1" applyAlignment="1" applyProtection="1">
      <alignment horizontal="center" vertical="top" wrapText="1"/>
      <protection/>
    </xf>
    <xf numFmtId="0" fontId="85" fillId="8" borderId="0" xfId="0" applyFont="1" applyFill="1" applyBorder="1" applyAlignment="1" applyProtection="1">
      <alignment horizontal="center" vertical="top" wrapText="1"/>
      <protection/>
    </xf>
    <xf numFmtId="0" fontId="85" fillId="8" borderId="19" xfId="0" applyFont="1" applyFill="1" applyBorder="1" applyAlignment="1" applyProtection="1">
      <alignment horizontal="center" vertical="top" wrapText="1"/>
      <protection/>
    </xf>
    <xf numFmtId="0" fontId="86" fillId="38" borderId="51" xfId="0" applyFont="1" applyFill="1" applyBorder="1" applyAlignment="1" applyProtection="1">
      <alignment horizontal="center" vertical="center" wrapText="1"/>
      <protection/>
    </xf>
    <xf numFmtId="0" fontId="86" fillId="38" borderId="60" xfId="0" applyFont="1" applyFill="1" applyBorder="1" applyAlignment="1" applyProtection="1">
      <alignment horizontal="center" vertical="center" wrapText="1"/>
      <protection/>
    </xf>
    <xf numFmtId="0" fontId="86" fillId="38" borderId="61" xfId="0" applyFont="1" applyFill="1" applyBorder="1" applyAlignment="1" applyProtection="1">
      <alignment horizontal="center" vertical="center" wrapText="1"/>
      <protection/>
    </xf>
    <xf numFmtId="164" fontId="86" fillId="0" borderId="53" xfId="0" applyNumberFormat="1" applyFont="1" applyFill="1" applyBorder="1" applyAlignment="1" applyProtection="1">
      <alignment horizontal="center" vertical="center"/>
      <protection/>
    </xf>
    <xf numFmtId="164" fontId="86" fillId="0" borderId="62" xfId="0" applyNumberFormat="1" applyFont="1" applyFill="1" applyBorder="1" applyAlignment="1" applyProtection="1">
      <alignment horizontal="center" vertical="center"/>
      <protection/>
    </xf>
    <xf numFmtId="164" fontId="86" fillId="0" borderId="59" xfId="0" applyNumberFormat="1" applyFont="1" applyFill="1" applyBorder="1" applyAlignment="1" applyProtection="1">
      <alignment horizontal="center" vertical="center"/>
      <protection/>
    </xf>
    <xf numFmtId="0" fontId="64" fillId="38" borderId="51" xfId="0" applyFont="1" applyFill="1" applyBorder="1" applyAlignment="1" applyProtection="1">
      <alignment horizontal="center" wrapText="1"/>
      <protection/>
    </xf>
    <xf numFmtId="0" fontId="64" fillId="38" borderId="61" xfId="0" applyFont="1" applyFill="1" applyBorder="1" applyAlignment="1" applyProtection="1">
      <alignment horizontal="center" wrapText="1"/>
      <protection/>
    </xf>
    <xf numFmtId="0" fontId="0" fillId="37" borderId="11" xfId="0" applyFill="1" applyBorder="1" applyAlignment="1" applyProtection="1">
      <alignment horizontal="left" vertical="center" wrapText="1"/>
      <protection hidden="1"/>
    </xf>
    <xf numFmtId="0" fontId="0" fillId="37" borderId="13" xfId="0" applyFill="1" applyBorder="1" applyAlignment="1" applyProtection="1">
      <alignment horizontal="left" vertical="center" wrapText="1"/>
      <protection hidden="1"/>
    </xf>
    <xf numFmtId="0" fontId="72" fillId="39" borderId="0" xfId="0" applyFont="1" applyFill="1" applyBorder="1" applyAlignment="1" applyProtection="1">
      <alignment horizontal="center" vertical="center"/>
      <protection hidden="1"/>
    </xf>
    <xf numFmtId="0" fontId="87" fillId="35" borderId="0" xfId="0" applyFont="1" applyFill="1" applyAlignment="1" applyProtection="1">
      <alignment horizontal="center" vertical="center"/>
      <protection hidden="1"/>
    </xf>
    <xf numFmtId="164" fontId="0" fillId="36" borderId="38" xfId="0" applyNumberFormat="1" applyFill="1" applyBorder="1" applyAlignment="1" applyProtection="1">
      <alignment horizontal="center" vertical="center"/>
      <protection hidden="1"/>
    </xf>
    <xf numFmtId="164" fontId="0" fillId="36" borderId="63" xfId="0" applyNumberFormat="1" applyFill="1" applyBorder="1" applyAlignment="1" applyProtection="1">
      <alignment horizontal="center" vertical="center"/>
      <protection hidden="1"/>
    </xf>
    <xf numFmtId="164" fontId="0" fillId="36" borderId="64" xfId="0" applyNumberFormat="1" applyFill="1" applyBorder="1" applyAlignment="1" applyProtection="1">
      <alignment horizontal="center" vertical="center"/>
      <protection hidden="1"/>
    </xf>
    <xf numFmtId="164" fontId="0" fillId="36" borderId="39" xfId="0" applyNumberFormat="1" applyFill="1" applyBorder="1" applyAlignment="1" applyProtection="1">
      <alignment horizontal="center" vertical="center"/>
      <protection hidden="1"/>
    </xf>
    <xf numFmtId="164" fontId="0" fillId="36" borderId="48" xfId="0" applyNumberFormat="1" applyFill="1" applyBorder="1" applyAlignment="1" applyProtection="1">
      <alignment horizontal="center" vertical="center"/>
      <protection hidden="1"/>
    </xf>
    <xf numFmtId="164" fontId="0" fillId="36" borderId="50" xfId="0" applyNumberFormat="1" applyFill="1" applyBorder="1" applyAlignment="1" applyProtection="1">
      <alignment horizontal="center" vertical="center"/>
      <protection hidden="1"/>
    </xf>
    <xf numFmtId="0" fontId="53" fillId="35" borderId="40" xfId="0" applyFont="1" applyFill="1" applyBorder="1" applyAlignment="1" applyProtection="1">
      <alignment horizontal="center" vertical="center"/>
      <protection hidden="1"/>
    </xf>
    <xf numFmtId="0" fontId="53" fillId="35" borderId="65" xfId="0" applyFont="1" applyFill="1" applyBorder="1" applyAlignment="1" applyProtection="1">
      <alignment horizontal="center" vertical="center"/>
      <protection hidden="1"/>
    </xf>
    <xf numFmtId="0" fontId="53" fillId="35" borderId="66" xfId="0" applyFont="1" applyFill="1" applyBorder="1" applyAlignment="1" applyProtection="1">
      <alignment horizontal="center" vertical="center"/>
      <protection hidden="1"/>
    </xf>
    <xf numFmtId="0" fontId="53" fillId="35" borderId="67" xfId="0" applyFont="1" applyFill="1" applyBorder="1" applyAlignment="1" applyProtection="1">
      <alignment horizontal="center" vertical="center" wrapText="1"/>
      <protection hidden="1"/>
    </xf>
    <xf numFmtId="0" fontId="53" fillId="35" borderId="68" xfId="0" applyFont="1" applyFill="1" applyBorder="1" applyAlignment="1" applyProtection="1">
      <alignment horizontal="center" vertical="center" wrapText="1"/>
      <protection hidden="1"/>
    </xf>
    <xf numFmtId="0" fontId="53" fillId="35" borderId="67" xfId="0" applyFont="1" applyFill="1" applyBorder="1" applyAlignment="1" applyProtection="1">
      <alignment horizontal="center" vertical="center"/>
      <protection hidden="1"/>
    </xf>
    <xf numFmtId="0" fontId="53" fillId="35" borderId="68" xfId="0" applyFont="1" applyFill="1" applyBorder="1" applyAlignment="1" applyProtection="1">
      <alignment horizontal="center" vertical="center"/>
      <protection hidden="1"/>
    </xf>
    <xf numFmtId="0" fontId="72" fillId="35" borderId="45" xfId="0" applyFont="1" applyFill="1" applyBorder="1" applyAlignment="1" applyProtection="1">
      <alignment horizontal="center" vertical="center"/>
      <protection hidden="1"/>
    </xf>
    <xf numFmtId="0" fontId="72" fillId="35" borderId="41" xfId="0" applyFont="1" applyFill="1" applyBorder="1" applyAlignment="1" applyProtection="1">
      <alignment horizontal="center" vertical="center"/>
      <protection hidden="1"/>
    </xf>
    <xf numFmtId="0" fontId="72" fillId="35" borderId="46" xfId="0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left" vertical="center" wrapText="1"/>
      <protection hidden="1"/>
    </xf>
    <xf numFmtId="0" fontId="0" fillId="37" borderId="12" xfId="0" applyFill="1" applyBorder="1" applyAlignment="1" applyProtection="1">
      <alignment horizontal="left" vertical="center" wrapText="1"/>
      <protection hidden="1"/>
    </xf>
    <xf numFmtId="0" fontId="0" fillId="35" borderId="41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164" fontId="0" fillId="36" borderId="12" xfId="0" applyNumberFormat="1" applyFill="1" applyBorder="1" applyAlignment="1">
      <alignment horizontal="center"/>
    </xf>
    <xf numFmtId="164" fontId="0" fillId="36" borderId="13" xfId="0" applyNumberFormat="1" applyFill="1" applyBorder="1" applyAlignment="1">
      <alignment horizontal="center"/>
    </xf>
    <xf numFmtId="0" fontId="50" fillId="35" borderId="41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164" fontId="0" fillId="36" borderId="12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64" fontId="0" fillId="36" borderId="41" xfId="0" applyNumberFormat="1" applyFill="1" applyBorder="1" applyAlignment="1">
      <alignment horizontal="center" vertical="center"/>
    </xf>
    <xf numFmtId="164" fontId="0" fillId="36" borderId="13" xfId="0" applyNumberFormat="1" applyFill="1" applyBorder="1" applyAlignment="1">
      <alignment horizontal="center" vertical="center"/>
    </xf>
    <xf numFmtId="0" fontId="87" fillId="35" borderId="0" xfId="0" applyFont="1" applyFill="1" applyAlignment="1">
      <alignment horizontal="center" vertical="center"/>
    </xf>
    <xf numFmtId="0" fontId="53" fillId="35" borderId="45" xfId="0" applyFont="1" applyFill="1" applyBorder="1" applyAlignment="1">
      <alignment horizontal="center" vertical="center" wrapText="1"/>
    </xf>
    <xf numFmtId="0" fontId="53" fillId="35" borderId="4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53" fillId="35" borderId="41" xfId="0" applyFont="1" applyFill="1" applyBorder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2" fillId="35" borderId="70" xfId="0" applyFont="1" applyFill="1" applyBorder="1" applyAlignment="1">
      <alignment horizontal="center" vertical="center"/>
    </xf>
    <xf numFmtId="164" fontId="0" fillId="36" borderId="71" xfId="0" applyNumberFormat="1" applyFill="1" applyBorder="1" applyAlignment="1">
      <alignment horizontal="left" vertical="center"/>
    </xf>
    <xf numFmtId="164" fontId="0" fillId="36" borderId="40" xfId="0" applyNumberFormat="1" applyFill="1" applyBorder="1" applyAlignment="1">
      <alignment horizontal="left" vertical="center"/>
    </xf>
    <xf numFmtId="0" fontId="72" fillId="35" borderId="45" xfId="0" applyFont="1" applyFill="1" applyBorder="1" applyAlignment="1">
      <alignment horizontal="center" vertical="center"/>
    </xf>
    <xf numFmtId="0" fontId="72" fillId="35" borderId="41" xfId="0" applyFont="1" applyFill="1" applyBorder="1" applyAlignment="1">
      <alignment horizontal="center" vertical="center"/>
    </xf>
    <xf numFmtId="0" fontId="72" fillId="35" borderId="46" xfId="0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center" vertical="center"/>
    </xf>
    <xf numFmtId="0" fontId="0" fillId="37" borderId="72" xfId="0" applyFill="1" applyBorder="1" applyAlignment="1">
      <alignment horizontal="left" vertical="center" wrapText="1"/>
    </xf>
    <xf numFmtId="0" fontId="0" fillId="37" borderId="63" xfId="0" applyFill="1" applyBorder="1" applyAlignment="1">
      <alignment horizontal="left" vertical="center" wrapText="1"/>
    </xf>
    <xf numFmtId="0" fontId="0" fillId="37" borderId="73" xfId="0" applyFill="1" applyBorder="1" applyAlignment="1">
      <alignment horizontal="left" vertical="center" wrapText="1"/>
    </xf>
    <xf numFmtId="0" fontId="53" fillId="35" borderId="46" xfId="0" applyFont="1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53" fillId="35" borderId="74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164" fontId="0" fillId="36" borderId="36" xfId="0" applyNumberForma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42" xfId="0" applyFont="1" applyFill="1" applyBorder="1" applyAlignment="1">
      <alignment horizontal="center" vertical="center" wrapText="1"/>
    </xf>
    <xf numFmtId="164" fontId="0" fillId="36" borderId="63" xfId="0" applyNumberFormat="1" applyFill="1" applyBorder="1" applyAlignment="1">
      <alignment horizontal="left" vertical="center"/>
    </xf>
    <xf numFmtId="164" fontId="0" fillId="36" borderId="73" xfId="0" applyNumberFormat="1" applyFill="1" applyBorder="1" applyAlignment="1">
      <alignment horizontal="left" vertical="center"/>
    </xf>
    <xf numFmtId="164" fontId="0" fillId="36" borderId="49" xfId="0" applyNumberFormat="1" applyFill="1" applyBorder="1" applyAlignment="1">
      <alignment horizontal="left" vertical="center"/>
    </xf>
    <xf numFmtId="164" fontId="0" fillId="36" borderId="12" xfId="0" applyNumberFormat="1" applyFill="1" applyBorder="1" applyAlignment="1">
      <alignment horizontal="left" vertical="center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40" xfId="0" applyFont="1" applyFill="1" applyBorder="1" applyAlignment="1">
      <alignment horizontal="center" vertical="center"/>
    </xf>
    <xf numFmtId="164" fontId="0" fillId="36" borderId="39" xfId="0" applyNumberFormat="1" applyFill="1" applyBorder="1" applyAlignment="1">
      <alignment horizontal="center" vertical="center"/>
    </xf>
    <xf numFmtId="164" fontId="0" fillId="36" borderId="38" xfId="0" applyNumberFormat="1" applyFill="1" applyBorder="1" applyAlignment="1">
      <alignment horizontal="left" vertical="center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164" fontId="0" fillId="36" borderId="39" xfId="0" applyNumberFormat="1" applyFill="1" applyBorder="1" applyAlignment="1">
      <alignment horizontal="left" vertical="center"/>
    </xf>
    <xf numFmtId="0" fontId="53" fillId="35" borderId="28" xfId="0" applyFont="1" applyFill="1" applyBorder="1" applyAlignment="1">
      <alignment horizontal="center" vertical="center" wrapText="1"/>
    </xf>
    <xf numFmtId="0" fontId="53" fillId="35" borderId="75" xfId="0" applyFont="1" applyFill="1" applyBorder="1" applyAlignment="1">
      <alignment horizontal="center" vertical="center" wrapText="1"/>
    </xf>
    <xf numFmtId="0" fontId="53" fillId="35" borderId="65" xfId="0" applyFont="1" applyFill="1" applyBorder="1" applyAlignment="1">
      <alignment horizontal="center" vertical="center" wrapText="1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53" fillId="35" borderId="65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5" borderId="76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ont>
        <b val="0"/>
        <i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name val="Cambria"/>
        <color theme="0" tint="-0.149959996342659"/>
      </font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auto="1"/>
      </font>
      <fill>
        <patternFill>
          <bgColor rgb="FFFFFF00"/>
        </patternFill>
      </fill>
    </dxf>
    <dxf>
      <font>
        <name val="Cambria"/>
        <color theme="0" tint="-0.149959996342659"/>
      </font>
    </dxf>
    <dxf>
      <font>
        <color rgb="FFFF0000"/>
      </font>
      <fill>
        <patternFill>
          <fgColor theme="0"/>
          <bgColor theme="5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fgColor theme="5" tint="0.39991000294685364"/>
          <bgColor theme="5" tint="0.3999499976634979"/>
        </patternFill>
      </fill>
    </dxf>
    <dxf>
      <font>
        <color rgb="FFFF0000"/>
      </font>
      <fill>
        <patternFill>
          <bgColor theme="5" tint="0.3999499976634979"/>
        </patternFill>
      </fill>
    </dxf>
    <dxf>
      <font>
        <color theme="4" tint="0.5999600291252136"/>
      </font>
    </dxf>
    <dxf>
      <font>
        <color theme="4" tint="0.5999600291252136"/>
      </font>
    </dxf>
    <dxf>
      <font>
        <color theme="4" tint="0.5999600291252136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4" tint="0.5999600291252136"/>
      </font>
    </dxf>
    <dxf>
      <font>
        <color theme="4" tint="0.5999600291252136"/>
      </font>
      <border/>
    </dxf>
    <dxf>
      <font>
        <color rgb="FFFF0000"/>
      </font>
      <border/>
    </dxf>
    <dxf>
      <font>
        <color rgb="FFFF0000"/>
      </font>
      <fill>
        <patternFill>
          <bgColor theme="5" tint="0.3999499976634979"/>
        </patternFill>
      </fill>
      <border/>
    </dxf>
    <dxf>
      <font>
        <color rgb="FFFF0000"/>
      </font>
      <fill>
        <patternFill>
          <fgColor theme="5" tint="0.39991000294685364"/>
          <bgColor theme="5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FF0000"/>
      </font>
      <fill>
        <patternFill>
          <fgColor theme="0"/>
          <bgColor theme="5" tint="0.3999499976634979"/>
        </patternFill>
      </fill>
      <border/>
    </dxf>
    <dxf>
      <font>
        <color theme="0" tint="-0.149959996342659"/>
      </font>
      <border/>
    </dxf>
    <dxf>
      <font>
        <b val="0"/>
        <i/>
        <color auto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A91"/>
  <sheetViews>
    <sheetView showGridLines="0"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2.28125" style="0" customWidth="1"/>
    <col min="2" max="2" width="48.28125" style="0" customWidth="1"/>
    <col min="3" max="3" width="2.7109375" style="0" customWidth="1"/>
    <col min="4" max="4" width="25.00390625" style="0" bestFit="1" customWidth="1"/>
    <col min="5" max="5" width="2.8515625" style="0" customWidth="1"/>
    <col min="6" max="6" width="27.57421875" style="0" bestFit="1" customWidth="1"/>
    <col min="7" max="7" width="2.28125" style="0" customWidth="1"/>
    <col min="8" max="8" width="41.421875" style="0" customWidth="1"/>
    <col min="9" max="9" width="2.7109375" style="0" customWidth="1"/>
    <col min="10" max="10" width="25.00390625" style="0" bestFit="1" customWidth="1"/>
    <col min="11" max="11" width="2.8515625" style="0" customWidth="1"/>
    <col min="12" max="12" width="21.7109375" style="0" customWidth="1"/>
    <col min="13" max="13" width="10.421875" style="0" customWidth="1"/>
    <col min="14" max="14" width="26.28125" style="0" hidden="1" customWidth="1"/>
    <col min="15" max="15" width="12.00390625" style="0" hidden="1" customWidth="1"/>
    <col min="16" max="16" width="21.57421875" style="0" hidden="1" customWidth="1"/>
    <col min="17" max="17" width="16.7109375" style="0" hidden="1" customWidth="1"/>
    <col min="18" max="22" width="9.140625" style="0" hidden="1" customWidth="1"/>
    <col min="23" max="23" width="13.140625" style="0" hidden="1" customWidth="1"/>
    <col min="24" max="26" width="9.140625" style="0" hidden="1" customWidth="1"/>
    <col min="27" max="28" width="9.140625" style="0" customWidth="1"/>
  </cols>
  <sheetData>
    <row r="1" ht="15.75" thickBot="1">
      <c r="Y1" s="1" t="s">
        <v>11</v>
      </c>
    </row>
    <row r="2" spans="2:25" ht="16.5" customHeight="1">
      <c r="B2" s="312" t="s">
        <v>480</v>
      </c>
      <c r="C2" s="313"/>
      <c r="D2" s="313"/>
      <c r="E2" s="313"/>
      <c r="F2" s="314"/>
      <c r="H2" s="312" t="s">
        <v>230</v>
      </c>
      <c r="I2" s="313"/>
      <c r="J2" s="313"/>
      <c r="K2" s="313"/>
      <c r="L2" s="314"/>
      <c r="N2" t="str">
        <f>IF(U12&gt;1,N3,CONCATENATE(P2,Q3,F6,Q12,Q16))</f>
        <v> Click HereClick HereNoYes</v>
      </c>
      <c r="P2" t="str">
        <f>VLOOKUP(B6,N4:P17,3,0)</f>
        <v> </v>
      </c>
      <c r="Q2" s="179" t="str">
        <f>IF(B6="Judicial Review","High Court",VLOOKUP(U12,V13:W21,2,0))</f>
        <v>  </v>
      </c>
      <c r="T2" t="s">
        <v>32</v>
      </c>
      <c r="U2" t="e">
        <f>VLOOKUP($N$2,Vlookup!$A:$P,3,0)</f>
        <v>#N/A</v>
      </c>
      <c r="Y2" t="s">
        <v>162</v>
      </c>
    </row>
    <row r="3" spans="2:25" ht="28.5" customHeight="1">
      <c r="B3" s="315"/>
      <c r="C3" s="316"/>
      <c r="D3" s="316"/>
      <c r="E3" s="316"/>
      <c r="F3" s="317"/>
      <c r="H3" s="315"/>
      <c r="I3" s="316"/>
      <c r="J3" s="316"/>
      <c r="K3" s="316"/>
      <c r="L3" s="317"/>
      <c r="N3" t="str">
        <f>CONCATENATE(P2,Q2,F6,Q12,Q16)</f>
        <v>   Click HereNoYes</v>
      </c>
      <c r="Q3" t="str">
        <f>IF(B6="Judicial Review","High Court",D6)</f>
        <v>Click Here</v>
      </c>
      <c r="T3" t="s">
        <v>43</v>
      </c>
      <c r="U3" t="e">
        <f>VLOOKUP($N$2,Vlookup!$A:$P,8,0)</f>
        <v>#N/A</v>
      </c>
      <c r="Y3" t="s">
        <v>163</v>
      </c>
    </row>
    <row r="4" spans="2:25" ht="15" customHeight="1">
      <c r="B4" s="91"/>
      <c r="C4" s="92"/>
      <c r="D4" s="92"/>
      <c r="E4" s="92"/>
      <c r="F4" s="93"/>
      <c r="H4" s="318" t="s">
        <v>231</v>
      </c>
      <c r="I4" s="319"/>
      <c r="J4" s="319"/>
      <c r="K4" s="319"/>
      <c r="L4" s="320"/>
      <c r="N4" s="1" t="s">
        <v>11</v>
      </c>
      <c r="O4" s="1">
        <f>IF(N4=$B$6,1,0)</f>
        <v>1</v>
      </c>
      <c r="P4" s="1" t="s">
        <v>76</v>
      </c>
      <c r="Q4" s="1" t="s">
        <v>11</v>
      </c>
      <c r="R4" s="1">
        <f>IF(Q4=$D$6,1,0)</f>
        <v>1</v>
      </c>
      <c r="T4" t="s">
        <v>44</v>
      </c>
      <c r="U4" t="e">
        <f>VLOOKUP($N$2,Vlookup!$A:$P,9,0)</f>
        <v>#N/A</v>
      </c>
      <c r="Y4" t="s">
        <v>164</v>
      </c>
    </row>
    <row r="5" spans="2:25" ht="21.75" customHeight="1" thickBot="1">
      <c r="B5" s="135" t="s">
        <v>18</v>
      </c>
      <c r="C5" s="136"/>
      <c r="D5" s="136" t="s">
        <v>19</v>
      </c>
      <c r="E5" s="136"/>
      <c r="F5" s="137" t="s">
        <v>20</v>
      </c>
      <c r="H5" s="321" t="s">
        <v>233</v>
      </c>
      <c r="I5" s="322"/>
      <c r="J5" s="322"/>
      <c r="K5" s="322"/>
      <c r="L5" s="323"/>
      <c r="N5" s="1" t="s">
        <v>91</v>
      </c>
      <c r="O5" s="1">
        <f aca="true" t="shared" si="0" ref="O5:O17">IF(N5=$B$6,1,0)</f>
        <v>0</v>
      </c>
      <c r="P5" t="s">
        <v>372</v>
      </c>
      <c r="Q5" t="s">
        <v>23</v>
      </c>
      <c r="R5" s="2">
        <f>IF(Q5=$D$6,1,0)</f>
        <v>0</v>
      </c>
      <c r="T5" t="s">
        <v>45</v>
      </c>
      <c r="U5" t="e">
        <f>VLOOKUP($N$2,Vlookup!$A:$P,10,0)</f>
        <v>#N/A</v>
      </c>
      <c r="Y5" t="s">
        <v>165</v>
      </c>
    </row>
    <row r="6" spans="2:25" ht="21">
      <c r="B6" s="88" t="s">
        <v>11</v>
      </c>
      <c r="C6" s="117"/>
      <c r="D6" s="89" t="s">
        <v>11</v>
      </c>
      <c r="E6" s="117"/>
      <c r="F6" s="90" t="s">
        <v>11</v>
      </c>
      <c r="H6" s="115" t="s">
        <v>73</v>
      </c>
      <c r="I6" s="113"/>
      <c r="J6" s="41"/>
      <c r="K6" s="41"/>
      <c r="L6" s="50"/>
      <c r="N6" t="s">
        <v>92</v>
      </c>
      <c r="O6" s="1">
        <f t="shared" si="0"/>
        <v>0</v>
      </c>
      <c r="P6" t="s">
        <v>89</v>
      </c>
      <c r="Q6" t="s">
        <v>22</v>
      </c>
      <c r="R6" s="2">
        <f>IF(Q6=$D$6,1,0)</f>
        <v>0</v>
      </c>
      <c r="T6" t="s">
        <v>83</v>
      </c>
      <c r="U6" t="e">
        <f>VLOOKUP($N$2,Vlookup!$A:$P,11,0)</f>
        <v>#N/A</v>
      </c>
      <c r="Y6" t="s">
        <v>166</v>
      </c>
    </row>
    <row r="7" spans="2:25" ht="7.5" customHeight="1">
      <c r="B7" s="197"/>
      <c r="C7" s="198"/>
      <c r="D7" s="199"/>
      <c r="E7" s="198"/>
      <c r="F7" s="200"/>
      <c r="H7" s="115"/>
      <c r="I7" s="113"/>
      <c r="J7" s="41"/>
      <c r="K7" s="41"/>
      <c r="L7" s="50"/>
      <c r="N7" t="s">
        <v>93</v>
      </c>
      <c r="O7" s="1">
        <f t="shared" si="0"/>
        <v>0</v>
      </c>
      <c r="P7" t="s">
        <v>88</v>
      </c>
      <c r="Q7" t="s">
        <v>21</v>
      </c>
      <c r="R7" s="2">
        <f>IF(Q7=$D$6,1,0)</f>
        <v>0</v>
      </c>
      <c r="T7" t="s">
        <v>84</v>
      </c>
      <c r="U7" t="e">
        <f>VLOOKUP($N$2,Vlookup!$A:$P,12,0)</f>
        <v>#N/A</v>
      </c>
      <c r="Y7" t="s">
        <v>167</v>
      </c>
    </row>
    <row r="8" spans="2:25" ht="22.5" customHeight="1">
      <c r="B8" s="191" t="s">
        <v>371</v>
      </c>
      <c r="C8" s="188"/>
      <c r="D8" s="192"/>
      <c r="E8" s="188"/>
      <c r="F8" s="189"/>
      <c r="H8" s="172" t="s">
        <v>11</v>
      </c>
      <c r="I8" s="113"/>
      <c r="J8" s="114" t="s">
        <v>232</v>
      </c>
      <c r="K8" s="114"/>
      <c r="L8" s="116" t="s">
        <v>9</v>
      </c>
      <c r="N8" t="s">
        <v>94</v>
      </c>
      <c r="O8" s="1">
        <f t="shared" si="0"/>
        <v>0</v>
      </c>
      <c r="P8" t="s">
        <v>88</v>
      </c>
      <c r="Q8" t="s">
        <v>350</v>
      </c>
      <c r="R8" s="2">
        <f>IF(Q8=$D$6,1,0)</f>
        <v>0</v>
      </c>
      <c r="T8" t="s">
        <v>37</v>
      </c>
      <c r="U8" t="e">
        <f>VLOOKUP($N$2,Vlookup!$A:$P,13,0)</f>
        <v>#N/A</v>
      </c>
      <c r="Y8" t="s">
        <v>168</v>
      </c>
    </row>
    <row r="9" spans="2:25" ht="69" customHeight="1">
      <c r="B9" s="329">
        <f>IF(W11=TRUE,"Please Select Level of Judge:","")</f>
      </c>
      <c r="C9" s="330"/>
      <c r="D9" s="330"/>
      <c r="E9" s="330"/>
      <c r="F9" s="331"/>
      <c r="H9" s="168" t="s">
        <v>303</v>
      </c>
      <c r="I9" s="41"/>
      <c r="J9" s="41"/>
      <c r="K9" s="41"/>
      <c r="L9" s="50"/>
      <c r="N9" t="s">
        <v>12</v>
      </c>
      <c r="O9" s="1">
        <f t="shared" si="0"/>
        <v>0</v>
      </c>
      <c r="P9" t="s">
        <v>88</v>
      </c>
      <c r="T9" t="s">
        <v>95</v>
      </c>
      <c r="U9" t="e">
        <f>VLOOKUP($N$2,Vlookup!$A:$P,14,0)</f>
        <v>#N/A</v>
      </c>
      <c r="Y9" t="s">
        <v>169</v>
      </c>
    </row>
    <row r="10" spans="2:25" ht="21" customHeight="1">
      <c r="B10" s="190" t="s">
        <v>247</v>
      </c>
      <c r="C10" s="117"/>
      <c r="D10" s="339" t="s">
        <v>130</v>
      </c>
      <c r="E10" s="340"/>
      <c r="F10" s="341"/>
      <c r="H10" s="172" t="s">
        <v>11</v>
      </c>
      <c r="I10" s="167"/>
      <c r="J10" s="186">
        <f>IF($H$8="Click Here",0,VLOOKUP($H$8,Experts!$A:$M,O25,0))</f>
        <v>0</v>
      </c>
      <c r="K10" s="43"/>
      <c r="L10" s="187">
        <f>IF($H$8="Click Here",0,VLOOKUP($H$8,Experts!$A:$M,P25,0))</f>
        <v>0</v>
      </c>
      <c r="N10" t="s">
        <v>13</v>
      </c>
      <c r="O10" s="1">
        <f t="shared" si="0"/>
        <v>0</v>
      </c>
      <c r="P10" t="s">
        <v>90</v>
      </c>
      <c r="Q10" t="s">
        <v>9</v>
      </c>
      <c r="T10" t="s">
        <v>96</v>
      </c>
      <c r="U10" t="e">
        <f>VLOOKUP($N$2,Vlookup!$A:$P,15,0)</f>
        <v>#N/A</v>
      </c>
      <c r="W10" s="96">
        <v>41750</v>
      </c>
      <c r="Y10" t="s">
        <v>170</v>
      </c>
    </row>
    <row r="11" spans="2:25" ht="15.75" customHeight="1">
      <c r="B11" s="338" t="s">
        <v>469</v>
      </c>
      <c r="C11" s="278"/>
      <c r="D11" s="278"/>
      <c r="E11" s="278"/>
      <c r="F11" s="279"/>
      <c r="H11" s="363">
        <f>IF($H$8="Click Here",0,VLOOKUP($H$8,Experts!$A:$M,Q25,0))</f>
        <v>0</v>
      </c>
      <c r="I11" s="364"/>
      <c r="J11" s="364"/>
      <c r="K11" s="364"/>
      <c r="L11" s="365"/>
      <c r="N11" t="s">
        <v>351</v>
      </c>
      <c r="O11" s="1">
        <f t="shared" si="0"/>
        <v>0</v>
      </c>
      <c r="P11" t="s">
        <v>90</v>
      </c>
      <c r="Q11" s="9" t="b">
        <v>0</v>
      </c>
      <c r="T11" t="s">
        <v>86</v>
      </c>
      <c r="U11" t="e">
        <f>VLOOKUP($N$2,Vlookup!$A:$P,16,0)</f>
        <v>#N/A</v>
      </c>
      <c r="W11" t="b">
        <f>OR(F6=N49,D8&gt;W10)</f>
        <v>0</v>
      </c>
      <c r="Y11" t="s">
        <v>171</v>
      </c>
    </row>
    <row r="12" spans="2:25" ht="51.75" customHeight="1" thickBot="1">
      <c r="B12" s="338"/>
      <c r="C12" s="278"/>
      <c r="D12" s="278"/>
      <c r="E12" s="278"/>
      <c r="F12" s="279"/>
      <c r="H12" s="366"/>
      <c r="I12" s="367"/>
      <c r="J12" s="367"/>
      <c r="K12" s="367"/>
      <c r="L12" s="368"/>
      <c r="N12" t="s">
        <v>352</v>
      </c>
      <c r="O12" s="1">
        <f t="shared" si="0"/>
        <v>0</v>
      </c>
      <c r="P12" t="s">
        <v>88</v>
      </c>
      <c r="Q12" t="str">
        <f>IF(Q11=FALSE,"No","Yes")</f>
        <v>No</v>
      </c>
      <c r="U12">
        <f>IF(W11=TRUE,U13,1)</f>
        <v>1</v>
      </c>
      <c r="Y12" t="s">
        <v>172</v>
      </c>
    </row>
    <row r="13" spans="2:25" ht="17.25" customHeight="1" thickBot="1">
      <c r="B13" s="277"/>
      <c r="C13" s="278"/>
      <c r="D13" s="278"/>
      <c r="E13" s="278"/>
      <c r="F13" s="279"/>
      <c r="N13" t="s">
        <v>14</v>
      </c>
      <c r="O13" s="1">
        <f t="shared" si="0"/>
        <v>0</v>
      </c>
      <c r="P13" t="s">
        <v>90</v>
      </c>
      <c r="T13" t="s">
        <v>361</v>
      </c>
      <c r="U13" s="9">
        <v>1</v>
      </c>
      <c r="V13">
        <v>1</v>
      </c>
      <c r="W13" t="s">
        <v>370</v>
      </c>
      <c r="Y13" t="s">
        <v>173</v>
      </c>
    </row>
    <row r="14" spans="2:25" ht="3.75" customHeight="1">
      <c r="B14" s="277"/>
      <c r="C14" s="278"/>
      <c r="D14" s="278"/>
      <c r="E14" s="278"/>
      <c r="F14" s="279"/>
      <c r="H14" s="357" t="s">
        <v>241</v>
      </c>
      <c r="I14" s="358"/>
      <c r="J14" s="358"/>
      <c r="K14" s="358"/>
      <c r="L14" s="359"/>
      <c r="N14" t="s">
        <v>15</v>
      </c>
      <c r="O14" s="1">
        <f t="shared" si="0"/>
        <v>0</v>
      </c>
      <c r="P14" t="s">
        <v>90</v>
      </c>
      <c r="Q14" t="s">
        <v>8</v>
      </c>
      <c r="T14" t="s">
        <v>362</v>
      </c>
      <c r="V14">
        <v>2</v>
      </c>
      <c r="W14" t="s">
        <v>23</v>
      </c>
      <c r="Y14" t="s">
        <v>174</v>
      </c>
    </row>
    <row r="15" spans="2:25" ht="21" customHeight="1">
      <c r="B15" s="332" t="e">
        <f>U2</f>
        <v>#N/A</v>
      </c>
      <c r="C15" s="333"/>
      <c r="D15" s="334"/>
      <c r="E15" s="41"/>
      <c r="F15" s="50"/>
      <c r="H15" s="360"/>
      <c r="I15" s="361"/>
      <c r="J15" s="361"/>
      <c r="K15" s="361"/>
      <c r="L15" s="362"/>
      <c r="N15" t="s">
        <v>16</v>
      </c>
      <c r="O15" s="1">
        <f t="shared" si="0"/>
        <v>0</v>
      </c>
      <c r="P15" t="s">
        <v>90</v>
      </c>
      <c r="Q15" s="9" t="b">
        <v>1</v>
      </c>
      <c r="T15" t="s">
        <v>363</v>
      </c>
      <c r="V15">
        <v>3</v>
      </c>
      <c r="W15" t="s">
        <v>23</v>
      </c>
      <c r="Y15" t="s">
        <v>175</v>
      </c>
    </row>
    <row r="16" spans="2:25" ht="21" customHeight="1">
      <c r="B16" s="7" t="s">
        <v>0</v>
      </c>
      <c r="C16" s="117"/>
      <c r="D16" s="8" t="e">
        <f aca="true" t="shared" si="1" ref="D16:D24">U3</f>
        <v>#N/A</v>
      </c>
      <c r="E16" s="41"/>
      <c r="F16" s="365" t="str">
        <f>IF(T60=TRUE,T61,VLOOKUP(F6,N31:P49,3,0))</f>
        <v> </v>
      </c>
      <c r="H16" s="335" t="s">
        <v>468</v>
      </c>
      <c r="I16" s="336"/>
      <c r="J16" s="336"/>
      <c r="K16" s="336"/>
      <c r="L16" s="337"/>
      <c r="N16" t="s">
        <v>291</v>
      </c>
      <c r="O16" s="1">
        <f>IF(N16=$B$6,1,0)</f>
        <v>0</v>
      </c>
      <c r="P16" t="s">
        <v>90</v>
      </c>
      <c r="Q16" t="str">
        <f>IF(Q15=FALSE,"No","Yes")</f>
        <v>Yes</v>
      </c>
      <c r="T16" t="s">
        <v>364</v>
      </c>
      <c r="V16">
        <v>4</v>
      </c>
      <c r="W16" t="s">
        <v>23</v>
      </c>
      <c r="Y16" t="s">
        <v>176</v>
      </c>
    </row>
    <row r="17" spans="2:25" ht="21">
      <c r="B17" s="3" t="s">
        <v>1</v>
      </c>
      <c r="C17" s="117"/>
      <c r="D17" s="5" t="e">
        <f t="shared" si="1"/>
        <v>#N/A</v>
      </c>
      <c r="E17" s="41"/>
      <c r="F17" s="365"/>
      <c r="H17" s="381" t="s">
        <v>242</v>
      </c>
      <c r="I17" s="382"/>
      <c r="J17" s="382"/>
      <c r="K17" s="382"/>
      <c r="L17" s="383"/>
      <c r="N17" t="s">
        <v>17</v>
      </c>
      <c r="O17" s="1">
        <f t="shared" si="0"/>
        <v>0</v>
      </c>
      <c r="P17" t="s">
        <v>90</v>
      </c>
      <c r="T17" t="s">
        <v>365</v>
      </c>
      <c r="V17">
        <v>5</v>
      </c>
      <c r="W17" t="s">
        <v>22</v>
      </c>
      <c r="Y17" t="s">
        <v>177</v>
      </c>
    </row>
    <row r="18" spans="2:25" ht="21">
      <c r="B18" s="3" t="s">
        <v>2</v>
      </c>
      <c r="C18" s="117"/>
      <c r="D18" s="5" t="e">
        <f t="shared" si="1"/>
        <v>#N/A</v>
      </c>
      <c r="E18" s="41"/>
      <c r="F18" s="365"/>
      <c r="H18" s="326" t="s">
        <v>11</v>
      </c>
      <c r="I18" s="327"/>
      <c r="J18" s="327"/>
      <c r="K18" s="327"/>
      <c r="L18" s="328"/>
      <c r="N18" s="1" t="s">
        <v>11</v>
      </c>
      <c r="O18" s="1">
        <f aca="true" t="shared" si="2" ref="O18:O23">IF(N18=$F$6,1,0)</f>
        <v>1</v>
      </c>
      <c r="P18" s="1"/>
      <c r="T18" t="s">
        <v>366</v>
      </c>
      <c r="V18">
        <v>6</v>
      </c>
      <c r="W18" t="s">
        <v>22</v>
      </c>
      <c r="Y18" t="s">
        <v>178</v>
      </c>
    </row>
    <row r="19" spans="2:25" ht="21">
      <c r="B19" s="3" t="s">
        <v>407</v>
      </c>
      <c r="C19" s="117"/>
      <c r="D19" s="5" t="e">
        <f t="shared" si="1"/>
        <v>#N/A</v>
      </c>
      <c r="E19" s="41"/>
      <c r="F19" s="365"/>
      <c r="H19" s="326"/>
      <c r="I19" s="327"/>
      <c r="J19" s="327"/>
      <c r="K19" s="327"/>
      <c r="L19" s="328"/>
      <c r="N19" t="e">
        <f aca="true" t="shared" si="3" ref="N19:N24">P19</f>
        <v>#N/A</v>
      </c>
      <c r="O19" s="1" t="e">
        <f t="shared" si="2"/>
        <v>#N/A</v>
      </c>
      <c r="P19" t="e">
        <f aca="true" t="shared" si="4" ref="P19:P24">IF($P$2=0,0,VLOOKUP($P$2,$N$31:$T$34,Q19,0))</f>
        <v>#N/A</v>
      </c>
      <c r="Q19">
        <v>2</v>
      </c>
      <c r="T19" t="s">
        <v>367</v>
      </c>
      <c r="V19">
        <v>7</v>
      </c>
      <c r="W19" t="s">
        <v>22</v>
      </c>
      <c r="Y19" t="s">
        <v>179</v>
      </c>
    </row>
    <row r="20" spans="2:25" ht="21">
      <c r="B20" s="3" t="s">
        <v>3</v>
      </c>
      <c r="C20" s="117"/>
      <c r="D20" s="5" t="e">
        <f t="shared" si="1"/>
        <v>#N/A</v>
      </c>
      <c r="E20" s="41"/>
      <c r="F20" s="365"/>
      <c r="H20" s="164" t="s">
        <v>160</v>
      </c>
      <c r="I20" s="165"/>
      <c r="J20" s="165" t="s">
        <v>9</v>
      </c>
      <c r="K20" s="118"/>
      <c r="L20" s="119"/>
      <c r="N20" t="e">
        <f t="shared" si="3"/>
        <v>#N/A</v>
      </c>
      <c r="O20" s="1" t="e">
        <f t="shared" si="2"/>
        <v>#N/A</v>
      </c>
      <c r="P20" t="e">
        <f t="shared" si="4"/>
        <v>#N/A</v>
      </c>
      <c r="Q20">
        <v>3</v>
      </c>
      <c r="T20" t="s">
        <v>368</v>
      </c>
      <c r="V20">
        <v>8</v>
      </c>
      <c r="W20" t="s">
        <v>21</v>
      </c>
      <c r="Y20" t="s">
        <v>180</v>
      </c>
    </row>
    <row r="21" spans="2:25" ht="21">
      <c r="B21" s="3" t="s">
        <v>4</v>
      </c>
      <c r="C21" s="117"/>
      <c r="D21" s="5" t="e">
        <f t="shared" si="1"/>
        <v>#N/A</v>
      </c>
      <c r="E21" s="41"/>
      <c r="F21" s="365"/>
      <c r="H21" s="120">
        <f>IF(T60=TRUE,"",IF($H$18="Click Here",0,VLOOKUP($H$18,$Y$66:$AA$74,2,0)))</f>
        <v>0</v>
      </c>
      <c r="I21" s="121"/>
      <c r="J21" s="122">
        <f>IF(T60=TRUE,"",IF($H$18="Click Here",0,VLOOKUP($H$18,$Y$66:$AA$74,3,0)))</f>
        <v>0</v>
      </c>
      <c r="K21" s="121"/>
      <c r="L21" s="123"/>
      <c r="N21" t="e">
        <f t="shared" si="3"/>
        <v>#N/A</v>
      </c>
      <c r="O21" s="1" t="e">
        <f t="shared" si="2"/>
        <v>#N/A</v>
      </c>
      <c r="P21" t="e">
        <f t="shared" si="4"/>
        <v>#N/A</v>
      </c>
      <c r="Q21">
        <v>4</v>
      </c>
      <c r="T21" t="s">
        <v>369</v>
      </c>
      <c r="V21">
        <v>9</v>
      </c>
      <c r="W21" t="s">
        <v>21</v>
      </c>
      <c r="Y21" t="s">
        <v>181</v>
      </c>
    </row>
    <row r="22" spans="2:25" ht="21.75" thickBot="1">
      <c r="B22" s="3" t="s">
        <v>5</v>
      </c>
      <c r="C22" s="117"/>
      <c r="D22" s="5" t="e">
        <f t="shared" si="1"/>
        <v>#N/A</v>
      </c>
      <c r="E22" s="41"/>
      <c r="F22" s="365"/>
      <c r="H22" s="124"/>
      <c r="I22" s="125"/>
      <c r="J22" s="125"/>
      <c r="K22" s="125"/>
      <c r="L22" s="126"/>
      <c r="N22" t="e">
        <f t="shared" si="3"/>
        <v>#N/A</v>
      </c>
      <c r="O22" s="1" t="e">
        <f t="shared" si="2"/>
        <v>#N/A</v>
      </c>
      <c r="P22" t="e">
        <f t="shared" si="4"/>
        <v>#N/A</v>
      </c>
      <c r="Q22">
        <v>5</v>
      </c>
      <c r="Y22" t="s">
        <v>183</v>
      </c>
    </row>
    <row r="23" spans="2:25" ht="21.75" thickBot="1">
      <c r="B23" s="3" t="s">
        <v>6</v>
      </c>
      <c r="C23" s="117"/>
      <c r="D23" s="5" t="e">
        <f t="shared" si="1"/>
        <v>#N/A</v>
      </c>
      <c r="E23" s="41"/>
      <c r="F23" s="365"/>
      <c r="N23" t="e">
        <f t="shared" si="3"/>
        <v>#N/A</v>
      </c>
      <c r="O23" s="1" t="e">
        <f t="shared" si="2"/>
        <v>#N/A</v>
      </c>
      <c r="P23" t="e">
        <f t="shared" si="4"/>
        <v>#N/A</v>
      </c>
      <c r="Q23">
        <v>6</v>
      </c>
      <c r="T23" t="str">
        <f>CONCATENATE(B6,F6)</f>
        <v>Click HereClick Here</v>
      </c>
      <c r="Y23" t="s">
        <v>184</v>
      </c>
    </row>
    <row r="24" spans="2:25" ht="21.75" thickBot="1">
      <c r="B24" s="4" t="s">
        <v>7</v>
      </c>
      <c r="C24" s="127"/>
      <c r="D24" s="6" t="e">
        <f t="shared" si="1"/>
        <v>#N/A</v>
      </c>
      <c r="E24" s="64"/>
      <c r="F24" s="368"/>
      <c r="H24" s="369" t="s">
        <v>327</v>
      </c>
      <c r="I24" s="370"/>
      <c r="J24" s="370"/>
      <c r="K24" s="370"/>
      <c r="L24" s="371"/>
      <c r="N24" t="e">
        <f t="shared" si="3"/>
        <v>#N/A</v>
      </c>
      <c r="O24" s="1"/>
      <c r="P24" t="e">
        <f t="shared" si="4"/>
        <v>#N/A</v>
      </c>
      <c r="Q24">
        <v>7</v>
      </c>
      <c r="T24" t="s">
        <v>400</v>
      </c>
      <c r="V24" t="b">
        <f>OR(T23=T24,T23=T25)</f>
        <v>0</v>
      </c>
      <c r="Y24" t="s">
        <v>185</v>
      </c>
    </row>
    <row r="25" spans="8:25" ht="15.75" thickBot="1">
      <c r="H25" s="372"/>
      <c r="I25" s="373"/>
      <c r="J25" s="373"/>
      <c r="K25" s="373"/>
      <c r="L25" s="374"/>
      <c r="N25" t="str">
        <f>H10</f>
        <v>Click Here</v>
      </c>
      <c r="O25" s="1">
        <f>VLOOKUP($N$25,$N$26:$Q$30,2,0)</f>
        <v>2</v>
      </c>
      <c r="P25" s="1">
        <f>VLOOKUP($N$25,$N$26:$Q$30,3,0)</f>
        <v>3</v>
      </c>
      <c r="Q25" s="1">
        <f>VLOOKUP($N$25,$N$26:$Q$30,4,0)</f>
        <v>4</v>
      </c>
      <c r="T25" t="s">
        <v>401</v>
      </c>
      <c r="Y25" t="s">
        <v>186</v>
      </c>
    </row>
    <row r="26" spans="2:25" ht="21">
      <c r="B26" s="312" t="s">
        <v>248</v>
      </c>
      <c r="C26" s="313"/>
      <c r="D26" s="313"/>
      <c r="E26" s="313"/>
      <c r="F26" s="314"/>
      <c r="H26" s="384" t="s">
        <v>347</v>
      </c>
      <c r="I26" s="385"/>
      <c r="J26" s="385"/>
      <c r="K26" s="385"/>
      <c r="L26" s="386"/>
      <c r="N26" t="s">
        <v>11</v>
      </c>
      <c r="O26">
        <v>2</v>
      </c>
      <c r="P26">
        <v>3</v>
      </c>
      <c r="Q26">
        <v>4</v>
      </c>
      <c r="Y26" t="s">
        <v>187</v>
      </c>
    </row>
    <row r="27" spans="2:25" ht="21" customHeight="1">
      <c r="B27" s="315"/>
      <c r="C27" s="316"/>
      <c r="D27" s="316"/>
      <c r="E27" s="316"/>
      <c r="F27" s="317"/>
      <c r="H27" s="180" t="s">
        <v>328</v>
      </c>
      <c r="I27" s="41"/>
      <c r="J27" s="324" t="s">
        <v>329</v>
      </c>
      <c r="K27" s="324"/>
      <c r="L27" s="325"/>
      <c r="N27" t="s">
        <v>304</v>
      </c>
      <c r="O27">
        <v>5</v>
      </c>
      <c r="P27">
        <v>6</v>
      </c>
      <c r="Q27">
        <v>7</v>
      </c>
      <c r="Y27" t="s">
        <v>188</v>
      </c>
    </row>
    <row r="28" spans="2:25" ht="21" customHeight="1">
      <c r="B28" s="153" t="s">
        <v>249</v>
      </c>
      <c r="C28" s="41"/>
      <c r="D28" s="350" t="s">
        <v>11</v>
      </c>
      <c r="E28" s="350"/>
      <c r="F28" s="351"/>
      <c r="H28" s="185"/>
      <c r="I28" s="41"/>
      <c r="J28" s="348"/>
      <c r="K28" s="348"/>
      <c r="L28" s="349"/>
      <c r="N28" t="s">
        <v>305</v>
      </c>
      <c r="O28">
        <v>8</v>
      </c>
      <c r="P28">
        <v>9</v>
      </c>
      <c r="Q28">
        <v>10</v>
      </c>
      <c r="Y28" t="s">
        <v>189</v>
      </c>
    </row>
    <row r="29" spans="2:25" ht="8.25" customHeight="1">
      <c r="B29" s="51"/>
      <c r="C29" s="41"/>
      <c r="D29" s="41"/>
      <c r="E29" s="41"/>
      <c r="F29" s="50"/>
      <c r="H29" s="342" t="str">
        <f>VLOOKUP(N70,U70:V74,2,0)</f>
        <v> </v>
      </c>
      <c r="I29" s="343"/>
      <c r="J29" s="343"/>
      <c r="K29" s="343"/>
      <c r="L29" s="344"/>
      <c r="N29" t="s">
        <v>306</v>
      </c>
      <c r="O29">
        <v>11</v>
      </c>
      <c r="P29">
        <v>12</v>
      </c>
      <c r="Q29">
        <v>13</v>
      </c>
      <c r="Y29" t="s">
        <v>190</v>
      </c>
    </row>
    <row r="30" spans="2:25" ht="15" customHeight="1">
      <c r="B30" s="354">
        <f>VLOOKUP(D28,N57:O62,2,0)</f>
        <v>0</v>
      </c>
      <c r="C30" s="355"/>
      <c r="D30" s="355"/>
      <c r="E30" s="355"/>
      <c r="F30" s="356"/>
      <c r="H30" s="342"/>
      <c r="I30" s="343"/>
      <c r="J30" s="343"/>
      <c r="K30" s="343"/>
      <c r="L30" s="344"/>
      <c r="N30">
        <v>0</v>
      </c>
      <c r="O30">
        <v>2</v>
      </c>
      <c r="P30">
        <v>3</v>
      </c>
      <c r="Q30">
        <v>4</v>
      </c>
      <c r="Y30" t="s">
        <v>191</v>
      </c>
    </row>
    <row r="31" spans="2:25" ht="15" customHeight="1">
      <c r="B31" s="354"/>
      <c r="C31" s="355"/>
      <c r="D31" s="355"/>
      <c r="E31" s="355"/>
      <c r="F31" s="356"/>
      <c r="H31" s="342"/>
      <c r="I31" s="343"/>
      <c r="J31" s="343"/>
      <c r="K31" s="343"/>
      <c r="L31" s="344"/>
      <c r="N31" t="s">
        <v>88</v>
      </c>
      <c r="O31" t="s">
        <v>74</v>
      </c>
      <c r="P31" t="s">
        <v>360</v>
      </c>
      <c r="Q31" t="s">
        <v>80</v>
      </c>
      <c r="R31" t="s">
        <v>288</v>
      </c>
      <c r="S31" t="s">
        <v>353</v>
      </c>
      <c r="T31" t="s">
        <v>355</v>
      </c>
      <c r="Y31" t="s">
        <v>192</v>
      </c>
    </row>
    <row r="32" spans="2:25" ht="18" customHeight="1">
      <c r="B32" s="352">
        <f>VLOOKUP(D28,N57:P62,3,0)</f>
        <v>0</v>
      </c>
      <c r="C32" s="353"/>
      <c r="D32" s="353"/>
      <c r="E32" s="41"/>
      <c r="F32" s="154"/>
      <c r="H32" s="342"/>
      <c r="I32" s="343"/>
      <c r="J32" s="343"/>
      <c r="K32" s="343"/>
      <c r="L32" s="344"/>
      <c r="N32" t="s">
        <v>89</v>
      </c>
      <c r="O32" t="s">
        <v>74</v>
      </c>
      <c r="P32" t="s">
        <v>24</v>
      </c>
      <c r="Q32" t="s">
        <v>289</v>
      </c>
      <c r="R32" t="s">
        <v>353</v>
      </c>
      <c r="S32" t="s">
        <v>355</v>
      </c>
      <c r="T32" t="s">
        <v>76</v>
      </c>
      <c r="U32" t="s">
        <v>76</v>
      </c>
      <c r="Y32" t="s">
        <v>193</v>
      </c>
    </row>
    <row r="33" spans="2:25" ht="15" customHeight="1">
      <c r="B33" s="51"/>
      <c r="C33" s="41"/>
      <c r="D33" s="41"/>
      <c r="E33" s="41"/>
      <c r="F33" s="50"/>
      <c r="H33" s="342"/>
      <c r="I33" s="343"/>
      <c r="J33" s="343"/>
      <c r="K33" s="343"/>
      <c r="L33" s="344"/>
      <c r="N33" t="s">
        <v>372</v>
      </c>
      <c r="O33" t="s">
        <v>74</v>
      </c>
      <c r="P33" t="s">
        <v>24</v>
      </c>
      <c r="Q33" t="s">
        <v>289</v>
      </c>
      <c r="R33" t="s">
        <v>353</v>
      </c>
      <c r="S33" t="s">
        <v>355</v>
      </c>
      <c r="T33" t="s">
        <v>76</v>
      </c>
      <c r="U33" t="s">
        <v>76</v>
      </c>
      <c r="Y33" t="s">
        <v>194</v>
      </c>
    </row>
    <row r="34" spans="2:25" ht="15.75" customHeight="1">
      <c r="B34" s="352">
        <f>IF(D28="Click Here","",IF(F32=0,"",N64))</f>
      </c>
      <c r="C34" s="353"/>
      <c r="D34" s="353"/>
      <c r="E34" s="353"/>
      <c r="F34" s="379">
        <f>IF(D28="Click Here","",IF(F32=0,"",O64))</f>
      </c>
      <c r="H34" s="342"/>
      <c r="I34" s="343"/>
      <c r="J34" s="343"/>
      <c r="K34" s="343"/>
      <c r="L34" s="344"/>
      <c r="N34" t="s">
        <v>90</v>
      </c>
      <c r="O34" t="s">
        <v>75</v>
      </c>
      <c r="P34" t="s">
        <v>276</v>
      </c>
      <c r="Q34" t="s">
        <v>354</v>
      </c>
      <c r="R34" t="s">
        <v>355</v>
      </c>
      <c r="S34" t="s">
        <v>76</v>
      </c>
      <c r="T34" t="s">
        <v>76</v>
      </c>
      <c r="U34" t="s">
        <v>76</v>
      </c>
      <c r="Y34" t="s">
        <v>195</v>
      </c>
    </row>
    <row r="35" spans="2:25" ht="15.75" thickBot="1">
      <c r="B35" s="377"/>
      <c r="C35" s="378"/>
      <c r="D35" s="378"/>
      <c r="E35" s="378"/>
      <c r="F35" s="380"/>
      <c r="H35" s="345"/>
      <c r="I35" s="346"/>
      <c r="J35" s="346"/>
      <c r="K35" s="346"/>
      <c r="L35" s="347"/>
      <c r="N35" t="s">
        <v>11</v>
      </c>
      <c r="O35" t="s">
        <v>76</v>
      </c>
      <c r="P35" t="s">
        <v>76</v>
      </c>
      <c r="Q35" t="s">
        <v>76</v>
      </c>
      <c r="R35" t="s">
        <v>76</v>
      </c>
      <c r="S35" t="s">
        <v>76</v>
      </c>
      <c r="T35" t="s">
        <v>76</v>
      </c>
      <c r="Y35" t="s">
        <v>196</v>
      </c>
    </row>
    <row r="36" spans="14:25" ht="15">
      <c r="N36" t="s">
        <v>74</v>
      </c>
      <c r="O36" t="s">
        <v>88</v>
      </c>
      <c r="P36">
        <v>0</v>
      </c>
      <c r="Q36">
        <v>0</v>
      </c>
      <c r="Y36" t="s">
        <v>197</v>
      </c>
    </row>
    <row r="37" spans="8:25" ht="18.75">
      <c r="H37" s="375" t="s">
        <v>478</v>
      </c>
      <c r="I37" s="375"/>
      <c r="J37" s="375"/>
      <c r="K37" s="375"/>
      <c r="L37" s="375"/>
      <c r="N37" t="s">
        <v>360</v>
      </c>
      <c r="O37" t="s">
        <v>88</v>
      </c>
      <c r="P37">
        <v>0</v>
      </c>
      <c r="Q37">
        <v>0</v>
      </c>
      <c r="Y37" t="s">
        <v>198</v>
      </c>
    </row>
    <row r="38" spans="8:25" ht="15">
      <c r="H38" s="173"/>
      <c r="N38" t="s">
        <v>80</v>
      </c>
      <c r="O38" t="s">
        <v>88</v>
      </c>
      <c r="P38">
        <v>0</v>
      </c>
      <c r="Q38">
        <v>0</v>
      </c>
      <c r="Y38" t="s">
        <v>199</v>
      </c>
    </row>
    <row r="39" spans="8:25" ht="21" customHeight="1">
      <c r="H39" s="376" t="s">
        <v>476</v>
      </c>
      <c r="I39" s="376"/>
      <c r="J39" s="376"/>
      <c r="K39" s="376"/>
      <c r="L39" s="376"/>
      <c r="N39" t="s">
        <v>288</v>
      </c>
      <c r="O39" t="s">
        <v>88</v>
      </c>
      <c r="P39" t="s">
        <v>244</v>
      </c>
      <c r="Q39" t="s">
        <v>246</v>
      </c>
      <c r="Y39" t="s">
        <v>200</v>
      </c>
    </row>
    <row r="40" spans="8:25" ht="21" customHeight="1">
      <c r="H40" s="173"/>
      <c r="N40" t="s">
        <v>353</v>
      </c>
      <c r="O40" t="s">
        <v>88</v>
      </c>
      <c r="P40" t="s">
        <v>245</v>
      </c>
      <c r="Q40" t="s">
        <v>246</v>
      </c>
      <c r="Y40" t="s">
        <v>201</v>
      </c>
    </row>
    <row r="41" spans="8:25" ht="15">
      <c r="H41" s="376" t="s">
        <v>477</v>
      </c>
      <c r="I41" s="376"/>
      <c r="J41" s="376"/>
      <c r="K41" s="376"/>
      <c r="L41" s="376"/>
      <c r="N41" t="s">
        <v>74</v>
      </c>
      <c r="O41" t="s">
        <v>89</v>
      </c>
      <c r="P41">
        <v>0</v>
      </c>
      <c r="Q41">
        <v>0</v>
      </c>
      <c r="Y41" t="s">
        <v>202</v>
      </c>
    </row>
    <row r="42" spans="14:25" ht="15" customHeight="1">
      <c r="N42" t="s">
        <v>24</v>
      </c>
      <c r="O42" t="s">
        <v>89</v>
      </c>
      <c r="P42">
        <v>0</v>
      </c>
      <c r="Q42" t="s">
        <v>243</v>
      </c>
      <c r="Y42" t="s">
        <v>203</v>
      </c>
    </row>
    <row r="43" spans="14:25" ht="15.75" customHeight="1">
      <c r="N43" t="s">
        <v>289</v>
      </c>
      <c r="O43" t="s">
        <v>89</v>
      </c>
      <c r="P43" t="s">
        <v>244</v>
      </c>
      <c r="Q43" t="s">
        <v>243</v>
      </c>
      <c r="Y43" t="s">
        <v>204</v>
      </c>
    </row>
    <row r="44" spans="14:25" ht="15">
      <c r="N44" t="s">
        <v>353</v>
      </c>
      <c r="O44" t="s">
        <v>89</v>
      </c>
      <c r="P44" t="s">
        <v>245</v>
      </c>
      <c r="Q44" t="s">
        <v>243</v>
      </c>
      <c r="Y44" t="s">
        <v>208</v>
      </c>
    </row>
    <row r="45" spans="14:25" ht="15">
      <c r="N45" t="s">
        <v>75</v>
      </c>
      <c r="O45" t="s">
        <v>90</v>
      </c>
      <c r="P45">
        <v>0</v>
      </c>
      <c r="Q45">
        <v>0</v>
      </c>
      <c r="Y45" t="s">
        <v>209</v>
      </c>
    </row>
    <row r="46" spans="14:25" ht="15">
      <c r="N46" t="s">
        <v>276</v>
      </c>
      <c r="O46" t="s">
        <v>90</v>
      </c>
      <c r="P46">
        <v>0</v>
      </c>
      <c r="Q46">
        <v>0</v>
      </c>
      <c r="Y46" t="s">
        <v>210</v>
      </c>
    </row>
    <row r="47" spans="14:25" ht="15">
      <c r="N47" t="s">
        <v>354</v>
      </c>
      <c r="O47" t="s">
        <v>90</v>
      </c>
      <c r="P47">
        <f>IF($B$6="Housing",P48,"")</f>
      </c>
      <c r="Q47">
        <f>IF($B$6="Housing",Q48,"")</f>
      </c>
      <c r="Y47" t="s">
        <v>211</v>
      </c>
    </row>
    <row r="48" spans="16:25" ht="15">
      <c r="P48" t="s">
        <v>394</v>
      </c>
      <c r="Q48" t="s">
        <v>290</v>
      </c>
      <c r="Y48" t="s">
        <v>212</v>
      </c>
    </row>
    <row r="49" spans="14:25" ht="15">
      <c r="N49" t="s">
        <v>355</v>
      </c>
      <c r="O49" t="s">
        <v>356</v>
      </c>
      <c r="P49" t="s">
        <v>245</v>
      </c>
      <c r="Y49" t="s">
        <v>213</v>
      </c>
    </row>
    <row r="50" ht="15">
      <c r="Y50" t="s">
        <v>214</v>
      </c>
    </row>
    <row r="51" spans="14:25" ht="15">
      <c r="N51" t="s">
        <v>250</v>
      </c>
      <c r="O51" t="s">
        <v>32</v>
      </c>
      <c r="P51" t="s">
        <v>264</v>
      </c>
      <c r="Q51" t="s">
        <v>265</v>
      </c>
      <c r="R51" t="s">
        <v>264</v>
      </c>
      <c r="S51" t="s">
        <v>265</v>
      </c>
      <c r="T51" t="s">
        <v>266</v>
      </c>
      <c r="Y51" t="s">
        <v>215</v>
      </c>
    </row>
    <row r="52" spans="5:25" ht="15.75">
      <c r="E52" s="181"/>
      <c r="F52" s="183"/>
      <c r="G52" s="183"/>
      <c r="H52" s="183"/>
      <c r="I52" s="183"/>
      <c r="J52" s="183"/>
      <c r="K52" s="183"/>
      <c r="L52" s="183"/>
      <c r="N52" t="s">
        <v>251</v>
      </c>
      <c r="O52" s="152">
        <v>0.175</v>
      </c>
      <c r="P52" t="s">
        <v>81</v>
      </c>
      <c r="Q52" s="96">
        <v>39783</v>
      </c>
      <c r="R52" t="s">
        <v>81</v>
      </c>
      <c r="S52" t="str">
        <f>IF(Q52&gt;$F$32,"Yes","No")</f>
        <v>Yes</v>
      </c>
      <c r="T52" t="b">
        <f>AND(R52="Yes",S52="Yes")</f>
        <v>1</v>
      </c>
      <c r="U52" s="152">
        <f>O52</f>
        <v>0.175</v>
      </c>
      <c r="Y52" t="s">
        <v>216</v>
      </c>
    </row>
    <row r="53" spans="5:25" ht="15">
      <c r="E53" s="181"/>
      <c r="F53" s="181"/>
      <c r="G53" s="181"/>
      <c r="H53" s="181"/>
      <c r="I53" s="181"/>
      <c r="J53" s="181"/>
      <c r="K53" s="181"/>
      <c r="L53" s="181"/>
      <c r="N53" t="s">
        <v>252</v>
      </c>
      <c r="O53" s="152">
        <v>0.15</v>
      </c>
      <c r="P53" s="96">
        <v>39783</v>
      </c>
      <c r="Q53" s="96">
        <v>40178</v>
      </c>
      <c r="R53" t="str">
        <f>IF(P53&lt;=$F$32,"Yes","No")</f>
        <v>No</v>
      </c>
      <c r="S53" t="str">
        <f>IF(Q53&gt;=$F$32,"Yes","No")</f>
        <v>Yes</v>
      </c>
      <c r="T53" t="b">
        <f>AND(R53="Yes",S53="Yes")</f>
        <v>0</v>
      </c>
      <c r="U53" s="152">
        <f>O53</f>
        <v>0.15</v>
      </c>
      <c r="Y53" t="s">
        <v>217</v>
      </c>
    </row>
    <row r="54" spans="5:25" ht="15">
      <c r="E54" s="181"/>
      <c r="F54" s="181"/>
      <c r="G54" s="181"/>
      <c r="H54" s="182"/>
      <c r="I54" s="181"/>
      <c r="J54" s="181"/>
      <c r="K54" s="181"/>
      <c r="L54" s="181"/>
      <c r="N54" t="s">
        <v>253</v>
      </c>
      <c r="O54" s="152">
        <v>0.175</v>
      </c>
      <c r="P54" s="96">
        <v>40179</v>
      </c>
      <c r="Q54" s="96">
        <v>40546</v>
      </c>
      <c r="R54" t="str">
        <f>IF(P54&lt;=$F$32,"Yes","No")</f>
        <v>No</v>
      </c>
      <c r="S54" t="str">
        <f>IF(Q54&gt;=$F$32,"Yes","No")</f>
        <v>Yes</v>
      </c>
      <c r="T54" t="b">
        <f>AND(R54="Yes",S54="Yes")</f>
        <v>0</v>
      </c>
      <c r="U54" s="152">
        <f>O54</f>
        <v>0.175</v>
      </c>
      <c r="Y54" t="s">
        <v>218</v>
      </c>
    </row>
    <row r="55" spans="5:25" ht="15" customHeight="1">
      <c r="E55" s="181"/>
      <c r="F55" s="181"/>
      <c r="G55" s="181"/>
      <c r="H55" s="181"/>
      <c r="I55" s="181"/>
      <c r="J55" s="181"/>
      <c r="K55" s="181"/>
      <c r="L55" s="181"/>
      <c r="N55" t="s">
        <v>254</v>
      </c>
      <c r="O55" s="152">
        <v>0.2</v>
      </c>
      <c r="P55" s="96">
        <v>40547</v>
      </c>
      <c r="Q55" t="s">
        <v>81</v>
      </c>
      <c r="R55" t="str">
        <f>IF(P55&lt;=$F$32,"Yes","No")</f>
        <v>No</v>
      </c>
      <c r="S55" t="s">
        <v>81</v>
      </c>
      <c r="T55" t="b">
        <f>AND(R55="Yes",S55="Yes")</f>
        <v>0</v>
      </c>
      <c r="U55" s="152">
        <f>O55</f>
        <v>0.2</v>
      </c>
      <c r="Y55" t="s">
        <v>219</v>
      </c>
    </row>
    <row r="56" spans="5:25" ht="15" customHeight="1">
      <c r="E56" s="181"/>
      <c r="F56" s="181"/>
      <c r="G56" s="184"/>
      <c r="H56" s="184"/>
      <c r="I56" s="184"/>
      <c r="J56" s="184"/>
      <c r="K56" s="184"/>
      <c r="L56" s="181"/>
      <c r="Y56" t="s">
        <v>220</v>
      </c>
    </row>
    <row r="57" spans="5:25" ht="15" customHeight="1">
      <c r="E57" s="181"/>
      <c r="F57" s="184"/>
      <c r="G57" s="184"/>
      <c r="H57" s="184"/>
      <c r="I57" s="184"/>
      <c r="J57" s="184"/>
      <c r="K57" s="184"/>
      <c r="L57" s="181"/>
      <c r="N57" t="s">
        <v>11</v>
      </c>
      <c r="Y57" t="s">
        <v>221</v>
      </c>
    </row>
    <row r="58" spans="5:25" ht="15" customHeight="1">
      <c r="E58" s="181"/>
      <c r="F58" s="184"/>
      <c r="G58" s="184"/>
      <c r="H58" s="184"/>
      <c r="I58" s="184"/>
      <c r="J58" s="184"/>
      <c r="K58" s="184"/>
      <c r="L58" s="181"/>
      <c r="N58" t="s">
        <v>72</v>
      </c>
      <c r="O58" t="s">
        <v>259</v>
      </c>
      <c r="P58" t="s">
        <v>260</v>
      </c>
      <c r="Y58" t="s">
        <v>222</v>
      </c>
    </row>
    <row r="59" spans="5:25" ht="15" customHeight="1">
      <c r="E59" s="181"/>
      <c r="F59" s="184"/>
      <c r="G59" s="184"/>
      <c r="H59" s="184"/>
      <c r="I59" s="184"/>
      <c r="J59" s="184"/>
      <c r="K59" s="184"/>
      <c r="L59" s="181"/>
      <c r="N59" t="s">
        <v>255</v>
      </c>
      <c r="O59" t="s">
        <v>258</v>
      </c>
      <c r="P59" t="s">
        <v>261</v>
      </c>
      <c r="Y59" t="s">
        <v>223</v>
      </c>
    </row>
    <row r="60" spans="5:25" ht="15" customHeight="1">
      <c r="E60" s="181"/>
      <c r="F60" s="184"/>
      <c r="G60" s="184"/>
      <c r="H60" s="184"/>
      <c r="I60" s="184"/>
      <c r="J60" s="184"/>
      <c r="K60" s="184"/>
      <c r="L60" s="181"/>
      <c r="N60" t="s">
        <v>40</v>
      </c>
      <c r="P60" t="s">
        <v>260</v>
      </c>
      <c r="T60" s="9" t="b">
        <v>0</v>
      </c>
      <c r="Y60" t="s">
        <v>224</v>
      </c>
    </row>
    <row r="61" spans="5:25" ht="15" customHeight="1">
      <c r="E61" s="181"/>
      <c r="F61" s="184"/>
      <c r="G61" s="184"/>
      <c r="H61" s="184"/>
      <c r="I61" s="184"/>
      <c r="J61" s="184"/>
      <c r="K61" s="184"/>
      <c r="L61" s="181"/>
      <c r="N61" t="s">
        <v>257</v>
      </c>
      <c r="P61" t="s">
        <v>262</v>
      </c>
      <c r="T61" t="e">
        <f>"Counsels' Rates are payable at "&amp;B15</f>
        <v>#N/A</v>
      </c>
      <c r="Y61" t="s">
        <v>225</v>
      </c>
    </row>
    <row r="62" spans="5:25" ht="15" customHeight="1">
      <c r="E62" s="181"/>
      <c r="F62" s="184"/>
      <c r="G62" s="184"/>
      <c r="H62" s="184"/>
      <c r="I62" s="184"/>
      <c r="J62" s="184"/>
      <c r="K62" s="184"/>
      <c r="L62" s="181"/>
      <c r="N62" t="s">
        <v>256</v>
      </c>
      <c r="P62" t="s">
        <v>262</v>
      </c>
      <c r="Y62" t="s">
        <v>226</v>
      </c>
    </row>
    <row r="63" spans="5:25" ht="21">
      <c r="E63" s="181"/>
      <c r="F63" s="184"/>
      <c r="G63" s="184"/>
      <c r="H63" s="184"/>
      <c r="I63" s="184"/>
      <c r="J63" s="184"/>
      <c r="K63" s="184"/>
      <c r="L63" s="181"/>
      <c r="Y63" t="s">
        <v>227</v>
      </c>
    </row>
    <row r="64" spans="5:25" ht="15">
      <c r="E64" s="181"/>
      <c r="F64" s="181"/>
      <c r="G64" s="181"/>
      <c r="H64" s="181"/>
      <c r="I64" s="181"/>
      <c r="J64" s="181"/>
      <c r="K64" s="181"/>
      <c r="L64" s="181"/>
      <c r="N64" t="s">
        <v>263</v>
      </c>
      <c r="O64" s="152">
        <f>VLOOKUP(TRUE,T52:U55,2,0)</f>
        <v>0.175</v>
      </c>
      <c r="Y64" t="s">
        <v>228</v>
      </c>
    </row>
    <row r="66" spans="14:27" ht="15">
      <c r="N66" s="96">
        <v>40664</v>
      </c>
      <c r="P66" t="s">
        <v>330</v>
      </c>
      <c r="Q66">
        <v>28</v>
      </c>
      <c r="R66" s="280" t="s">
        <v>475</v>
      </c>
      <c r="Y66" t="s">
        <v>11</v>
      </c>
      <c r="Z66" t="s">
        <v>240</v>
      </c>
      <c r="AA66" t="s">
        <v>79</v>
      </c>
    </row>
    <row r="67" spans="14:27" ht="15">
      <c r="N67">
        <f>IF(H28&lt;N66,Q66,Q67)</f>
        <v>28</v>
      </c>
      <c r="P67" t="s">
        <v>331</v>
      </c>
      <c r="Q67">
        <v>56</v>
      </c>
      <c r="R67" s="280" t="s">
        <v>474</v>
      </c>
      <c r="Y67" t="s">
        <v>238</v>
      </c>
      <c r="Z67">
        <v>112.5</v>
      </c>
      <c r="AA67">
        <v>135</v>
      </c>
    </row>
    <row r="68" spans="10:27" ht="15">
      <c r="J68" s="131"/>
      <c r="Y68" t="s">
        <v>385</v>
      </c>
      <c r="Z68">
        <v>135</v>
      </c>
      <c r="AA68">
        <v>135</v>
      </c>
    </row>
    <row r="69" spans="10:27" ht="15">
      <c r="J69" s="131"/>
      <c r="N69" t="s">
        <v>332</v>
      </c>
      <c r="O69" s="176">
        <f>H28+N67</f>
        <v>28</v>
      </c>
      <c r="Q69">
        <f>IF(J28=0,0,IF(H28&gt;J28,"PRE SUB",0))</f>
        <v>0</v>
      </c>
      <c r="Y69" t="s">
        <v>239</v>
      </c>
      <c r="Z69">
        <v>135</v>
      </c>
      <c r="AA69">
        <v>135</v>
      </c>
    </row>
    <row r="70" spans="10:27" ht="15">
      <c r="J70" s="131"/>
      <c r="N70">
        <f>IF(H28=0,0,IF(Q69="PRE SUB",Q69,IF(J28=0,"NO SUB",IF(O69&gt;=J28,"CONTIN",IF(J28&gt;O70,"CONTIN","LAPSE")))))</f>
        <v>0</v>
      </c>
      <c r="O70" s="96">
        <v>42289</v>
      </c>
      <c r="U70" s="177">
        <v>0</v>
      </c>
      <c r="V70" t="s">
        <v>76</v>
      </c>
      <c r="Y70" t="s">
        <v>237</v>
      </c>
      <c r="Z70">
        <v>112.5</v>
      </c>
      <c r="AA70">
        <v>112.5</v>
      </c>
    </row>
    <row r="71" spans="10:27" ht="15">
      <c r="J71" s="131"/>
      <c r="U71" t="s">
        <v>333</v>
      </c>
      <c r="V71" t="str">
        <f>CONCATENATE(N72," ",N73," ",N74,N75)</f>
        <v>This certificate has continous cover from 00/01/00 .  Please note that any other limitations still apply to this certificate e.g.  Cost Limit/Show Cause</v>
      </c>
      <c r="Y71" t="s">
        <v>234</v>
      </c>
      <c r="Z71">
        <v>157.5</v>
      </c>
      <c r="AA71">
        <v>157.5</v>
      </c>
    </row>
    <row r="72" spans="10:27" ht="15">
      <c r="J72" s="131"/>
      <c r="N72" t="s">
        <v>334</v>
      </c>
      <c r="U72" t="s">
        <v>335</v>
      </c>
      <c r="V72" t="str">
        <f>CONCATENATE(N78,N79,N80,N81," ",N82,N83," ",N84,N85)</f>
        <v>The emergency certificate has expired.  If no amendment was made to the emergency certificate any work done between 28/01/00 and 00/01/00 will not be covered including attendance time, hearings and any routine letters or phone calls.  Please note that the primary limitation still applies to the emergency certificate.</v>
      </c>
      <c r="Y72" t="s">
        <v>528</v>
      </c>
      <c r="Z72">
        <v>180</v>
      </c>
      <c r="AA72">
        <v>180</v>
      </c>
    </row>
    <row r="73" spans="10:27" ht="15">
      <c r="J73" s="131"/>
      <c r="N73" s="178" t="str">
        <f>""&amp;TEXT(P73,"dd/mm/yy")</f>
        <v>00/01/00</v>
      </c>
      <c r="P73" s="176">
        <f>H28</f>
        <v>0</v>
      </c>
      <c r="U73" t="s">
        <v>336</v>
      </c>
      <c r="V73" t="str">
        <f>CONCATENATE(N87,N88," ",N89,N90," ",N91)</f>
        <v>No substantive certificate has been issued.  This certificate covers all work from 00/01/00 to 28/01/00  unless the primary limitation of the emergency certificate took place prior to this date.</v>
      </c>
      <c r="Y73" t="s">
        <v>235</v>
      </c>
      <c r="Z73">
        <v>180</v>
      </c>
      <c r="AA73">
        <v>180</v>
      </c>
    </row>
    <row r="74" spans="10:27" ht="15">
      <c r="J74" s="131"/>
      <c r="N74" t="s">
        <v>381</v>
      </c>
      <c r="U74" t="s">
        <v>337</v>
      </c>
      <c r="V74" t="s">
        <v>338</v>
      </c>
      <c r="Y74" t="s">
        <v>529</v>
      </c>
      <c r="Z74">
        <v>225</v>
      </c>
      <c r="AA74">
        <v>225</v>
      </c>
    </row>
    <row r="75" spans="10:27" ht="15">
      <c r="J75" s="131"/>
      <c r="N75" t="s">
        <v>339</v>
      </c>
      <c r="Y75" t="s">
        <v>236</v>
      </c>
      <c r="Z75">
        <v>36</v>
      </c>
      <c r="AA75">
        <v>36</v>
      </c>
    </row>
    <row r="76" ht="15">
      <c r="J76" s="131"/>
    </row>
    <row r="77" ht="15">
      <c r="J77" s="131"/>
    </row>
    <row r="78" spans="10:14" ht="15">
      <c r="J78" s="131"/>
      <c r="N78" t="s">
        <v>340</v>
      </c>
    </row>
    <row r="79" spans="10:14" ht="15">
      <c r="J79" s="131"/>
      <c r="N79" t="s">
        <v>341</v>
      </c>
    </row>
    <row r="80" spans="10:14" ht="15">
      <c r="J80" s="131"/>
      <c r="N80" t="s">
        <v>342</v>
      </c>
    </row>
    <row r="81" spans="14:16" ht="15">
      <c r="N81" s="178" t="str">
        <f>""&amp;TEXT(P81,"dd/mm/yy")</f>
        <v>28/01/00</v>
      </c>
      <c r="P81" s="176">
        <f>O69</f>
        <v>28</v>
      </c>
    </row>
    <row r="82" spans="3:14" ht="15">
      <c r="C82" s="179"/>
      <c r="N82" s="104" t="s">
        <v>343</v>
      </c>
    </row>
    <row r="83" spans="14:16" ht="15">
      <c r="N83" s="178" t="str">
        <f>""&amp;TEXT(P83,"dd/mm/yy")</f>
        <v>00/01/00</v>
      </c>
      <c r="P83" s="176">
        <f>J28</f>
        <v>0</v>
      </c>
    </row>
    <row r="84" spans="5:14" ht="15">
      <c r="E84" s="178"/>
      <c r="N84" t="s">
        <v>377</v>
      </c>
    </row>
    <row r="85" spans="5:14" ht="15">
      <c r="E85" s="178"/>
      <c r="N85" t="s">
        <v>344</v>
      </c>
    </row>
    <row r="87" ht="15">
      <c r="N87" t="s">
        <v>345</v>
      </c>
    </row>
    <row r="88" spans="14:16" ht="15">
      <c r="N88" s="178" t="str">
        <f>""&amp;TEXT(P88,"dd/mm/yy")</f>
        <v>00/01/00</v>
      </c>
      <c r="P88" s="176">
        <f>H28</f>
        <v>0</v>
      </c>
    </row>
    <row r="89" ht="15">
      <c r="N89" t="s">
        <v>346</v>
      </c>
    </row>
    <row r="90" spans="14:16" ht="15">
      <c r="N90" s="178" t="str">
        <f>""&amp;TEXT(P90,"dd/mm/yy")</f>
        <v>28/01/00</v>
      </c>
      <c r="P90" s="176">
        <f>O69</f>
        <v>28</v>
      </c>
    </row>
    <row r="91" ht="15">
      <c r="N91" t="s">
        <v>380</v>
      </c>
    </row>
  </sheetData>
  <sheetProtection password="CFE1" sheet="1"/>
  <mergeCells count="28">
    <mergeCell ref="H37:L37"/>
    <mergeCell ref="H39:L39"/>
    <mergeCell ref="H41:L41"/>
    <mergeCell ref="B34:E35"/>
    <mergeCell ref="F34:F35"/>
    <mergeCell ref="H17:L17"/>
    <mergeCell ref="H26:L26"/>
    <mergeCell ref="F16:F24"/>
    <mergeCell ref="B11:B12"/>
    <mergeCell ref="D10:F10"/>
    <mergeCell ref="H29:L35"/>
    <mergeCell ref="J28:L28"/>
    <mergeCell ref="D28:F28"/>
    <mergeCell ref="B32:D32"/>
    <mergeCell ref="B30:F31"/>
    <mergeCell ref="H14:L15"/>
    <mergeCell ref="H11:L12"/>
    <mergeCell ref="H24:L25"/>
    <mergeCell ref="H2:L3"/>
    <mergeCell ref="H4:L4"/>
    <mergeCell ref="H5:L5"/>
    <mergeCell ref="B2:F3"/>
    <mergeCell ref="B26:F27"/>
    <mergeCell ref="J27:L27"/>
    <mergeCell ref="H18:L19"/>
    <mergeCell ref="B9:F9"/>
    <mergeCell ref="B15:D15"/>
    <mergeCell ref="H16:L16"/>
  </mergeCells>
  <conditionalFormatting sqref="H20:L22 F16:F24 B30:F31 H8:H11 B32:D32 I9 I10:L10">
    <cfRule type="cellIs" priority="10" dxfId="16" operator="equal">
      <formula>0</formula>
    </cfRule>
  </conditionalFormatting>
  <conditionalFormatting sqref="H37:H41">
    <cfRule type="expression" priority="2" dxfId="17" stopIfTrue="1">
      <formula>$N$70="LAPSE"</formula>
    </cfRule>
  </conditionalFormatting>
  <conditionalFormatting sqref="H28 J28:L28">
    <cfRule type="expression" priority="1" dxfId="13" stopIfTrue="1">
      <formula>$N$70="LAPSE"</formula>
    </cfRule>
  </conditionalFormatting>
  <dataValidations count="8">
    <dataValidation type="list" allowBlank="1" showInputMessage="1" showErrorMessage="1" sqref="H10">
      <formula1>$N$26:$N$29</formula1>
    </dataValidation>
    <dataValidation type="list" allowBlank="1" showInputMessage="1" showErrorMessage="1" sqref="H8">
      <formula1>Experts</formula1>
    </dataValidation>
    <dataValidation type="list" allowBlank="1" showInputMessage="1" showErrorMessage="1" sqref="D6">
      <formula1>$Q$4:$Q$8</formula1>
    </dataValidation>
    <dataValidation type="list" allowBlank="1" showInputMessage="1" showErrorMessage="1" sqref="F6">
      <formula1>$N$18:$N$24</formula1>
    </dataValidation>
    <dataValidation type="list" allowBlank="1" showInputMessage="1" showErrorMessage="1" sqref="D28:F28">
      <formula1>$N$57:$N$62</formula1>
    </dataValidation>
    <dataValidation type="date" allowBlank="1" showInputMessage="1" showErrorMessage="1" error="Invalid date entered." sqref="F32">
      <formula1>367</formula1>
      <formula2>72686</formula2>
    </dataValidation>
    <dataValidation type="list" allowBlank="1" showInputMessage="1" showErrorMessage="1" sqref="B6">
      <formula1>$N$4:$N$17</formula1>
    </dataValidation>
    <dataValidation type="list" allowBlank="1" showInputMessage="1" showErrorMessage="1" sqref="H18:L19">
      <formula1>$Y$66:$Y$75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M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" sqref="D18"/>
    </sheetView>
  </sheetViews>
  <sheetFormatPr defaultColWidth="28.140625" defaultRowHeight="15"/>
  <cols>
    <col min="1" max="4" width="28.140625" style="106" customWidth="1"/>
    <col min="5" max="6" width="28.140625" style="112" customWidth="1"/>
    <col min="7" max="7" width="35.8515625" style="106" customWidth="1"/>
    <col min="8" max="10" width="28.140625" style="106" customWidth="1"/>
    <col min="11" max="12" width="28.140625" style="169" customWidth="1"/>
    <col min="13" max="16384" width="28.140625" style="106" customWidth="1"/>
  </cols>
  <sheetData>
    <row r="1" spans="1:13" ht="15">
      <c r="A1" s="106">
        <v>1</v>
      </c>
      <c r="B1" s="106">
        <v>2</v>
      </c>
      <c r="C1" s="106">
        <v>3</v>
      </c>
      <c r="D1" s="106">
        <v>4</v>
      </c>
      <c r="E1" s="106">
        <v>5</v>
      </c>
      <c r="F1" s="106">
        <v>6</v>
      </c>
      <c r="G1" s="106">
        <v>7</v>
      </c>
      <c r="H1" s="106">
        <v>8</v>
      </c>
      <c r="I1" s="106">
        <v>9</v>
      </c>
      <c r="J1" s="106">
        <v>10</v>
      </c>
      <c r="K1" s="106">
        <v>11</v>
      </c>
      <c r="L1" s="106">
        <v>12</v>
      </c>
      <c r="M1" s="106">
        <v>13</v>
      </c>
    </row>
    <row r="2" spans="1:11" ht="15">
      <c r="A2" s="156" t="s">
        <v>73</v>
      </c>
      <c r="B2" s="156" t="s">
        <v>11</v>
      </c>
      <c r="E2" t="s">
        <v>304</v>
      </c>
      <c r="H2" t="s">
        <v>305</v>
      </c>
      <c r="K2" s="11" t="s">
        <v>306</v>
      </c>
    </row>
    <row r="3" spans="1:13" ht="15">
      <c r="A3" s="105" t="s">
        <v>11</v>
      </c>
      <c r="B3" s="111" t="s">
        <v>160</v>
      </c>
      <c r="C3" s="111" t="s">
        <v>9</v>
      </c>
      <c r="D3" s="105" t="s">
        <v>161</v>
      </c>
      <c r="E3" s="111" t="s">
        <v>160</v>
      </c>
      <c r="F3" s="111" t="s">
        <v>9</v>
      </c>
      <c r="G3" s="105" t="s">
        <v>161</v>
      </c>
      <c r="H3" s="111" t="s">
        <v>160</v>
      </c>
      <c r="I3" s="111" t="s">
        <v>9</v>
      </c>
      <c r="J3" s="105" t="s">
        <v>161</v>
      </c>
      <c r="K3" s="170" t="s">
        <v>160</v>
      </c>
      <c r="L3" s="170" t="s">
        <v>9</v>
      </c>
      <c r="M3" s="105" t="s">
        <v>161</v>
      </c>
    </row>
    <row r="4" spans="1:12" ht="30">
      <c r="A4" s="107" t="s">
        <v>162</v>
      </c>
      <c r="B4" s="107">
        <v>0</v>
      </c>
      <c r="C4" s="107">
        <v>0</v>
      </c>
      <c r="D4" s="107" t="s">
        <v>322</v>
      </c>
      <c r="E4" s="109">
        <v>126</v>
      </c>
      <c r="F4" s="109">
        <v>135</v>
      </c>
      <c r="H4" s="109">
        <v>126</v>
      </c>
      <c r="I4" s="109">
        <v>135</v>
      </c>
      <c r="K4" s="169">
        <v>100.8</v>
      </c>
      <c r="L4" s="169">
        <v>108</v>
      </c>
    </row>
    <row r="5" spans="1:12" ht="30">
      <c r="A5" s="108" t="s">
        <v>163</v>
      </c>
      <c r="B5" s="107">
        <v>0</v>
      </c>
      <c r="C5" s="107">
        <v>0</v>
      </c>
      <c r="D5" s="107" t="s">
        <v>322</v>
      </c>
      <c r="E5" s="109">
        <v>90</v>
      </c>
      <c r="F5" s="109">
        <v>68</v>
      </c>
      <c r="H5" s="109">
        <v>90</v>
      </c>
      <c r="I5" s="109">
        <v>68</v>
      </c>
      <c r="K5" s="169">
        <v>72</v>
      </c>
      <c r="L5" s="169">
        <v>54.4</v>
      </c>
    </row>
    <row r="6" spans="1:12" ht="30">
      <c r="A6" s="108" t="s">
        <v>164</v>
      </c>
      <c r="B6" s="107">
        <v>0</v>
      </c>
      <c r="C6" s="107">
        <v>0</v>
      </c>
      <c r="D6" s="107" t="s">
        <v>322</v>
      </c>
      <c r="E6" s="109">
        <v>80</v>
      </c>
      <c r="F6" s="109">
        <v>80</v>
      </c>
      <c r="H6" s="109">
        <v>80</v>
      </c>
      <c r="I6" s="109">
        <v>80</v>
      </c>
      <c r="K6" s="169">
        <v>64</v>
      </c>
      <c r="L6" s="169">
        <v>64</v>
      </c>
    </row>
    <row r="7" spans="1:12" ht="30">
      <c r="A7" s="108" t="s">
        <v>307</v>
      </c>
      <c r="B7" s="107">
        <v>0</v>
      </c>
      <c r="C7" s="107">
        <v>0</v>
      </c>
      <c r="D7" s="107" t="s">
        <v>322</v>
      </c>
      <c r="E7" s="109">
        <v>50</v>
      </c>
      <c r="F7" s="109">
        <v>50</v>
      </c>
      <c r="G7" s="110"/>
      <c r="H7" s="109">
        <v>50</v>
      </c>
      <c r="I7" s="109">
        <v>50</v>
      </c>
      <c r="J7" s="110"/>
      <c r="K7" s="169">
        <v>40</v>
      </c>
      <c r="L7" s="169">
        <v>40</v>
      </c>
    </row>
    <row r="8" spans="1:12" ht="30">
      <c r="A8" s="108" t="s">
        <v>308</v>
      </c>
      <c r="B8" s="107">
        <v>0</v>
      </c>
      <c r="C8" s="107">
        <v>0</v>
      </c>
      <c r="D8" s="107" t="s">
        <v>322</v>
      </c>
      <c r="E8" s="109">
        <v>108</v>
      </c>
      <c r="F8" s="109">
        <v>108</v>
      </c>
      <c r="G8" s="110"/>
      <c r="H8" s="109">
        <v>108</v>
      </c>
      <c r="I8" s="109">
        <v>108</v>
      </c>
      <c r="J8" s="110"/>
      <c r="K8" s="169">
        <v>86.4</v>
      </c>
      <c r="L8" s="169">
        <v>86.4</v>
      </c>
    </row>
    <row r="9" spans="1:12" ht="30">
      <c r="A9" s="108" t="s">
        <v>309</v>
      </c>
      <c r="B9" s="107">
        <v>0</v>
      </c>
      <c r="C9" s="107">
        <v>0</v>
      </c>
      <c r="D9" s="107" t="s">
        <v>322</v>
      </c>
      <c r="E9" s="109">
        <v>144</v>
      </c>
      <c r="F9" s="109">
        <v>144</v>
      </c>
      <c r="G9" s="110"/>
      <c r="H9" s="109">
        <v>144</v>
      </c>
      <c r="I9" s="109">
        <v>144</v>
      </c>
      <c r="J9" s="110"/>
      <c r="K9" s="169">
        <v>108</v>
      </c>
      <c r="L9" s="169">
        <v>115.2</v>
      </c>
    </row>
    <row r="10" spans="1:12" ht="30">
      <c r="A10" s="108" t="s">
        <v>165</v>
      </c>
      <c r="B10" s="107">
        <v>0</v>
      </c>
      <c r="C10" s="107">
        <v>0</v>
      </c>
      <c r="D10" s="107" t="s">
        <v>322</v>
      </c>
      <c r="E10" s="109">
        <v>135</v>
      </c>
      <c r="F10" s="109">
        <v>135</v>
      </c>
      <c r="H10" s="109">
        <v>135</v>
      </c>
      <c r="I10" s="109">
        <v>135</v>
      </c>
      <c r="K10" s="169">
        <v>108</v>
      </c>
      <c r="L10" s="169">
        <v>108</v>
      </c>
    </row>
    <row r="11" spans="1:12" ht="30">
      <c r="A11" s="108" t="s">
        <v>166</v>
      </c>
      <c r="B11" s="107">
        <v>0</v>
      </c>
      <c r="C11" s="107">
        <v>0</v>
      </c>
      <c r="D11" s="107" t="s">
        <v>322</v>
      </c>
      <c r="E11" s="109">
        <v>99</v>
      </c>
      <c r="F11" s="109">
        <v>90</v>
      </c>
      <c r="H11" s="109">
        <v>99</v>
      </c>
      <c r="I11" s="109">
        <v>90</v>
      </c>
      <c r="K11" s="169">
        <v>79.2</v>
      </c>
      <c r="L11" s="169">
        <v>72</v>
      </c>
    </row>
    <row r="12" spans="1:12" ht="30">
      <c r="A12" s="108" t="s">
        <v>167</v>
      </c>
      <c r="B12" s="107">
        <v>0</v>
      </c>
      <c r="C12" s="107">
        <v>0</v>
      </c>
      <c r="D12" s="107" t="s">
        <v>322</v>
      </c>
      <c r="E12" s="109">
        <v>144</v>
      </c>
      <c r="F12" s="109">
        <v>144</v>
      </c>
      <c r="H12" s="109">
        <v>144</v>
      </c>
      <c r="I12" s="109">
        <v>144</v>
      </c>
      <c r="K12" s="169">
        <v>115.2</v>
      </c>
      <c r="L12" s="169">
        <v>115.2</v>
      </c>
    </row>
    <row r="13" spans="1:12" ht="30">
      <c r="A13" s="108" t="s">
        <v>168</v>
      </c>
      <c r="B13" s="107">
        <v>0</v>
      </c>
      <c r="C13" s="107">
        <v>0</v>
      </c>
      <c r="D13" s="107" t="s">
        <v>322</v>
      </c>
      <c r="E13" s="109">
        <v>90</v>
      </c>
      <c r="F13" s="109">
        <v>90</v>
      </c>
      <c r="H13" s="109">
        <v>90</v>
      </c>
      <c r="I13" s="109">
        <v>90</v>
      </c>
      <c r="K13" s="169">
        <v>72</v>
      </c>
      <c r="L13" s="169">
        <v>72</v>
      </c>
    </row>
    <row r="14" spans="1:12" ht="30">
      <c r="A14" s="108" t="s">
        <v>169</v>
      </c>
      <c r="B14" s="107">
        <v>0</v>
      </c>
      <c r="C14" s="107">
        <v>0</v>
      </c>
      <c r="D14" s="107" t="s">
        <v>322</v>
      </c>
      <c r="E14" s="109">
        <v>135</v>
      </c>
      <c r="F14" s="109">
        <v>90</v>
      </c>
      <c r="G14" s="156"/>
      <c r="H14" s="109">
        <v>135</v>
      </c>
      <c r="I14" s="109">
        <v>135</v>
      </c>
      <c r="J14" s="156"/>
      <c r="K14" s="169">
        <v>108</v>
      </c>
      <c r="L14" s="169">
        <v>108</v>
      </c>
    </row>
    <row r="15" spans="1:12" ht="30">
      <c r="A15" s="108" t="s">
        <v>170</v>
      </c>
      <c r="B15" s="107">
        <v>0</v>
      </c>
      <c r="C15" s="107">
        <v>0</v>
      </c>
      <c r="D15" s="107" t="s">
        <v>322</v>
      </c>
      <c r="E15" s="109">
        <v>126</v>
      </c>
      <c r="F15" s="109">
        <v>90</v>
      </c>
      <c r="G15" s="156"/>
      <c r="H15" s="109">
        <v>126</v>
      </c>
      <c r="I15" s="109">
        <v>126</v>
      </c>
      <c r="J15" s="156"/>
      <c r="K15" s="169">
        <v>100.8</v>
      </c>
      <c r="L15" s="169">
        <v>100.8</v>
      </c>
    </row>
    <row r="16" spans="1:12" ht="30">
      <c r="A16" s="108" t="s">
        <v>171</v>
      </c>
      <c r="B16" s="107">
        <v>0</v>
      </c>
      <c r="C16" s="107">
        <v>0</v>
      </c>
      <c r="D16" s="107" t="s">
        <v>322</v>
      </c>
      <c r="E16" s="109">
        <v>90</v>
      </c>
      <c r="F16" s="109">
        <v>90</v>
      </c>
      <c r="H16" s="109">
        <v>90</v>
      </c>
      <c r="I16" s="109">
        <v>90</v>
      </c>
      <c r="K16" s="169">
        <v>72</v>
      </c>
      <c r="L16" s="169">
        <v>72</v>
      </c>
    </row>
    <row r="17" spans="1:12" ht="30">
      <c r="A17" s="108" t="s">
        <v>172</v>
      </c>
      <c r="B17" s="107">
        <v>0</v>
      </c>
      <c r="C17" s="107">
        <v>0</v>
      </c>
      <c r="D17" s="107" t="s">
        <v>322</v>
      </c>
      <c r="E17" s="109">
        <v>90</v>
      </c>
      <c r="F17" s="109">
        <v>68</v>
      </c>
      <c r="H17" s="109">
        <v>90</v>
      </c>
      <c r="I17" s="109">
        <v>68</v>
      </c>
      <c r="K17" s="169">
        <v>72</v>
      </c>
      <c r="L17" s="169">
        <v>54.4</v>
      </c>
    </row>
    <row r="18" spans="1:12" ht="30">
      <c r="A18" s="108" t="s">
        <v>173</v>
      </c>
      <c r="B18" s="107">
        <v>0</v>
      </c>
      <c r="C18" s="107">
        <v>0</v>
      </c>
      <c r="D18" s="107" t="s">
        <v>322</v>
      </c>
      <c r="E18" s="109">
        <v>117</v>
      </c>
      <c r="F18" s="109">
        <v>117</v>
      </c>
      <c r="H18" s="109">
        <v>117</v>
      </c>
      <c r="I18" s="109">
        <v>117</v>
      </c>
      <c r="K18" s="169">
        <v>93.6</v>
      </c>
      <c r="L18" s="169">
        <v>93.6</v>
      </c>
    </row>
    <row r="19" spans="1:12" ht="30">
      <c r="A19" s="108" t="s">
        <v>174</v>
      </c>
      <c r="B19" s="107">
        <v>0</v>
      </c>
      <c r="C19" s="107">
        <v>0</v>
      </c>
      <c r="D19" s="107" t="s">
        <v>322</v>
      </c>
      <c r="E19" s="109">
        <v>108</v>
      </c>
      <c r="F19" s="109">
        <v>108</v>
      </c>
      <c r="H19" s="109">
        <v>108</v>
      </c>
      <c r="I19" s="109">
        <v>108</v>
      </c>
      <c r="K19" s="169">
        <v>86.4</v>
      </c>
      <c r="L19" s="169">
        <v>86.4</v>
      </c>
    </row>
    <row r="20" spans="1:12" ht="30">
      <c r="A20" s="108" t="s">
        <v>175</v>
      </c>
      <c r="B20" s="107">
        <v>0</v>
      </c>
      <c r="C20" s="107">
        <v>0</v>
      </c>
      <c r="D20" s="107" t="s">
        <v>322</v>
      </c>
      <c r="E20" s="109">
        <v>68</v>
      </c>
      <c r="F20" s="109">
        <v>68</v>
      </c>
      <c r="H20" s="109">
        <v>68</v>
      </c>
      <c r="I20" s="109">
        <v>68</v>
      </c>
      <c r="K20" s="169">
        <v>54.4</v>
      </c>
      <c r="L20" s="169">
        <v>54.4</v>
      </c>
    </row>
    <row r="21" spans="1:12" ht="30">
      <c r="A21" s="108" t="s">
        <v>176</v>
      </c>
      <c r="B21" s="107">
        <v>0</v>
      </c>
      <c r="C21" s="107">
        <v>0</v>
      </c>
      <c r="D21" s="107" t="s">
        <v>322</v>
      </c>
      <c r="E21" s="109" t="s">
        <v>182</v>
      </c>
      <c r="F21" s="109" t="s">
        <v>182</v>
      </c>
      <c r="H21" s="109" t="s">
        <v>182</v>
      </c>
      <c r="I21" s="109" t="s">
        <v>182</v>
      </c>
      <c r="K21" s="171" t="s">
        <v>312</v>
      </c>
      <c r="L21" s="171" t="s">
        <v>312</v>
      </c>
    </row>
    <row r="22" spans="1:12" ht="30">
      <c r="A22" s="108" t="s">
        <v>177</v>
      </c>
      <c r="B22" s="107">
        <v>0</v>
      </c>
      <c r="C22" s="107">
        <v>0</v>
      </c>
      <c r="D22" s="107" t="s">
        <v>322</v>
      </c>
      <c r="E22" s="109">
        <v>90</v>
      </c>
      <c r="F22" s="109">
        <v>90</v>
      </c>
      <c r="H22" s="109">
        <v>90</v>
      </c>
      <c r="I22" s="109">
        <v>90</v>
      </c>
      <c r="K22" s="169">
        <v>72</v>
      </c>
      <c r="L22" s="169">
        <v>72</v>
      </c>
    </row>
    <row r="23" spans="1:12" ht="30">
      <c r="A23" s="108" t="s">
        <v>178</v>
      </c>
      <c r="B23" s="107">
        <v>0</v>
      </c>
      <c r="C23" s="107">
        <v>0</v>
      </c>
      <c r="D23" s="107" t="s">
        <v>322</v>
      </c>
      <c r="E23" s="109">
        <v>99</v>
      </c>
      <c r="F23" s="109">
        <v>90</v>
      </c>
      <c r="H23" s="109">
        <v>99</v>
      </c>
      <c r="I23" s="109">
        <v>90</v>
      </c>
      <c r="K23" s="169">
        <v>79.2</v>
      </c>
      <c r="L23" s="169">
        <v>72</v>
      </c>
    </row>
    <row r="24" spans="1:12" ht="30">
      <c r="A24" s="108" t="s">
        <v>179</v>
      </c>
      <c r="B24" s="107">
        <v>0</v>
      </c>
      <c r="C24" s="107">
        <v>0</v>
      </c>
      <c r="D24" s="107" t="s">
        <v>322</v>
      </c>
      <c r="E24" s="109">
        <v>68</v>
      </c>
      <c r="F24" s="109">
        <v>68</v>
      </c>
      <c r="H24" s="109">
        <v>68</v>
      </c>
      <c r="I24" s="109">
        <v>68</v>
      </c>
      <c r="K24" s="169">
        <v>54.4</v>
      </c>
      <c r="L24" s="169">
        <v>54.4</v>
      </c>
    </row>
    <row r="25" spans="1:12" ht="30">
      <c r="A25" s="108" t="s">
        <v>180</v>
      </c>
      <c r="B25" s="107">
        <v>0</v>
      </c>
      <c r="C25" s="107">
        <v>0</v>
      </c>
      <c r="D25" s="107" t="s">
        <v>322</v>
      </c>
      <c r="E25" s="109">
        <v>32</v>
      </c>
      <c r="F25" s="109">
        <v>23</v>
      </c>
      <c r="H25" s="109">
        <v>32</v>
      </c>
      <c r="I25" s="109">
        <v>23</v>
      </c>
      <c r="K25" s="169">
        <v>25.6</v>
      </c>
      <c r="L25" s="169">
        <v>18.4</v>
      </c>
    </row>
    <row r="26" spans="1:12" ht="30">
      <c r="A26" s="108" t="s">
        <v>181</v>
      </c>
      <c r="B26" s="107">
        <v>0</v>
      </c>
      <c r="C26" s="107">
        <v>0</v>
      </c>
      <c r="D26" s="107" t="s">
        <v>322</v>
      </c>
      <c r="E26" s="109">
        <v>126</v>
      </c>
      <c r="F26" s="109">
        <v>126</v>
      </c>
      <c r="H26" s="109">
        <v>126</v>
      </c>
      <c r="I26" s="109">
        <v>126</v>
      </c>
      <c r="K26" s="169">
        <v>100.8</v>
      </c>
      <c r="L26" s="169">
        <v>100.8</v>
      </c>
    </row>
    <row r="27" spans="1:12" ht="30">
      <c r="A27" s="108" t="s">
        <v>183</v>
      </c>
      <c r="B27" s="107">
        <v>0</v>
      </c>
      <c r="C27" s="107">
        <v>0</v>
      </c>
      <c r="D27" s="107" t="s">
        <v>322</v>
      </c>
      <c r="E27" s="109">
        <v>135</v>
      </c>
      <c r="F27" s="109">
        <v>90</v>
      </c>
      <c r="H27" s="109">
        <v>135</v>
      </c>
      <c r="I27" s="109">
        <v>90</v>
      </c>
      <c r="K27" s="169">
        <v>108</v>
      </c>
      <c r="L27" s="169">
        <v>72</v>
      </c>
    </row>
    <row r="28" spans="1:12" ht="30">
      <c r="A28" s="108" t="s">
        <v>184</v>
      </c>
      <c r="B28" s="107">
        <v>0</v>
      </c>
      <c r="C28" s="107">
        <v>0</v>
      </c>
      <c r="D28" s="107" t="s">
        <v>322</v>
      </c>
      <c r="E28" s="109">
        <v>108</v>
      </c>
      <c r="F28" s="109">
        <v>108</v>
      </c>
      <c r="H28" s="109">
        <v>108</v>
      </c>
      <c r="I28" s="109">
        <v>108</v>
      </c>
      <c r="K28" s="169">
        <v>86.4</v>
      </c>
      <c r="L28" s="169">
        <v>86.4</v>
      </c>
    </row>
    <row r="29" spans="1:12" ht="30">
      <c r="A29" s="108" t="s">
        <v>185</v>
      </c>
      <c r="B29" s="107">
        <v>0</v>
      </c>
      <c r="C29" s="107">
        <v>0</v>
      </c>
      <c r="D29" s="107" t="s">
        <v>322</v>
      </c>
      <c r="E29" s="109" t="s">
        <v>205</v>
      </c>
      <c r="F29" s="109" t="s">
        <v>206</v>
      </c>
      <c r="H29" s="109" t="s">
        <v>205</v>
      </c>
      <c r="I29" s="109" t="s">
        <v>206</v>
      </c>
      <c r="K29" s="171" t="s">
        <v>311</v>
      </c>
      <c r="L29" s="171" t="s">
        <v>319</v>
      </c>
    </row>
    <row r="30" spans="1:12" ht="30">
      <c r="A30" s="108" t="s">
        <v>186</v>
      </c>
      <c r="B30" s="107">
        <v>0</v>
      </c>
      <c r="C30" s="107">
        <v>0</v>
      </c>
      <c r="D30" s="107" t="s">
        <v>322</v>
      </c>
      <c r="E30" s="109">
        <v>135</v>
      </c>
      <c r="F30" s="109">
        <v>90</v>
      </c>
      <c r="H30" s="109">
        <v>135</v>
      </c>
      <c r="I30" s="109">
        <v>90</v>
      </c>
      <c r="K30" s="169">
        <v>108</v>
      </c>
      <c r="L30" s="169">
        <v>72</v>
      </c>
    </row>
    <row r="31" spans="1:12" ht="30">
      <c r="A31" s="108" t="s">
        <v>187</v>
      </c>
      <c r="B31" s="107">
        <v>0</v>
      </c>
      <c r="C31" s="107">
        <v>0</v>
      </c>
      <c r="D31" s="107" t="s">
        <v>322</v>
      </c>
      <c r="E31" s="109">
        <v>122</v>
      </c>
      <c r="F31" s="109">
        <v>90</v>
      </c>
      <c r="H31" s="109">
        <v>122</v>
      </c>
      <c r="I31" s="109">
        <v>90</v>
      </c>
      <c r="K31" s="169">
        <v>97.6</v>
      </c>
      <c r="L31" s="169">
        <v>72</v>
      </c>
    </row>
    <row r="32" spans="1:12" ht="30">
      <c r="A32" s="108" t="s">
        <v>188</v>
      </c>
      <c r="B32" s="107">
        <v>0</v>
      </c>
      <c r="C32" s="107">
        <v>0</v>
      </c>
      <c r="D32" s="107" t="s">
        <v>322</v>
      </c>
      <c r="E32" s="109">
        <v>90</v>
      </c>
      <c r="F32" s="109">
        <v>90</v>
      </c>
      <c r="H32" s="109">
        <v>90</v>
      </c>
      <c r="I32" s="109">
        <v>90</v>
      </c>
      <c r="K32" s="169">
        <v>72</v>
      </c>
      <c r="L32" s="169">
        <v>72</v>
      </c>
    </row>
    <row r="33" spans="1:12" ht="30">
      <c r="A33" s="108" t="s">
        <v>189</v>
      </c>
      <c r="B33" s="107">
        <v>0</v>
      </c>
      <c r="C33" s="107">
        <v>0</v>
      </c>
      <c r="D33" s="107" t="s">
        <v>322</v>
      </c>
      <c r="E33" s="109">
        <v>32</v>
      </c>
      <c r="F33" s="109">
        <v>25</v>
      </c>
      <c r="H33" s="109">
        <v>32</v>
      </c>
      <c r="I33" s="109">
        <v>25</v>
      </c>
      <c r="K33" s="169">
        <v>28</v>
      </c>
      <c r="L33" s="169">
        <v>25</v>
      </c>
    </row>
    <row r="34" spans="1:12" ht="30">
      <c r="A34" s="108" t="s">
        <v>190</v>
      </c>
      <c r="B34" s="107">
        <v>0</v>
      </c>
      <c r="C34" s="107">
        <v>0</v>
      </c>
      <c r="D34" s="107" t="s">
        <v>322</v>
      </c>
      <c r="E34" s="109">
        <v>72</v>
      </c>
      <c r="F34" s="109">
        <v>41</v>
      </c>
      <c r="H34" s="109">
        <v>72</v>
      </c>
      <c r="I34" s="109">
        <v>41</v>
      </c>
      <c r="K34" s="169">
        <v>57.6</v>
      </c>
      <c r="L34" s="169">
        <v>32.8</v>
      </c>
    </row>
    <row r="35" spans="1:12" ht="30">
      <c r="A35" s="108" t="s">
        <v>191</v>
      </c>
      <c r="B35" s="107">
        <v>0</v>
      </c>
      <c r="C35" s="107">
        <v>0</v>
      </c>
      <c r="D35" s="107" t="s">
        <v>322</v>
      </c>
      <c r="E35" s="109">
        <v>126</v>
      </c>
      <c r="F35" s="109">
        <v>126</v>
      </c>
      <c r="H35" s="109">
        <v>126</v>
      </c>
      <c r="I35" s="109">
        <v>126</v>
      </c>
      <c r="K35" s="169">
        <v>100.8</v>
      </c>
      <c r="L35" s="169">
        <v>100.8</v>
      </c>
    </row>
    <row r="36" spans="1:12" ht="30">
      <c r="A36" s="108" t="s">
        <v>192</v>
      </c>
      <c r="B36" s="107">
        <v>0</v>
      </c>
      <c r="C36" s="107">
        <v>0</v>
      </c>
      <c r="D36" s="107" t="s">
        <v>322</v>
      </c>
      <c r="E36" s="109">
        <v>135</v>
      </c>
      <c r="F36" s="109">
        <v>90</v>
      </c>
      <c r="H36" s="109">
        <v>135</v>
      </c>
      <c r="I36" s="109">
        <v>90</v>
      </c>
      <c r="K36" s="169">
        <v>108</v>
      </c>
      <c r="L36" s="169">
        <v>72</v>
      </c>
    </row>
    <row r="37" spans="1:12" ht="30">
      <c r="A37" s="108" t="s">
        <v>193</v>
      </c>
      <c r="B37" s="107">
        <v>0</v>
      </c>
      <c r="C37" s="107">
        <v>0</v>
      </c>
      <c r="D37" s="107" t="s">
        <v>322</v>
      </c>
      <c r="E37" s="109">
        <v>135</v>
      </c>
      <c r="F37" s="109">
        <v>135</v>
      </c>
      <c r="H37" s="109">
        <v>135</v>
      </c>
      <c r="I37" s="109">
        <v>135</v>
      </c>
      <c r="K37" s="169">
        <v>108</v>
      </c>
      <c r="L37" s="169">
        <v>108</v>
      </c>
    </row>
    <row r="38" spans="1:12" ht="30">
      <c r="A38" s="108" t="s">
        <v>194</v>
      </c>
      <c r="B38" s="107">
        <v>0</v>
      </c>
      <c r="C38" s="107">
        <v>0</v>
      </c>
      <c r="D38" s="107" t="s">
        <v>322</v>
      </c>
      <c r="E38" s="109">
        <v>126</v>
      </c>
      <c r="F38" s="109" t="s">
        <v>207</v>
      </c>
      <c r="H38" s="109">
        <v>126</v>
      </c>
      <c r="I38" s="109" t="s">
        <v>207</v>
      </c>
      <c r="K38" s="169">
        <v>100.8</v>
      </c>
      <c r="L38" s="171" t="s">
        <v>320</v>
      </c>
    </row>
    <row r="39" spans="1:12" ht="30">
      <c r="A39" s="108" t="s">
        <v>195</v>
      </c>
      <c r="B39" s="107">
        <v>0</v>
      </c>
      <c r="C39" s="107">
        <v>0</v>
      </c>
      <c r="D39" s="107" t="s">
        <v>322</v>
      </c>
      <c r="E39" s="109">
        <v>90</v>
      </c>
      <c r="F39" s="109">
        <v>90</v>
      </c>
      <c r="H39" s="109">
        <v>90</v>
      </c>
      <c r="I39" s="109">
        <v>90</v>
      </c>
      <c r="K39" s="169">
        <v>72</v>
      </c>
      <c r="L39" s="169">
        <v>72</v>
      </c>
    </row>
    <row r="40" spans="1:12" ht="45">
      <c r="A40" s="108" t="s">
        <v>313</v>
      </c>
      <c r="B40" s="107">
        <v>0</v>
      </c>
      <c r="C40" s="107">
        <v>0</v>
      </c>
      <c r="D40" s="107" t="s">
        <v>322</v>
      </c>
      <c r="E40" s="109">
        <v>135</v>
      </c>
      <c r="F40" s="109">
        <v>135</v>
      </c>
      <c r="H40" s="109">
        <v>135</v>
      </c>
      <c r="I40" s="109">
        <v>135</v>
      </c>
      <c r="K40" s="169">
        <v>108</v>
      </c>
      <c r="L40" s="169">
        <v>108</v>
      </c>
    </row>
    <row r="41" spans="1:12" ht="45">
      <c r="A41" s="108" t="s">
        <v>316</v>
      </c>
      <c r="B41" s="107">
        <v>0</v>
      </c>
      <c r="C41" s="107">
        <v>0</v>
      </c>
      <c r="D41" s="107" t="s">
        <v>322</v>
      </c>
      <c r="E41" s="109">
        <v>135</v>
      </c>
      <c r="F41" s="109">
        <v>135</v>
      </c>
      <c r="H41" s="109">
        <v>135</v>
      </c>
      <c r="I41" s="109">
        <v>135</v>
      </c>
      <c r="K41" s="169">
        <v>180</v>
      </c>
      <c r="L41" s="169">
        <v>180</v>
      </c>
    </row>
    <row r="42" spans="1:12" ht="45">
      <c r="A42" s="108" t="s">
        <v>314</v>
      </c>
      <c r="B42" s="107">
        <v>0</v>
      </c>
      <c r="C42" s="107">
        <v>0</v>
      </c>
      <c r="D42" s="107" t="s">
        <v>322</v>
      </c>
      <c r="E42" s="109">
        <v>153</v>
      </c>
      <c r="F42" s="109">
        <v>90</v>
      </c>
      <c r="H42" s="109">
        <v>153</v>
      </c>
      <c r="I42" s="109">
        <v>90</v>
      </c>
      <c r="K42" s="169">
        <v>122.4</v>
      </c>
      <c r="L42" s="169">
        <v>72</v>
      </c>
    </row>
    <row r="43" spans="1:12" ht="45">
      <c r="A43" s="108" t="s">
        <v>317</v>
      </c>
      <c r="B43" s="107">
        <v>0</v>
      </c>
      <c r="C43" s="107">
        <v>0</v>
      </c>
      <c r="D43" s="107" t="s">
        <v>322</v>
      </c>
      <c r="E43" s="109">
        <v>153</v>
      </c>
      <c r="F43" s="109">
        <v>90</v>
      </c>
      <c r="H43" s="109">
        <v>153</v>
      </c>
      <c r="I43" s="109">
        <v>90</v>
      </c>
      <c r="K43" s="169">
        <v>200</v>
      </c>
      <c r="L43" s="169">
        <v>200</v>
      </c>
    </row>
    <row r="44" spans="1:12" ht="30">
      <c r="A44" s="108" t="s">
        <v>198</v>
      </c>
      <c r="B44" s="107">
        <v>0</v>
      </c>
      <c r="C44" s="107">
        <v>0</v>
      </c>
      <c r="D44" s="107" t="s">
        <v>322</v>
      </c>
      <c r="E44" s="109">
        <v>158</v>
      </c>
      <c r="F44" s="109">
        <v>90</v>
      </c>
      <c r="H44" s="109">
        <v>158</v>
      </c>
      <c r="I44" s="109">
        <v>90</v>
      </c>
      <c r="K44" s="169">
        <v>126.4</v>
      </c>
      <c r="L44" s="169">
        <v>72</v>
      </c>
    </row>
    <row r="45" spans="1:12" ht="45">
      <c r="A45" s="108" t="s">
        <v>315</v>
      </c>
      <c r="B45" s="107">
        <v>0</v>
      </c>
      <c r="C45" s="107">
        <v>0</v>
      </c>
      <c r="D45" s="107" t="s">
        <v>322</v>
      </c>
      <c r="E45" s="109">
        <v>171</v>
      </c>
      <c r="F45" s="109">
        <v>171</v>
      </c>
      <c r="H45" s="109">
        <v>171</v>
      </c>
      <c r="I45" s="109">
        <v>171</v>
      </c>
      <c r="K45" s="169">
        <v>136.8</v>
      </c>
      <c r="L45" s="169">
        <v>136.8</v>
      </c>
    </row>
    <row r="46" spans="1:12" ht="45">
      <c r="A46" s="108" t="s">
        <v>318</v>
      </c>
      <c r="B46" s="107">
        <v>0</v>
      </c>
      <c r="C46" s="107">
        <v>0</v>
      </c>
      <c r="D46" s="107" t="s">
        <v>322</v>
      </c>
      <c r="E46" s="109">
        <v>171</v>
      </c>
      <c r="F46" s="109">
        <v>171</v>
      </c>
      <c r="H46" s="109">
        <v>171</v>
      </c>
      <c r="I46" s="109">
        <v>171</v>
      </c>
      <c r="K46" s="169">
        <v>180</v>
      </c>
      <c r="L46" s="169">
        <v>180</v>
      </c>
    </row>
    <row r="47" spans="1:12" ht="30">
      <c r="A47" s="108" t="s">
        <v>200</v>
      </c>
      <c r="B47" s="107">
        <v>0</v>
      </c>
      <c r="C47" s="107">
        <v>0</v>
      </c>
      <c r="D47" s="107" t="s">
        <v>322</v>
      </c>
      <c r="E47" s="109">
        <v>171</v>
      </c>
      <c r="F47" s="109">
        <v>90</v>
      </c>
      <c r="H47" s="109">
        <v>171</v>
      </c>
      <c r="I47" s="109">
        <v>90</v>
      </c>
      <c r="K47" s="169">
        <v>136.8</v>
      </c>
      <c r="L47" s="169">
        <v>72</v>
      </c>
    </row>
    <row r="48" spans="1:12" ht="30">
      <c r="A48" s="108" t="s">
        <v>201</v>
      </c>
      <c r="B48" s="107">
        <v>0</v>
      </c>
      <c r="C48" s="107">
        <v>0</v>
      </c>
      <c r="D48" s="107" t="s">
        <v>322</v>
      </c>
      <c r="E48" s="109">
        <v>81</v>
      </c>
      <c r="F48" s="109">
        <v>81</v>
      </c>
      <c r="H48" s="109">
        <v>81</v>
      </c>
      <c r="I48" s="109">
        <v>81</v>
      </c>
      <c r="K48" s="169">
        <v>64.8</v>
      </c>
      <c r="L48" s="169">
        <v>64.8</v>
      </c>
    </row>
    <row r="49" spans="1:12" ht="30">
      <c r="A49" s="108" t="s">
        <v>202</v>
      </c>
      <c r="B49" s="107">
        <v>0</v>
      </c>
      <c r="C49" s="107">
        <v>0</v>
      </c>
      <c r="D49" s="107" t="s">
        <v>322</v>
      </c>
      <c r="E49" s="109">
        <v>135</v>
      </c>
      <c r="F49" s="109">
        <v>135</v>
      </c>
      <c r="H49" s="109">
        <v>135</v>
      </c>
      <c r="I49" s="109">
        <v>135</v>
      </c>
      <c r="K49" s="169">
        <v>108</v>
      </c>
      <c r="L49" s="169">
        <v>108</v>
      </c>
    </row>
    <row r="50" spans="1:12" ht="30">
      <c r="A50" s="108" t="s">
        <v>203</v>
      </c>
      <c r="B50" s="107">
        <v>0</v>
      </c>
      <c r="C50" s="107">
        <v>0</v>
      </c>
      <c r="D50" s="107" t="s">
        <v>322</v>
      </c>
      <c r="E50" s="109">
        <v>68</v>
      </c>
      <c r="F50" s="109">
        <v>68</v>
      </c>
      <c r="H50" s="109">
        <v>68</v>
      </c>
      <c r="I50" s="109">
        <v>68</v>
      </c>
      <c r="K50" s="169">
        <v>54.4</v>
      </c>
      <c r="L50" s="169">
        <v>54.4</v>
      </c>
    </row>
    <row r="51" spans="1:12" ht="30">
      <c r="A51" s="108" t="s">
        <v>204</v>
      </c>
      <c r="B51" s="107">
        <v>0</v>
      </c>
      <c r="C51" s="107">
        <v>0</v>
      </c>
      <c r="D51" s="107" t="s">
        <v>322</v>
      </c>
      <c r="E51" s="109">
        <v>140</v>
      </c>
      <c r="F51" s="109">
        <v>140</v>
      </c>
      <c r="H51" s="109">
        <v>140</v>
      </c>
      <c r="I51" s="109">
        <v>140</v>
      </c>
      <c r="K51" s="169">
        <v>112</v>
      </c>
      <c r="L51" s="169">
        <v>112</v>
      </c>
    </row>
    <row r="52" spans="1:12" ht="30">
      <c r="A52" s="108" t="s">
        <v>208</v>
      </c>
      <c r="B52" s="107">
        <v>0</v>
      </c>
      <c r="C52" s="107">
        <v>0</v>
      </c>
      <c r="D52" s="107" t="s">
        <v>322</v>
      </c>
      <c r="E52" s="109">
        <v>144</v>
      </c>
      <c r="F52" s="109">
        <v>144</v>
      </c>
      <c r="H52" s="109">
        <v>144</v>
      </c>
      <c r="I52" s="109">
        <v>144</v>
      </c>
      <c r="K52" s="169">
        <v>115.2</v>
      </c>
      <c r="L52" s="169">
        <v>115.2</v>
      </c>
    </row>
    <row r="53" spans="1:12" ht="30">
      <c r="A53" s="108" t="s">
        <v>209</v>
      </c>
      <c r="B53" s="107">
        <v>0</v>
      </c>
      <c r="C53" s="107">
        <v>0</v>
      </c>
      <c r="D53" s="107" t="s">
        <v>322</v>
      </c>
      <c r="E53" s="109">
        <v>135</v>
      </c>
      <c r="F53" s="109">
        <v>90</v>
      </c>
      <c r="H53" s="109">
        <v>135</v>
      </c>
      <c r="I53" s="109">
        <v>90</v>
      </c>
      <c r="K53" s="169">
        <v>108</v>
      </c>
      <c r="L53" s="169">
        <v>72</v>
      </c>
    </row>
    <row r="54" spans="1:12" ht="30">
      <c r="A54" s="108" t="s">
        <v>210</v>
      </c>
      <c r="B54" s="107">
        <v>0</v>
      </c>
      <c r="C54" s="107">
        <v>0</v>
      </c>
      <c r="D54" s="107" t="s">
        <v>322</v>
      </c>
      <c r="E54" s="109">
        <v>153</v>
      </c>
      <c r="F54" s="109" t="s">
        <v>229</v>
      </c>
      <c r="H54" s="109">
        <v>153</v>
      </c>
      <c r="I54" s="109" t="s">
        <v>229</v>
      </c>
      <c r="K54" s="169">
        <v>122.4</v>
      </c>
      <c r="L54" s="171" t="s">
        <v>321</v>
      </c>
    </row>
    <row r="55" spans="1:12" ht="30">
      <c r="A55" s="108" t="s">
        <v>211</v>
      </c>
      <c r="B55" s="107">
        <v>0</v>
      </c>
      <c r="C55" s="107">
        <v>0</v>
      </c>
      <c r="D55" s="107" t="s">
        <v>322</v>
      </c>
      <c r="E55" s="109">
        <v>122</v>
      </c>
      <c r="F55" s="109">
        <v>122</v>
      </c>
      <c r="H55" s="109">
        <v>122</v>
      </c>
      <c r="I55" s="109">
        <v>122</v>
      </c>
      <c r="K55" s="169">
        <v>97.6</v>
      </c>
      <c r="L55" s="169">
        <v>97.6</v>
      </c>
    </row>
    <row r="56" spans="1:12" ht="30">
      <c r="A56" s="108" t="s">
        <v>212</v>
      </c>
      <c r="B56" s="107">
        <v>0</v>
      </c>
      <c r="C56" s="107">
        <v>0</v>
      </c>
      <c r="D56" s="107" t="s">
        <v>322</v>
      </c>
      <c r="E56" s="109">
        <v>32</v>
      </c>
      <c r="F56" s="109">
        <v>23</v>
      </c>
      <c r="H56" s="109">
        <v>32</v>
      </c>
      <c r="I56" s="109">
        <v>23</v>
      </c>
      <c r="K56" s="169">
        <v>25.6</v>
      </c>
      <c r="L56" s="169">
        <v>18.4</v>
      </c>
    </row>
    <row r="57" spans="1:12" ht="30">
      <c r="A57" s="108" t="s">
        <v>213</v>
      </c>
      <c r="B57" s="107">
        <v>0</v>
      </c>
      <c r="C57" s="107">
        <v>0</v>
      </c>
      <c r="D57" s="107" t="s">
        <v>322</v>
      </c>
      <c r="E57" s="109">
        <v>81</v>
      </c>
      <c r="F57" s="109">
        <v>81</v>
      </c>
      <c r="H57" s="109">
        <v>81</v>
      </c>
      <c r="I57" s="109">
        <v>81</v>
      </c>
      <c r="K57" s="169">
        <v>64.8</v>
      </c>
      <c r="L57" s="169">
        <v>64.8</v>
      </c>
    </row>
    <row r="58" spans="1:12" ht="30">
      <c r="A58" s="108" t="s">
        <v>214</v>
      </c>
      <c r="B58" s="107">
        <v>0</v>
      </c>
      <c r="C58" s="107">
        <v>0</v>
      </c>
      <c r="D58" s="107" t="s">
        <v>322</v>
      </c>
      <c r="E58" s="109">
        <v>135</v>
      </c>
      <c r="F58" s="109">
        <v>135</v>
      </c>
      <c r="H58" s="109">
        <v>135</v>
      </c>
      <c r="I58" s="109">
        <v>135</v>
      </c>
      <c r="K58" s="169">
        <v>108</v>
      </c>
      <c r="L58" s="169">
        <v>108</v>
      </c>
    </row>
    <row r="59" spans="1:12" ht="30">
      <c r="A59" s="108" t="s">
        <v>215</v>
      </c>
      <c r="B59" s="107">
        <v>0</v>
      </c>
      <c r="C59" s="107">
        <v>0</v>
      </c>
      <c r="D59" s="107" t="s">
        <v>322</v>
      </c>
      <c r="E59" s="109">
        <v>32</v>
      </c>
      <c r="F59" s="109">
        <v>23</v>
      </c>
      <c r="H59" s="109">
        <v>32</v>
      </c>
      <c r="I59" s="109">
        <v>23</v>
      </c>
      <c r="K59" s="169">
        <v>25.6</v>
      </c>
      <c r="L59" s="169">
        <v>18.4</v>
      </c>
    </row>
    <row r="60" spans="1:12" ht="30">
      <c r="A60" s="108" t="s">
        <v>216</v>
      </c>
      <c r="B60" s="107">
        <v>0</v>
      </c>
      <c r="C60" s="107">
        <v>0</v>
      </c>
      <c r="D60" s="107" t="s">
        <v>322</v>
      </c>
      <c r="E60" s="109">
        <v>135</v>
      </c>
      <c r="F60" s="109">
        <v>90</v>
      </c>
      <c r="G60" s="156"/>
      <c r="H60" s="109">
        <v>135</v>
      </c>
      <c r="I60" s="109">
        <v>135</v>
      </c>
      <c r="J60" s="156"/>
      <c r="K60" s="169">
        <v>108</v>
      </c>
      <c r="L60" s="169">
        <v>108</v>
      </c>
    </row>
    <row r="61" spans="1:12" ht="30">
      <c r="A61" s="108" t="s">
        <v>217</v>
      </c>
      <c r="B61" s="107">
        <v>0</v>
      </c>
      <c r="C61" s="107">
        <v>0</v>
      </c>
      <c r="D61" s="107" t="s">
        <v>322</v>
      </c>
      <c r="E61" s="109">
        <v>117</v>
      </c>
      <c r="F61" s="109">
        <v>90</v>
      </c>
      <c r="G61" s="156"/>
      <c r="H61" s="109">
        <v>117</v>
      </c>
      <c r="I61" s="109">
        <v>117</v>
      </c>
      <c r="J61" s="156"/>
      <c r="K61" s="169">
        <v>93.6</v>
      </c>
      <c r="L61" s="169">
        <v>93.6</v>
      </c>
    </row>
    <row r="62" spans="1:12" ht="30">
      <c r="A62" s="108" t="s">
        <v>218</v>
      </c>
      <c r="B62" s="107">
        <v>0</v>
      </c>
      <c r="C62" s="107">
        <v>0</v>
      </c>
      <c r="D62" s="107" t="s">
        <v>322</v>
      </c>
      <c r="E62" s="109">
        <v>135</v>
      </c>
      <c r="F62" s="109">
        <v>135</v>
      </c>
      <c r="H62" s="109">
        <v>135</v>
      </c>
      <c r="I62" s="109">
        <v>135</v>
      </c>
      <c r="K62" s="169">
        <v>108</v>
      </c>
      <c r="L62" s="169">
        <v>108</v>
      </c>
    </row>
    <row r="63" spans="1:12" ht="30">
      <c r="A63" s="108" t="s">
        <v>219</v>
      </c>
      <c r="B63" s="107">
        <v>0</v>
      </c>
      <c r="C63" s="107">
        <v>0</v>
      </c>
      <c r="D63" s="107" t="s">
        <v>322</v>
      </c>
      <c r="E63" s="109">
        <v>135</v>
      </c>
      <c r="F63" s="109">
        <v>135</v>
      </c>
      <c r="H63" s="109">
        <v>135</v>
      </c>
      <c r="I63" s="109">
        <v>135</v>
      </c>
      <c r="K63" s="169">
        <v>108</v>
      </c>
      <c r="L63" s="169">
        <v>108</v>
      </c>
    </row>
    <row r="64" spans="1:12" ht="30">
      <c r="A64" s="108" t="s">
        <v>220</v>
      </c>
      <c r="B64" s="107">
        <v>0</v>
      </c>
      <c r="C64" s="107">
        <v>0</v>
      </c>
      <c r="D64" s="107" t="s">
        <v>322</v>
      </c>
      <c r="E64" s="109">
        <v>63</v>
      </c>
      <c r="F64" s="109">
        <v>63</v>
      </c>
      <c r="H64" s="109">
        <v>63</v>
      </c>
      <c r="I64" s="109">
        <v>63</v>
      </c>
      <c r="K64" s="169">
        <v>50.4</v>
      </c>
      <c r="L64" s="169">
        <v>50.4</v>
      </c>
    </row>
    <row r="65" spans="1:12" ht="30">
      <c r="A65" s="108" t="s">
        <v>221</v>
      </c>
      <c r="B65" s="107">
        <v>0</v>
      </c>
      <c r="C65" s="107">
        <v>0</v>
      </c>
      <c r="D65" s="107" t="s">
        <v>322</v>
      </c>
      <c r="E65" s="109">
        <v>99</v>
      </c>
      <c r="F65" s="109">
        <v>99</v>
      </c>
      <c r="H65" s="109">
        <v>99</v>
      </c>
      <c r="I65" s="109">
        <v>99</v>
      </c>
      <c r="K65" s="169">
        <v>79.2</v>
      </c>
      <c r="L65" s="169">
        <v>79.2</v>
      </c>
    </row>
    <row r="66" spans="1:12" ht="30">
      <c r="A66" s="108" t="s">
        <v>223</v>
      </c>
      <c r="B66" s="107">
        <v>0</v>
      </c>
      <c r="C66" s="107">
        <v>0</v>
      </c>
      <c r="D66" s="107" t="s">
        <v>322</v>
      </c>
      <c r="E66" s="109">
        <v>85</v>
      </c>
      <c r="F66" s="109">
        <v>115</v>
      </c>
      <c r="G66" s="156" t="s">
        <v>310</v>
      </c>
      <c r="H66" s="109">
        <v>85</v>
      </c>
      <c r="I66" s="109">
        <v>115</v>
      </c>
      <c r="J66" s="156"/>
      <c r="K66" s="169">
        <v>85</v>
      </c>
      <c r="L66" s="169">
        <v>115</v>
      </c>
    </row>
    <row r="67" spans="1:12" ht="30">
      <c r="A67" s="108" t="s">
        <v>222</v>
      </c>
      <c r="B67" s="107">
        <v>0</v>
      </c>
      <c r="C67" s="107">
        <v>0</v>
      </c>
      <c r="D67" s="107" t="s">
        <v>322</v>
      </c>
      <c r="E67" s="109">
        <v>50</v>
      </c>
      <c r="F67" s="109">
        <v>50</v>
      </c>
      <c r="H67" s="109">
        <v>50</v>
      </c>
      <c r="I67" s="109">
        <v>50</v>
      </c>
      <c r="K67" s="169">
        <v>40</v>
      </c>
      <c r="L67" s="169">
        <v>40</v>
      </c>
    </row>
    <row r="68" spans="1:12" ht="30">
      <c r="A68" s="108" t="s">
        <v>224</v>
      </c>
      <c r="B68" s="107">
        <v>0</v>
      </c>
      <c r="C68" s="107">
        <v>0</v>
      </c>
      <c r="D68" s="107" t="s">
        <v>322</v>
      </c>
      <c r="E68" s="109">
        <v>90</v>
      </c>
      <c r="F68" s="109">
        <v>90</v>
      </c>
      <c r="H68" s="109">
        <v>90</v>
      </c>
      <c r="I68" s="109">
        <v>90</v>
      </c>
      <c r="K68" s="169">
        <v>72</v>
      </c>
      <c r="L68" s="169">
        <v>72</v>
      </c>
    </row>
    <row r="69" spans="1:12" ht="30">
      <c r="A69" s="108" t="s">
        <v>225</v>
      </c>
      <c r="B69" s="107">
        <v>0</v>
      </c>
      <c r="C69" s="107">
        <v>0</v>
      </c>
      <c r="D69" s="107" t="s">
        <v>322</v>
      </c>
      <c r="E69" s="109">
        <v>135</v>
      </c>
      <c r="F69" s="109">
        <v>135</v>
      </c>
      <c r="H69" s="109">
        <v>135</v>
      </c>
      <c r="I69" s="109">
        <v>135</v>
      </c>
      <c r="K69" s="169">
        <v>108</v>
      </c>
      <c r="L69" s="169">
        <v>108</v>
      </c>
    </row>
    <row r="70" spans="1:12" ht="30">
      <c r="A70" s="108" t="s">
        <v>226</v>
      </c>
      <c r="B70" s="107">
        <v>0</v>
      </c>
      <c r="C70" s="107">
        <v>0</v>
      </c>
      <c r="D70" s="107" t="s">
        <v>322</v>
      </c>
      <c r="E70" s="109">
        <v>135</v>
      </c>
      <c r="F70" s="109">
        <v>135</v>
      </c>
      <c r="H70" s="109">
        <v>135</v>
      </c>
      <c r="I70" s="109">
        <v>135</v>
      </c>
      <c r="K70" s="169">
        <v>108</v>
      </c>
      <c r="L70" s="169">
        <v>108</v>
      </c>
    </row>
    <row r="71" spans="1:12" ht="30">
      <c r="A71" s="108" t="s">
        <v>227</v>
      </c>
      <c r="B71" s="107">
        <v>0</v>
      </c>
      <c r="C71" s="107">
        <v>0</v>
      </c>
      <c r="D71" s="107" t="s">
        <v>322</v>
      </c>
      <c r="E71" s="109">
        <v>90</v>
      </c>
      <c r="F71" s="109">
        <v>90</v>
      </c>
      <c r="H71" s="109">
        <v>90</v>
      </c>
      <c r="I71" s="109">
        <v>90</v>
      </c>
      <c r="K71" s="169">
        <v>72</v>
      </c>
      <c r="L71" s="169">
        <v>72</v>
      </c>
    </row>
    <row r="72" spans="1:12" ht="30">
      <c r="A72" s="108" t="s">
        <v>228</v>
      </c>
      <c r="B72" s="107">
        <v>0</v>
      </c>
      <c r="C72" s="107">
        <v>0</v>
      </c>
      <c r="D72" s="107" t="s">
        <v>322</v>
      </c>
      <c r="E72" s="109">
        <v>117</v>
      </c>
      <c r="F72" s="109">
        <v>90</v>
      </c>
      <c r="H72" s="109">
        <v>117</v>
      </c>
      <c r="I72" s="109">
        <v>90</v>
      </c>
      <c r="K72" s="169">
        <v>93.6</v>
      </c>
      <c r="L72" s="169">
        <v>72</v>
      </c>
    </row>
    <row r="73" spans="1:6" ht="15">
      <c r="A73" s="108"/>
      <c r="B73" s="108"/>
      <c r="C73" s="108"/>
      <c r="D73" s="108"/>
      <c r="E73" s="109"/>
      <c r="F73" s="109"/>
    </row>
    <row r="74" spans="1:6" ht="15">
      <c r="A74" s="108"/>
      <c r="B74" s="108"/>
      <c r="C74" s="108"/>
      <c r="D74" s="108"/>
      <c r="E74" s="109"/>
      <c r="F74" s="109"/>
    </row>
  </sheetData>
  <sheetProtection password="CFE1" sheet="1"/>
  <autoFilter ref="A3:M72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E49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3" sqref="C43"/>
    </sheetView>
  </sheetViews>
  <sheetFormatPr defaultColWidth="9.140625" defaultRowHeight="15"/>
  <cols>
    <col min="1" max="1" width="13.140625" style="0" customWidth="1"/>
    <col min="2" max="2" width="15.8515625" style="104" customWidth="1"/>
    <col min="3" max="3" width="75.28125" style="0" customWidth="1"/>
  </cols>
  <sheetData>
    <row r="1" spans="1:3" ht="15">
      <c r="A1" s="576" t="s">
        <v>301</v>
      </c>
      <c r="B1" s="576"/>
      <c r="C1" s="166" t="s">
        <v>302</v>
      </c>
    </row>
    <row r="3" spans="1:3" ht="15">
      <c r="A3" s="157" t="s">
        <v>267</v>
      </c>
      <c r="B3" s="174" t="s">
        <v>268</v>
      </c>
      <c r="C3" s="157" t="s">
        <v>269</v>
      </c>
    </row>
    <row r="4" spans="1:3" ht="15">
      <c r="A4" t="s">
        <v>270</v>
      </c>
      <c r="B4" s="175">
        <v>41387</v>
      </c>
      <c r="C4" t="s">
        <v>271</v>
      </c>
    </row>
    <row r="5" ht="15">
      <c r="C5" t="s">
        <v>272</v>
      </c>
    </row>
    <row r="6" spans="1:3" ht="15">
      <c r="A6" t="s">
        <v>273</v>
      </c>
      <c r="B6" s="175">
        <v>41393</v>
      </c>
      <c r="C6" t="s">
        <v>274</v>
      </c>
    </row>
    <row r="7" ht="15">
      <c r="C7" t="s">
        <v>275</v>
      </c>
    </row>
    <row r="8" spans="1:3" ht="15">
      <c r="A8" t="s">
        <v>277</v>
      </c>
      <c r="B8" s="175">
        <v>41428</v>
      </c>
      <c r="C8" t="s">
        <v>278</v>
      </c>
    </row>
    <row r="9" spans="1:3" ht="15">
      <c r="A9" t="s">
        <v>279</v>
      </c>
      <c r="B9" s="175">
        <v>41438</v>
      </c>
      <c r="C9" t="s">
        <v>280</v>
      </c>
    </row>
    <row r="10" spans="1:3" ht="15">
      <c r="A10" t="s">
        <v>281</v>
      </c>
      <c r="B10" s="175">
        <v>41480</v>
      </c>
      <c r="C10" t="s">
        <v>282</v>
      </c>
    </row>
    <row r="11" ht="15">
      <c r="C11" t="s">
        <v>283</v>
      </c>
    </row>
    <row r="12" ht="15">
      <c r="C12" t="s">
        <v>284</v>
      </c>
    </row>
    <row r="13" ht="15">
      <c r="C13" t="s">
        <v>285</v>
      </c>
    </row>
    <row r="14" ht="15">
      <c r="C14" t="s">
        <v>286</v>
      </c>
    </row>
    <row r="15" ht="15">
      <c r="C15" t="s">
        <v>292</v>
      </c>
    </row>
    <row r="16" ht="15">
      <c r="C16" t="s">
        <v>293</v>
      </c>
    </row>
    <row r="17" spans="1:3" ht="15">
      <c r="A17" t="s">
        <v>297</v>
      </c>
      <c r="B17" s="175">
        <v>41569</v>
      </c>
      <c r="C17" t="s">
        <v>298</v>
      </c>
    </row>
    <row r="18" spans="1:3" ht="15">
      <c r="A18" t="s">
        <v>299</v>
      </c>
      <c r="B18" s="175">
        <v>41656</v>
      </c>
      <c r="C18" t="s">
        <v>300</v>
      </c>
    </row>
    <row r="19" spans="1:3" ht="15">
      <c r="A19" t="s">
        <v>324</v>
      </c>
      <c r="B19" s="175">
        <v>41711</v>
      </c>
      <c r="C19" t="s">
        <v>325</v>
      </c>
    </row>
    <row r="20" ht="15">
      <c r="C20" t="s">
        <v>326</v>
      </c>
    </row>
    <row r="21" spans="1:3" ht="15">
      <c r="A21" t="s">
        <v>348</v>
      </c>
      <c r="B21" s="175">
        <v>41736</v>
      </c>
      <c r="C21" t="s">
        <v>349</v>
      </c>
    </row>
    <row r="22" spans="1:3" ht="15">
      <c r="A22" t="s">
        <v>357</v>
      </c>
      <c r="B22" s="175">
        <v>41760</v>
      </c>
      <c r="C22" t="s">
        <v>358</v>
      </c>
    </row>
    <row r="23" ht="15">
      <c r="C23" t="s">
        <v>359</v>
      </c>
    </row>
    <row r="24" ht="15">
      <c r="C24" t="s">
        <v>376</v>
      </c>
    </row>
    <row r="25" spans="1:3" ht="15">
      <c r="A25" t="s">
        <v>378</v>
      </c>
      <c r="B25" s="175">
        <v>41802</v>
      </c>
      <c r="C25" t="s">
        <v>379</v>
      </c>
    </row>
    <row r="26" spans="1:3" ht="15">
      <c r="A26" t="s">
        <v>382</v>
      </c>
      <c r="B26" s="175">
        <v>41893</v>
      </c>
      <c r="C26" t="s">
        <v>383</v>
      </c>
    </row>
    <row r="27" ht="15">
      <c r="C27" t="s">
        <v>384</v>
      </c>
    </row>
    <row r="28" spans="1:3" ht="15">
      <c r="A28" t="s">
        <v>386</v>
      </c>
      <c r="B28" s="175">
        <v>42118</v>
      </c>
      <c r="C28" t="s">
        <v>395</v>
      </c>
    </row>
    <row r="29" ht="15">
      <c r="C29" t="s">
        <v>396</v>
      </c>
    </row>
    <row r="30" ht="15">
      <c r="C30" t="s">
        <v>404</v>
      </c>
    </row>
    <row r="31" ht="15">
      <c r="C31" t="s">
        <v>405</v>
      </c>
    </row>
    <row r="32" spans="1:3" ht="15">
      <c r="A32" t="s">
        <v>408</v>
      </c>
      <c r="B32" s="175">
        <v>42233</v>
      </c>
      <c r="C32" t="s">
        <v>411</v>
      </c>
    </row>
    <row r="33" ht="15">
      <c r="C33" t="s">
        <v>409</v>
      </c>
    </row>
    <row r="34" ht="15">
      <c r="C34" t="s">
        <v>410</v>
      </c>
    </row>
    <row r="36" spans="1:3" ht="30">
      <c r="A36" t="s">
        <v>466</v>
      </c>
      <c r="B36" s="175">
        <v>42339</v>
      </c>
      <c r="C36" s="276" t="s">
        <v>467</v>
      </c>
    </row>
    <row r="37" ht="15">
      <c r="C37" t="s">
        <v>470</v>
      </c>
    </row>
    <row r="38" ht="15">
      <c r="C38" t="s">
        <v>471</v>
      </c>
    </row>
    <row r="39" spans="1:3" ht="15">
      <c r="A39" t="s">
        <v>472</v>
      </c>
      <c r="B39" s="175">
        <v>42587</v>
      </c>
      <c r="C39" t="s">
        <v>473</v>
      </c>
    </row>
    <row r="40" ht="15">
      <c r="C40" t="s">
        <v>479</v>
      </c>
    </row>
    <row r="41" spans="1:3" ht="15">
      <c r="A41" t="s">
        <v>481</v>
      </c>
      <c r="B41" s="175">
        <v>42977</v>
      </c>
      <c r="C41" t="s">
        <v>482</v>
      </c>
    </row>
    <row r="42" ht="15">
      <c r="C42" t="s">
        <v>519</v>
      </c>
    </row>
    <row r="43" spans="1:3" ht="15">
      <c r="A43" t="s">
        <v>525</v>
      </c>
      <c r="B43" s="175">
        <v>44832</v>
      </c>
      <c r="C43" t="s">
        <v>526</v>
      </c>
    </row>
    <row r="49" ht="15">
      <c r="AE49" s="173" t="s">
        <v>323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P253"/>
  <sheetViews>
    <sheetView zoomScalePageLayoutView="0" workbookViewId="0" topLeftCell="B1">
      <pane ySplit="2" topLeftCell="A234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6.140625" style="0" customWidth="1"/>
    <col min="2" max="3" width="15.421875" style="0" customWidth="1"/>
    <col min="4" max="4" width="16.7109375" style="0" bestFit="1" customWidth="1"/>
    <col min="5" max="5" width="18.7109375" style="0" customWidth="1"/>
    <col min="7" max="7" width="11.140625" style="0" customWidth="1"/>
  </cols>
  <sheetData>
    <row r="1" spans="1:16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</row>
    <row r="2" spans="1:16" ht="15">
      <c r="A2" t="s">
        <v>87</v>
      </c>
      <c r="B2" t="s">
        <v>77</v>
      </c>
      <c r="D2" t="s">
        <v>19</v>
      </c>
      <c r="E2" t="s">
        <v>78</v>
      </c>
      <c r="F2" t="s">
        <v>79</v>
      </c>
      <c r="G2" t="s">
        <v>8</v>
      </c>
      <c r="H2" t="s">
        <v>43</v>
      </c>
      <c r="I2" t="s">
        <v>44</v>
      </c>
      <c r="J2" t="s">
        <v>45</v>
      </c>
      <c r="K2" t="s">
        <v>83</v>
      </c>
      <c r="L2" t="s">
        <v>84</v>
      </c>
      <c r="M2" t="s">
        <v>37</v>
      </c>
      <c r="N2" t="s">
        <v>48</v>
      </c>
      <c r="O2" t="s">
        <v>85</v>
      </c>
      <c r="P2" t="s">
        <v>86</v>
      </c>
    </row>
    <row r="3" spans="1:16" ht="15">
      <c r="A3" t="str">
        <f>CONCATENATE(B3,D3,E3,F3,G3)</f>
        <v>Fam PrivateMagistrates CourtPre 02/04/01YesYes</v>
      </c>
      <c r="B3" t="s">
        <v>88</v>
      </c>
      <c r="C3" t="s">
        <v>97</v>
      </c>
      <c r="D3" t="s">
        <v>23</v>
      </c>
      <c r="E3" t="s">
        <v>74</v>
      </c>
      <c r="F3" t="s">
        <v>81</v>
      </c>
      <c r="G3" t="s">
        <v>81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5">
      <c r="A4" t="str">
        <f aca="true" t="shared" si="0" ref="A4:A67">CONCATENATE(B4,D4,E4,F4,G4)</f>
        <v>Fam PrivateMagistrates Court02/04/01 - 01/04/07YesYes</v>
      </c>
      <c r="B4" t="s">
        <v>88</v>
      </c>
      <c r="C4" t="s">
        <v>26</v>
      </c>
      <c r="D4" t="s">
        <v>23</v>
      </c>
      <c r="E4" t="s">
        <v>360</v>
      </c>
      <c r="F4" t="s">
        <v>81</v>
      </c>
      <c r="G4" t="s">
        <v>81</v>
      </c>
      <c r="H4">
        <v>52.25</v>
      </c>
      <c r="I4">
        <v>52.25</v>
      </c>
      <c r="J4">
        <v>61.9</v>
      </c>
      <c r="K4">
        <v>33.3</v>
      </c>
      <c r="L4">
        <v>27.5</v>
      </c>
      <c r="M4">
        <v>27.5</v>
      </c>
      <c r="N4">
        <v>3.8</v>
      </c>
      <c r="O4">
        <v>0</v>
      </c>
      <c r="P4">
        <v>3.8</v>
      </c>
    </row>
    <row r="5" spans="1:16" ht="15">
      <c r="A5" t="str">
        <f t="shared" si="0"/>
        <v>Fam PrivateMagistrates Court02/04/07 - 08/05/11YesYes</v>
      </c>
      <c r="B5" t="s">
        <v>88</v>
      </c>
      <c r="C5" t="s">
        <v>25</v>
      </c>
      <c r="D5" t="s">
        <v>23</v>
      </c>
      <c r="E5" t="s">
        <v>80</v>
      </c>
      <c r="F5" t="s">
        <v>81</v>
      </c>
      <c r="G5" t="s">
        <v>81</v>
      </c>
      <c r="H5">
        <v>66</v>
      </c>
      <c r="I5">
        <v>66</v>
      </c>
      <c r="J5">
        <v>66</v>
      </c>
      <c r="K5">
        <v>36</v>
      </c>
      <c r="L5">
        <v>32</v>
      </c>
      <c r="M5">
        <v>32</v>
      </c>
      <c r="N5">
        <v>6</v>
      </c>
      <c r="O5">
        <v>3</v>
      </c>
      <c r="P5">
        <v>6</v>
      </c>
    </row>
    <row r="6" spans="1:16" ht="15">
      <c r="A6" t="str">
        <f t="shared" si="0"/>
        <v>Fam PrivateMagistrates Court09/05/11 - 31/01/12YesYes</v>
      </c>
      <c r="B6" t="s">
        <v>88</v>
      </c>
      <c r="C6" t="s">
        <v>131</v>
      </c>
      <c r="D6" t="s">
        <v>23</v>
      </c>
      <c r="E6" t="s">
        <v>288</v>
      </c>
      <c r="F6" t="s">
        <v>81</v>
      </c>
      <c r="G6" t="s">
        <v>81</v>
      </c>
      <c r="H6">
        <f>H5</f>
        <v>66</v>
      </c>
      <c r="I6">
        <f aca="true" t="shared" si="1" ref="I6:P6">I5</f>
        <v>66</v>
      </c>
      <c r="J6">
        <f t="shared" si="1"/>
        <v>66</v>
      </c>
      <c r="K6">
        <f t="shared" si="1"/>
        <v>36</v>
      </c>
      <c r="L6">
        <f t="shared" si="1"/>
        <v>32</v>
      </c>
      <c r="M6">
        <f t="shared" si="1"/>
        <v>32</v>
      </c>
      <c r="N6">
        <f t="shared" si="1"/>
        <v>6</v>
      </c>
      <c r="O6">
        <f t="shared" si="1"/>
        <v>3</v>
      </c>
      <c r="P6">
        <f t="shared" si="1"/>
        <v>6</v>
      </c>
    </row>
    <row r="7" spans="1:16" ht="15">
      <c r="A7" t="str">
        <f t="shared" si="0"/>
        <v>Fam PrivateMagistrates CourtPre 02/04/01NoYes</v>
      </c>
      <c r="B7" t="s">
        <v>88</v>
      </c>
      <c r="C7" t="s">
        <v>97</v>
      </c>
      <c r="D7" t="s">
        <v>23</v>
      </c>
      <c r="E7" t="s">
        <v>74</v>
      </c>
      <c r="F7" t="s">
        <v>82</v>
      </c>
      <c r="G7" t="s">
        <v>81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tr">
        <f t="shared" si="0"/>
        <v>Fam PrivateMagistrates Court02/04/01 - 01/04/07NoYes</v>
      </c>
      <c r="B8" t="s">
        <v>88</v>
      </c>
      <c r="C8" t="s">
        <v>26</v>
      </c>
      <c r="D8" t="s">
        <v>23</v>
      </c>
      <c r="E8" t="s">
        <v>360</v>
      </c>
      <c r="F8" t="s">
        <v>82</v>
      </c>
      <c r="G8" t="s">
        <v>81</v>
      </c>
      <c r="H8">
        <v>48.95</v>
      </c>
      <c r="I8">
        <v>48.95</v>
      </c>
      <c r="J8">
        <v>61.9</v>
      </c>
      <c r="K8">
        <v>33.3</v>
      </c>
      <c r="L8">
        <v>27.5</v>
      </c>
      <c r="M8">
        <v>27.5</v>
      </c>
      <c r="N8">
        <v>3.8</v>
      </c>
      <c r="O8">
        <v>0</v>
      </c>
      <c r="P8">
        <v>3.8</v>
      </c>
    </row>
    <row r="9" spans="1:16" ht="15">
      <c r="A9" t="str">
        <f t="shared" si="0"/>
        <v>Fam PrivateMagistrates Court02/04/07 - 08/05/11NoYes</v>
      </c>
      <c r="B9" t="s">
        <v>88</v>
      </c>
      <c r="C9" t="s">
        <v>25</v>
      </c>
      <c r="D9" t="s">
        <v>23</v>
      </c>
      <c r="E9" t="s">
        <v>80</v>
      </c>
      <c r="F9" t="s">
        <v>82</v>
      </c>
      <c r="G9" t="s">
        <v>81</v>
      </c>
      <c r="H9">
        <v>61</v>
      </c>
      <c r="I9">
        <v>61</v>
      </c>
      <c r="J9">
        <v>63</v>
      </c>
      <c r="K9">
        <v>36</v>
      </c>
      <c r="L9">
        <v>31</v>
      </c>
      <c r="M9">
        <v>31</v>
      </c>
      <c r="N9">
        <v>6</v>
      </c>
      <c r="O9">
        <v>3</v>
      </c>
      <c r="P9">
        <v>6</v>
      </c>
    </row>
    <row r="10" spans="1:16" ht="15">
      <c r="A10" t="str">
        <f t="shared" si="0"/>
        <v>Fam PrivateMagistrates Court09/05/11 - 31/01/12NoYes</v>
      </c>
      <c r="B10" t="s">
        <v>88</v>
      </c>
      <c r="C10" t="s">
        <v>131</v>
      </c>
      <c r="D10" t="s">
        <v>23</v>
      </c>
      <c r="E10" t="s">
        <v>288</v>
      </c>
      <c r="F10" t="s">
        <v>82</v>
      </c>
      <c r="G10" t="s">
        <v>81</v>
      </c>
      <c r="H10">
        <f aca="true" t="shared" si="2" ref="H10:P10">H9</f>
        <v>61</v>
      </c>
      <c r="I10">
        <f t="shared" si="2"/>
        <v>61</v>
      </c>
      <c r="J10">
        <f t="shared" si="2"/>
        <v>63</v>
      </c>
      <c r="K10">
        <f t="shared" si="2"/>
        <v>36</v>
      </c>
      <c r="L10">
        <f t="shared" si="2"/>
        <v>31</v>
      </c>
      <c r="M10">
        <f t="shared" si="2"/>
        <v>31</v>
      </c>
      <c r="N10">
        <f t="shared" si="2"/>
        <v>6</v>
      </c>
      <c r="O10">
        <f t="shared" si="2"/>
        <v>3</v>
      </c>
      <c r="P10">
        <f t="shared" si="2"/>
        <v>6</v>
      </c>
    </row>
    <row r="11" spans="1:16" ht="15">
      <c r="A11" t="str">
        <f t="shared" si="0"/>
        <v>Fam PrivateMagistrates CourtPre 02/04/01YesNo</v>
      </c>
      <c r="B11" t="s">
        <v>88</v>
      </c>
      <c r="C11" t="s">
        <v>97</v>
      </c>
      <c r="D11" t="s">
        <v>23</v>
      </c>
      <c r="E11" t="s">
        <v>74</v>
      </c>
      <c r="F11" t="s">
        <v>81</v>
      </c>
      <c r="G11" t="s">
        <v>82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tr">
        <f t="shared" si="0"/>
        <v>Fam PrivateMagistrates Court02/04/01 - 01/04/07YesNo</v>
      </c>
      <c r="B12" t="s">
        <v>88</v>
      </c>
      <c r="C12" t="s">
        <v>26</v>
      </c>
      <c r="D12" t="s">
        <v>23</v>
      </c>
      <c r="E12" t="s">
        <v>360</v>
      </c>
      <c r="F12" t="s">
        <v>81</v>
      </c>
      <c r="G12" t="s">
        <v>82</v>
      </c>
      <c r="H12">
        <v>52.25</v>
      </c>
      <c r="I12">
        <v>52.25</v>
      </c>
      <c r="J12">
        <v>61.9</v>
      </c>
      <c r="K12">
        <v>33.3</v>
      </c>
      <c r="L12">
        <v>27.5</v>
      </c>
      <c r="M12">
        <v>27.5</v>
      </c>
      <c r="N12">
        <v>3.8</v>
      </c>
      <c r="O12">
        <v>0</v>
      </c>
      <c r="P12">
        <v>3.8</v>
      </c>
    </row>
    <row r="13" spans="1:16" ht="15">
      <c r="A13" t="str">
        <f t="shared" si="0"/>
        <v>Fam PrivateMagistrates Court02/04/07 - 08/05/11YesNo</v>
      </c>
      <c r="B13" t="s">
        <v>88</v>
      </c>
      <c r="C13" t="s">
        <v>25</v>
      </c>
      <c r="D13" t="s">
        <v>23</v>
      </c>
      <c r="E13" t="s">
        <v>80</v>
      </c>
      <c r="F13" t="s">
        <v>81</v>
      </c>
      <c r="G13" t="s">
        <v>82</v>
      </c>
      <c r="H13">
        <v>66</v>
      </c>
      <c r="I13">
        <v>66</v>
      </c>
      <c r="J13">
        <v>66</v>
      </c>
      <c r="K13">
        <v>36</v>
      </c>
      <c r="L13">
        <v>32</v>
      </c>
      <c r="M13">
        <v>32</v>
      </c>
      <c r="N13">
        <v>6</v>
      </c>
      <c r="O13">
        <v>3</v>
      </c>
      <c r="P13">
        <v>6</v>
      </c>
    </row>
    <row r="14" spans="1:16" ht="15">
      <c r="A14" t="str">
        <f t="shared" si="0"/>
        <v>Fam PrivateMagistrates Court09/05/11 - 31/01/12YesNo</v>
      </c>
      <c r="B14" t="s">
        <v>88</v>
      </c>
      <c r="C14" t="s">
        <v>131</v>
      </c>
      <c r="D14" t="s">
        <v>23</v>
      </c>
      <c r="E14" t="s">
        <v>288</v>
      </c>
      <c r="F14" t="s">
        <v>81</v>
      </c>
      <c r="G14" t="s">
        <v>82</v>
      </c>
      <c r="H14">
        <f aca="true" t="shared" si="3" ref="H14:P14">H13</f>
        <v>66</v>
      </c>
      <c r="I14">
        <f t="shared" si="3"/>
        <v>66</v>
      </c>
      <c r="J14">
        <f t="shared" si="3"/>
        <v>66</v>
      </c>
      <c r="K14">
        <f t="shared" si="3"/>
        <v>36</v>
      </c>
      <c r="L14">
        <f t="shared" si="3"/>
        <v>32</v>
      </c>
      <c r="M14">
        <f t="shared" si="3"/>
        <v>32</v>
      </c>
      <c r="N14">
        <f t="shared" si="3"/>
        <v>6</v>
      </c>
      <c r="O14">
        <f t="shared" si="3"/>
        <v>3</v>
      </c>
      <c r="P14">
        <f t="shared" si="3"/>
        <v>6</v>
      </c>
    </row>
    <row r="15" spans="1:16" ht="15">
      <c r="A15" t="str">
        <f t="shared" si="0"/>
        <v>Fam PrivateMagistrates CourtPre 02/04/01NoNo</v>
      </c>
      <c r="B15" t="s">
        <v>88</v>
      </c>
      <c r="C15" t="s">
        <v>97</v>
      </c>
      <c r="D15" t="s">
        <v>23</v>
      </c>
      <c r="E15" t="s">
        <v>74</v>
      </c>
      <c r="F15" t="s">
        <v>82</v>
      </c>
      <c r="G15" t="s">
        <v>82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tr">
        <f t="shared" si="0"/>
        <v>Fam PrivateMagistrates Court02/04/01 - 01/04/07NoNo</v>
      </c>
      <c r="B16" t="s">
        <v>88</v>
      </c>
      <c r="C16" t="s">
        <v>26</v>
      </c>
      <c r="D16" t="s">
        <v>23</v>
      </c>
      <c r="E16" t="s">
        <v>360</v>
      </c>
      <c r="F16" t="s">
        <v>82</v>
      </c>
      <c r="G16" t="s">
        <v>82</v>
      </c>
      <c r="H16">
        <v>48.95</v>
      </c>
      <c r="I16">
        <v>48.95</v>
      </c>
      <c r="J16">
        <v>61.9</v>
      </c>
      <c r="K16">
        <v>33.3</v>
      </c>
      <c r="L16">
        <v>27.5</v>
      </c>
      <c r="M16">
        <v>27.5</v>
      </c>
      <c r="N16">
        <v>3.8</v>
      </c>
      <c r="O16">
        <v>0</v>
      </c>
      <c r="P16">
        <v>3.8</v>
      </c>
    </row>
    <row r="17" spans="1:16" ht="15">
      <c r="A17" t="str">
        <f t="shared" si="0"/>
        <v>Fam PrivateMagistrates Court02/04/07 - 08/05/11NoNo</v>
      </c>
      <c r="B17" t="s">
        <v>88</v>
      </c>
      <c r="C17" t="s">
        <v>25</v>
      </c>
      <c r="D17" t="s">
        <v>23</v>
      </c>
      <c r="E17" t="s">
        <v>80</v>
      </c>
      <c r="F17" t="s">
        <v>82</v>
      </c>
      <c r="G17" t="s">
        <v>82</v>
      </c>
      <c r="H17">
        <v>61</v>
      </c>
      <c r="I17">
        <v>61</v>
      </c>
      <c r="J17">
        <v>63</v>
      </c>
      <c r="K17">
        <v>36</v>
      </c>
      <c r="L17">
        <v>31</v>
      </c>
      <c r="M17">
        <v>31</v>
      </c>
      <c r="N17">
        <v>6</v>
      </c>
      <c r="O17">
        <v>3</v>
      </c>
      <c r="P17">
        <v>6</v>
      </c>
    </row>
    <row r="18" spans="1:16" ht="15">
      <c r="A18" t="str">
        <f t="shared" si="0"/>
        <v>Fam PrivateMagistrates Court09/05/11 - 31/01/12NoNo</v>
      </c>
      <c r="B18" t="s">
        <v>88</v>
      </c>
      <c r="C18" t="s">
        <v>131</v>
      </c>
      <c r="D18" t="s">
        <v>23</v>
      </c>
      <c r="E18" t="s">
        <v>288</v>
      </c>
      <c r="F18" t="s">
        <v>82</v>
      </c>
      <c r="G18" t="s">
        <v>82</v>
      </c>
      <c r="H18">
        <f aca="true" t="shared" si="4" ref="H18:P18">H17</f>
        <v>61</v>
      </c>
      <c r="I18">
        <f t="shared" si="4"/>
        <v>61</v>
      </c>
      <c r="J18">
        <f t="shared" si="4"/>
        <v>63</v>
      </c>
      <c r="K18">
        <f t="shared" si="4"/>
        <v>36</v>
      </c>
      <c r="L18">
        <f t="shared" si="4"/>
        <v>31</v>
      </c>
      <c r="M18">
        <f t="shared" si="4"/>
        <v>31</v>
      </c>
      <c r="N18">
        <f t="shared" si="4"/>
        <v>6</v>
      </c>
      <c r="O18">
        <f t="shared" si="4"/>
        <v>3</v>
      </c>
      <c r="P18">
        <f t="shared" si="4"/>
        <v>6</v>
      </c>
    </row>
    <row r="19" spans="1:16" ht="15">
      <c r="A19" t="str">
        <f t="shared" si="0"/>
        <v>Fam PrivateCounty CourtPre 02/04/01YesYes</v>
      </c>
      <c r="B19" t="s">
        <v>88</v>
      </c>
      <c r="C19" t="s">
        <v>97</v>
      </c>
      <c r="D19" t="s">
        <v>22</v>
      </c>
      <c r="E19" t="s">
        <v>74</v>
      </c>
      <c r="F19" t="s">
        <v>81</v>
      </c>
      <c r="G19" t="s">
        <v>81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5">
      <c r="A20" t="str">
        <f t="shared" si="0"/>
        <v>Fam PrivateCounty Court02/04/01 - 01/04/07YesYes</v>
      </c>
      <c r="B20" t="s">
        <v>88</v>
      </c>
      <c r="C20" t="s">
        <v>26</v>
      </c>
      <c r="D20" t="s">
        <v>22</v>
      </c>
      <c r="E20" t="s">
        <v>360</v>
      </c>
      <c r="F20" t="s">
        <v>81</v>
      </c>
      <c r="G20" t="s">
        <v>81</v>
      </c>
      <c r="H20">
        <v>68.5</v>
      </c>
      <c r="I20">
        <v>68.5</v>
      </c>
      <c r="J20">
        <v>68.5</v>
      </c>
      <c r="K20">
        <v>36.3</v>
      </c>
      <c r="L20">
        <v>32.45</v>
      </c>
      <c r="M20">
        <v>32.45</v>
      </c>
      <c r="N20">
        <v>6.15</v>
      </c>
      <c r="O20">
        <v>3.1</v>
      </c>
      <c r="P20">
        <v>6.15</v>
      </c>
    </row>
    <row r="21" spans="1:16" ht="15">
      <c r="A21" t="str">
        <f t="shared" si="0"/>
        <v>Fam PrivateCounty Court02/04/07 - 08/05/11YesYes</v>
      </c>
      <c r="B21" t="s">
        <v>88</v>
      </c>
      <c r="C21" t="s">
        <v>25</v>
      </c>
      <c r="D21" t="s">
        <v>22</v>
      </c>
      <c r="E21" t="s">
        <v>80</v>
      </c>
      <c r="F21" t="s">
        <v>81</v>
      </c>
      <c r="G21" t="s">
        <v>81</v>
      </c>
      <c r="H21">
        <f>H5</f>
        <v>66</v>
      </c>
      <c r="I21">
        <f aca="true" t="shared" si="5" ref="I21:P21">I5</f>
        <v>66</v>
      </c>
      <c r="J21">
        <f t="shared" si="5"/>
        <v>66</v>
      </c>
      <c r="K21">
        <f t="shared" si="5"/>
        <v>36</v>
      </c>
      <c r="L21">
        <f t="shared" si="5"/>
        <v>32</v>
      </c>
      <c r="M21">
        <f t="shared" si="5"/>
        <v>32</v>
      </c>
      <c r="N21">
        <f t="shared" si="5"/>
        <v>6</v>
      </c>
      <c r="O21">
        <f t="shared" si="5"/>
        <v>3</v>
      </c>
      <c r="P21">
        <f t="shared" si="5"/>
        <v>6</v>
      </c>
    </row>
    <row r="22" spans="1:16" ht="15">
      <c r="A22" t="str">
        <f t="shared" si="0"/>
        <v>Fam PrivateCounty Court09/05/11 - 31/01/12YesYes</v>
      </c>
      <c r="B22" t="s">
        <v>88</v>
      </c>
      <c r="C22" t="s">
        <v>131</v>
      </c>
      <c r="D22" t="s">
        <v>22</v>
      </c>
      <c r="E22" t="s">
        <v>288</v>
      </c>
      <c r="F22" t="s">
        <v>81</v>
      </c>
      <c r="G22" t="s">
        <v>81</v>
      </c>
      <c r="H22">
        <f aca="true" t="shared" si="6" ref="H22:P22">H21</f>
        <v>66</v>
      </c>
      <c r="I22">
        <f t="shared" si="6"/>
        <v>66</v>
      </c>
      <c r="J22">
        <f t="shared" si="6"/>
        <v>66</v>
      </c>
      <c r="K22">
        <f t="shared" si="6"/>
        <v>36</v>
      </c>
      <c r="L22">
        <f t="shared" si="6"/>
        <v>32</v>
      </c>
      <c r="M22">
        <f t="shared" si="6"/>
        <v>32</v>
      </c>
      <c r="N22">
        <f t="shared" si="6"/>
        <v>6</v>
      </c>
      <c r="O22">
        <f t="shared" si="6"/>
        <v>3</v>
      </c>
      <c r="P22">
        <f t="shared" si="6"/>
        <v>6</v>
      </c>
    </row>
    <row r="23" spans="1:16" ht="15">
      <c r="A23" t="str">
        <f t="shared" si="0"/>
        <v>Fam PrivateCounty CourtPre 02/04/01NoYes</v>
      </c>
      <c r="B23" t="s">
        <v>88</v>
      </c>
      <c r="C23" t="s">
        <v>97</v>
      </c>
      <c r="D23" t="s">
        <v>22</v>
      </c>
      <c r="E23" t="s">
        <v>74</v>
      </c>
      <c r="F23" t="s">
        <v>82</v>
      </c>
      <c r="G23" t="s">
        <v>81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5">
      <c r="A24" t="str">
        <f t="shared" si="0"/>
        <v>Fam PrivateCounty Court02/04/01 - 01/04/07NoYes</v>
      </c>
      <c r="B24" t="s">
        <v>88</v>
      </c>
      <c r="C24" t="s">
        <v>26</v>
      </c>
      <c r="D24" t="s">
        <v>22</v>
      </c>
      <c r="E24" t="s">
        <v>360</v>
      </c>
      <c r="F24" t="s">
        <v>82</v>
      </c>
      <c r="G24" t="s">
        <v>81</v>
      </c>
      <c r="H24">
        <v>64.8</v>
      </c>
      <c r="I24">
        <v>64.8</v>
      </c>
      <c r="J24">
        <v>64.8</v>
      </c>
      <c r="K24">
        <v>36.3</v>
      </c>
      <c r="L24">
        <v>32.45</v>
      </c>
      <c r="M24">
        <v>32.45</v>
      </c>
      <c r="N24">
        <v>6.15</v>
      </c>
      <c r="O24">
        <v>3.1</v>
      </c>
      <c r="P24">
        <v>6.15</v>
      </c>
    </row>
    <row r="25" spans="1:16" ht="15">
      <c r="A25" t="str">
        <f t="shared" si="0"/>
        <v>Fam PrivateCounty Court02/04/07 - 08/05/11NoYes</v>
      </c>
      <c r="B25" t="s">
        <v>88</v>
      </c>
      <c r="C25" t="s">
        <v>25</v>
      </c>
      <c r="D25" t="s">
        <v>22</v>
      </c>
      <c r="E25" t="s">
        <v>80</v>
      </c>
      <c r="F25" t="s">
        <v>82</v>
      </c>
      <c r="G25" t="s">
        <v>81</v>
      </c>
      <c r="H25">
        <f>H9</f>
        <v>61</v>
      </c>
      <c r="I25">
        <f aca="true" t="shared" si="7" ref="I25:P25">I9</f>
        <v>61</v>
      </c>
      <c r="J25">
        <f t="shared" si="7"/>
        <v>63</v>
      </c>
      <c r="K25">
        <f t="shared" si="7"/>
        <v>36</v>
      </c>
      <c r="L25">
        <f t="shared" si="7"/>
        <v>31</v>
      </c>
      <c r="M25">
        <f t="shared" si="7"/>
        <v>31</v>
      </c>
      <c r="N25">
        <f t="shared" si="7"/>
        <v>6</v>
      </c>
      <c r="O25">
        <f t="shared" si="7"/>
        <v>3</v>
      </c>
      <c r="P25">
        <f t="shared" si="7"/>
        <v>6</v>
      </c>
    </row>
    <row r="26" spans="1:16" ht="15">
      <c r="A26" t="str">
        <f t="shared" si="0"/>
        <v>Fam PrivateCounty Court09/05/11 - 31/01/12NoYes</v>
      </c>
      <c r="B26" t="s">
        <v>88</v>
      </c>
      <c r="C26" t="s">
        <v>131</v>
      </c>
      <c r="D26" t="s">
        <v>22</v>
      </c>
      <c r="E26" t="s">
        <v>288</v>
      </c>
      <c r="F26" t="s">
        <v>82</v>
      </c>
      <c r="G26" t="s">
        <v>81</v>
      </c>
      <c r="H26">
        <f aca="true" t="shared" si="8" ref="H26:P26">H25</f>
        <v>61</v>
      </c>
      <c r="I26">
        <f t="shared" si="8"/>
        <v>61</v>
      </c>
      <c r="J26">
        <f t="shared" si="8"/>
        <v>63</v>
      </c>
      <c r="K26">
        <f t="shared" si="8"/>
        <v>36</v>
      </c>
      <c r="L26">
        <f t="shared" si="8"/>
        <v>31</v>
      </c>
      <c r="M26">
        <f t="shared" si="8"/>
        <v>31</v>
      </c>
      <c r="N26">
        <f t="shared" si="8"/>
        <v>6</v>
      </c>
      <c r="O26">
        <f t="shared" si="8"/>
        <v>3</v>
      </c>
      <c r="P26">
        <f t="shared" si="8"/>
        <v>6</v>
      </c>
    </row>
    <row r="27" spans="1:16" ht="15">
      <c r="A27" t="str">
        <f t="shared" si="0"/>
        <v>Fam PrivateCounty CourtPre 02/04/01YesNo</v>
      </c>
      <c r="B27" t="s">
        <v>88</v>
      </c>
      <c r="C27" t="s">
        <v>97</v>
      </c>
      <c r="D27" t="s">
        <v>22</v>
      </c>
      <c r="E27" t="s">
        <v>74</v>
      </c>
      <c r="F27" t="s">
        <v>81</v>
      </c>
      <c r="G27" t="s">
        <v>82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5">
      <c r="A28" t="str">
        <f t="shared" si="0"/>
        <v>Fam PrivateCounty Court02/04/01 - 01/04/07YesNo</v>
      </c>
      <c r="B28" t="s">
        <v>88</v>
      </c>
      <c r="C28" t="s">
        <v>26</v>
      </c>
      <c r="D28" t="s">
        <v>22</v>
      </c>
      <c r="E28" t="s">
        <v>360</v>
      </c>
      <c r="F28" t="s">
        <v>81</v>
      </c>
      <c r="G28" t="s">
        <v>82</v>
      </c>
      <c r="H28">
        <v>68.5</v>
      </c>
      <c r="I28">
        <v>68.5</v>
      </c>
      <c r="J28">
        <v>68.5</v>
      </c>
      <c r="K28">
        <v>36.3</v>
      </c>
      <c r="L28">
        <v>32.45</v>
      </c>
      <c r="M28">
        <v>32.45</v>
      </c>
      <c r="N28">
        <v>6.15</v>
      </c>
      <c r="O28">
        <v>3.1</v>
      </c>
      <c r="P28">
        <v>6.15</v>
      </c>
    </row>
    <row r="29" spans="1:16" ht="15">
      <c r="A29" t="str">
        <f t="shared" si="0"/>
        <v>Fam PrivateCounty Court02/04/07 - 08/05/11YesNo</v>
      </c>
      <c r="B29" t="s">
        <v>88</v>
      </c>
      <c r="C29" t="s">
        <v>25</v>
      </c>
      <c r="D29" t="s">
        <v>22</v>
      </c>
      <c r="E29" t="s">
        <v>80</v>
      </c>
      <c r="F29" t="s">
        <v>81</v>
      </c>
      <c r="G29" t="s">
        <v>82</v>
      </c>
      <c r="H29">
        <f>H13</f>
        <v>66</v>
      </c>
      <c r="I29">
        <f aca="true" t="shared" si="9" ref="I29:P29">I13</f>
        <v>66</v>
      </c>
      <c r="J29">
        <f t="shared" si="9"/>
        <v>66</v>
      </c>
      <c r="K29">
        <f t="shared" si="9"/>
        <v>36</v>
      </c>
      <c r="L29">
        <f t="shared" si="9"/>
        <v>32</v>
      </c>
      <c r="M29">
        <f t="shared" si="9"/>
        <v>32</v>
      </c>
      <c r="N29">
        <f t="shared" si="9"/>
        <v>6</v>
      </c>
      <c r="O29">
        <f t="shared" si="9"/>
        <v>3</v>
      </c>
      <c r="P29">
        <f t="shared" si="9"/>
        <v>6</v>
      </c>
    </row>
    <row r="30" spans="1:16" ht="15">
      <c r="A30" t="str">
        <f t="shared" si="0"/>
        <v>Fam PrivateCounty Court09/05/11 - 31/01/12YesNo</v>
      </c>
      <c r="B30" t="s">
        <v>88</v>
      </c>
      <c r="C30" t="s">
        <v>131</v>
      </c>
      <c r="D30" t="s">
        <v>22</v>
      </c>
      <c r="E30" t="s">
        <v>288</v>
      </c>
      <c r="F30" t="s">
        <v>81</v>
      </c>
      <c r="G30" t="s">
        <v>82</v>
      </c>
      <c r="H30">
        <f aca="true" t="shared" si="10" ref="H30:P30">H29</f>
        <v>66</v>
      </c>
      <c r="I30">
        <f t="shared" si="10"/>
        <v>66</v>
      </c>
      <c r="J30">
        <f t="shared" si="10"/>
        <v>66</v>
      </c>
      <c r="K30">
        <f t="shared" si="10"/>
        <v>36</v>
      </c>
      <c r="L30">
        <f t="shared" si="10"/>
        <v>32</v>
      </c>
      <c r="M30">
        <f t="shared" si="10"/>
        <v>32</v>
      </c>
      <c r="N30">
        <f t="shared" si="10"/>
        <v>6</v>
      </c>
      <c r="O30">
        <f t="shared" si="10"/>
        <v>3</v>
      </c>
      <c r="P30">
        <f t="shared" si="10"/>
        <v>6</v>
      </c>
    </row>
    <row r="31" spans="1:16" ht="15">
      <c r="A31" t="str">
        <f t="shared" si="0"/>
        <v>Fam PrivateCounty CourtPre 02/04/01NoNo</v>
      </c>
      <c r="B31" t="s">
        <v>88</v>
      </c>
      <c r="C31" t="s">
        <v>97</v>
      </c>
      <c r="D31" t="s">
        <v>22</v>
      </c>
      <c r="E31" t="s">
        <v>74</v>
      </c>
      <c r="F31" t="s">
        <v>82</v>
      </c>
      <c r="G31" t="s">
        <v>82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5">
      <c r="A32" t="str">
        <f t="shared" si="0"/>
        <v>Fam PrivateCounty Court02/04/01 - 01/04/07NoNo</v>
      </c>
      <c r="B32" t="s">
        <v>88</v>
      </c>
      <c r="C32" t="s">
        <v>26</v>
      </c>
      <c r="D32" t="s">
        <v>22</v>
      </c>
      <c r="E32" t="s">
        <v>360</v>
      </c>
      <c r="F32" t="s">
        <v>82</v>
      </c>
      <c r="G32" t="s">
        <v>82</v>
      </c>
      <c r="H32">
        <v>64.8</v>
      </c>
      <c r="I32">
        <v>64.8</v>
      </c>
      <c r="J32">
        <v>64.8</v>
      </c>
      <c r="K32">
        <v>36.3</v>
      </c>
      <c r="L32">
        <v>32.45</v>
      </c>
      <c r="M32">
        <v>32.45</v>
      </c>
      <c r="N32">
        <v>6.15</v>
      </c>
      <c r="O32">
        <v>3.1</v>
      </c>
      <c r="P32">
        <v>6.15</v>
      </c>
    </row>
    <row r="33" spans="1:16" ht="15">
      <c r="A33" t="str">
        <f t="shared" si="0"/>
        <v>Fam PrivateCounty Court02/04/07 - 08/05/11NoNo</v>
      </c>
      <c r="B33" t="s">
        <v>88</v>
      </c>
      <c r="C33" t="s">
        <v>25</v>
      </c>
      <c r="D33" t="s">
        <v>22</v>
      </c>
      <c r="E33" t="s">
        <v>80</v>
      </c>
      <c r="F33" t="s">
        <v>82</v>
      </c>
      <c r="G33" t="s">
        <v>82</v>
      </c>
      <c r="H33">
        <f>H17</f>
        <v>61</v>
      </c>
      <c r="I33">
        <f aca="true" t="shared" si="11" ref="I33:P33">I17</f>
        <v>61</v>
      </c>
      <c r="J33">
        <f t="shared" si="11"/>
        <v>63</v>
      </c>
      <c r="K33">
        <f t="shared" si="11"/>
        <v>36</v>
      </c>
      <c r="L33">
        <f t="shared" si="11"/>
        <v>31</v>
      </c>
      <c r="M33">
        <f t="shared" si="11"/>
        <v>31</v>
      </c>
      <c r="N33">
        <f t="shared" si="11"/>
        <v>6</v>
      </c>
      <c r="O33">
        <f t="shared" si="11"/>
        <v>3</v>
      </c>
      <c r="P33">
        <f t="shared" si="11"/>
        <v>6</v>
      </c>
    </row>
    <row r="34" spans="1:16" ht="15">
      <c r="A34" t="str">
        <f t="shared" si="0"/>
        <v>Fam PrivateCounty Court09/05/11 - 31/01/12NoNo</v>
      </c>
      <c r="B34" t="s">
        <v>88</v>
      </c>
      <c r="C34" t="s">
        <v>131</v>
      </c>
      <c r="D34" t="s">
        <v>22</v>
      </c>
      <c r="E34" t="s">
        <v>288</v>
      </c>
      <c r="F34" t="s">
        <v>82</v>
      </c>
      <c r="G34" t="s">
        <v>82</v>
      </c>
      <c r="H34">
        <f aca="true" t="shared" si="12" ref="H34:P34">H33</f>
        <v>61</v>
      </c>
      <c r="I34">
        <f t="shared" si="12"/>
        <v>61</v>
      </c>
      <c r="J34">
        <f t="shared" si="12"/>
        <v>63</v>
      </c>
      <c r="K34">
        <f t="shared" si="12"/>
        <v>36</v>
      </c>
      <c r="L34">
        <f t="shared" si="12"/>
        <v>31</v>
      </c>
      <c r="M34">
        <f t="shared" si="12"/>
        <v>31</v>
      </c>
      <c r="N34">
        <f t="shared" si="12"/>
        <v>6</v>
      </c>
      <c r="O34">
        <f t="shared" si="12"/>
        <v>3</v>
      </c>
      <c r="P34">
        <f t="shared" si="12"/>
        <v>6</v>
      </c>
    </row>
    <row r="35" spans="1:16" ht="15">
      <c r="A35" t="str">
        <f t="shared" si="0"/>
        <v>Fam PrivateHigh CourtPre 02/04/01YesYes</v>
      </c>
      <c r="B35" t="s">
        <v>88</v>
      </c>
      <c r="C35" t="s">
        <v>97</v>
      </c>
      <c r="D35" t="s">
        <v>21</v>
      </c>
      <c r="E35" t="s">
        <v>74</v>
      </c>
      <c r="F35" t="s">
        <v>81</v>
      </c>
      <c r="G35" t="s">
        <v>81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5">
      <c r="A36" t="str">
        <f t="shared" si="0"/>
        <v>Fam PrivateHigh Court02/04/01 - 01/04/07YesYes</v>
      </c>
      <c r="B36" t="s">
        <v>88</v>
      </c>
      <c r="C36" t="s">
        <v>26</v>
      </c>
      <c r="D36" t="s">
        <v>21</v>
      </c>
      <c r="E36" t="s">
        <v>360</v>
      </c>
      <c r="F36" t="s">
        <v>81</v>
      </c>
      <c r="G36" t="s">
        <v>81</v>
      </c>
      <c r="H36">
        <v>78.4</v>
      </c>
      <c r="I36">
        <v>78.4</v>
      </c>
      <c r="J36">
        <v>78.4</v>
      </c>
      <c r="K36">
        <v>41.25</v>
      </c>
      <c r="L36">
        <v>35.75</v>
      </c>
      <c r="M36">
        <v>35.75</v>
      </c>
      <c r="N36">
        <v>7.05</v>
      </c>
      <c r="O36">
        <v>3.5</v>
      </c>
      <c r="P36">
        <v>7.05</v>
      </c>
    </row>
    <row r="37" spans="1:16" ht="15">
      <c r="A37" t="str">
        <f t="shared" si="0"/>
        <v>Fam PrivateHigh Court02/04/07 - 08/05/11YesYes</v>
      </c>
      <c r="B37" t="s">
        <v>88</v>
      </c>
      <c r="C37" t="s">
        <v>26</v>
      </c>
      <c r="D37" t="s">
        <v>21</v>
      </c>
      <c r="E37" t="s">
        <v>80</v>
      </c>
      <c r="F37" t="s">
        <v>81</v>
      </c>
      <c r="G37" t="s">
        <v>81</v>
      </c>
      <c r="H37">
        <v>78.4</v>
      </c>
      <c r="I37">
        <v>78.4</v>
      </c>
      <c r="J37">
        <v>78.4</v>
      </c>
      <c r="K37">
        <v>41.25</v>
      </c>
      <c r="L37">
        <v>35.75</v>
      </c>
      <c r="M37">
        <v>35.75</v>
      </c>
      <c r="N37">
        <v>7.05</v>
      </c>
      <c r="O37">
        <v>3.5</v>
      </c>
      <c r="P37">
        <v>7.05</v>
      </c>
    </row>
    <row r="38" spans="1:16" ht="15">
      <c r="A38" t="str">
        <f t="shared" si="0"/>
        <v>Fam PrivateHigh Court09/05/11 - 31/01/12YesYes</v>
      </c>
      <c r="B38" t="s">
        <v>88</v>
      </c>
      <c r="C38" t="s">
        <v>132</v>
      </c>
      <c r="D38" t="s">
        <v>21</v>
      </c>
      <c r="E38" t="s">
        <v>288</v>
      </c>
      <c r="F38" t="s">
        <v>81</v>
      </c>
      <c r="G38" t="s">
        <v>81</v>
      </c>
      <c r="H38">
        <f>H37</f>
        <v>78.4</v>
      </c>
      <c r="I38">
        <f aca="true" t="shared" si="13" ref="I38:P38">I37</f>
        <v>78.4</v>
      </c>
      <c r="J38">
        <f t="shared" si="13"/>
        <v>78.4</v>
      </c>
      <c r="K38">
        <f t="shared" si="13"/>
        <v>41.25</v>
      </c>
      <c r="L38">
        <f t="shared" si="13"/>
        <v>35.75</v>
      </c>
      <c r="M38">
        <f t="shared" si="13"/>
        <v>35.75</v>
      </c>
      <c r="N38">
        <f t="shared" si="13"/>
        <v>7.05</v>
      </c>
      <c r="O38">
        <f t="shared" si="13"/>
        <v>3.5</v>
      </c>
      <c r="P38">
        <f t="shared" si="13"/>
        <v>7.05</v>
      </c>
    </row>
    <row r="39" spans="1:16" ht="15">
      <c r="A39" t="str">
        <f t="shared" si="0"/>
        <v>Fam PrivateHigh CourtPre 02/04/01NoYes</v>
      </c>
      <c r="B39" t="s">
        <v>88</v>
      </c>
      <c r="C39" t="s">
        <v>97</v>
      </c>
      <c r="D39" t="s">
        <v>21</v>
      </c>
      <c r="E39" t="s">
        <v>74</v>
      </c>
      <c r="F39" t="s">
        <v>82</v>
      </c>
      <c r="G39" t="s">
        <v>81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5">
      <c r="A40" t="str">
        <f t="shared" si="0"/>
        <v>Fam PrivateHigh Court02/04/01 - 01/04/07NoYes</v>
      </c>
      <c r="B40" t="s">
        <v>88</v>
      </c>
      <c r="C40" t="s">
        <v>26</v>
      </c>
      <c r="D40" t="s">
        <v>21</v>
      </c>
      <c r="E40" t="s">
        <v>360</v>
      </c>
      <c r="F40" t="s">
        <v>82</v>
      </c>
      <c r="G40" t="s">
        <v>81</v>
      </c>
      <c r="H40">
        <v>73.05</v>
      </c>
      <c r="I40">
        <v>73.05</v>
      </c>
      <c r="J40">
        <v>73.05</v>
      </c>
      <c r="K40">
        <v>41.25</v>
      </c>
      <c r="L40">
        <v>35.75</v>
      </c>
      <c r="M40">
        <v>35.75</v>
      </c>
      <c r="N40">
        <v>7.05</v>
      </c>
      <c r="O40">
        <v>3.5</v>
      </c>
      <c r="P40">
        <v>7.05</v>
      </c>
    </row>
    <row r="41" spans="1:16" ht="15">
      <c r="A41" t="str">
        <f t="shared" si="0"/>
        <v>Fam PrivateHigh Court02/04/07 - 08/05/11NoYes</v>
      </c>
      <c r="B41" t="s">
        <v>88</v>
      </c>
      <c r="C41" t="s">
        <v>26</v>
      </c>
      <c r="D41" t="s">
        <v>21</v>
      </c>
      <c r="E41" t="s">
        <v>80</v>
      </c>
      <c r="F41" t="s">
        <v>82</v>
      </c>
      <c r="G41" t="s">
        <v>81</v>
      </c>
      <c r="H41">
        <v>73.05</v>
      </c>
      <c r="I41">
        <v>73.05</v>
      </c>
      <c r="J41">
        <v>73.05</v>
      </c>
      <c r="K41">
        <v>41.25</v>
      </c>
      <c r="L41">
        <v>35.75</v>
      </c>
      <c r="M41">
        <v>35.75</v>
      </c>
      <c r="N41">
        <v>7.05</v>
      </c>
      <c r="O41">
        <v>3.5</v>
      </c>
      <c r="P41">
        <v>7.05</v>
      </c>
    </row>
    <row r="42" spans="1:16" ht="15">
      <c r="A42" t="str">
        <f t="shared" si="0"/>
        <v>Fam PrivateHigh Court09/05/11 - 31/01/12NoYes</v>
      </c>
      <c r="B42" t="s">
        <v>88</v>
      </c>
      <c r="C42" t="s">
        <v>132</v>
      </c>
      <c r="D42" t="s">
        <v>21</v>
      </c>
      <c r="E42" t="s">
        <v>288</v>
      </c>
      <c r="F42" t="s">
        <v>82</v>
      </c>
      <c r="G42" t="s">
        <v>81</v>
      </c>
      <c r="H42">
        <f aca="true" t="shared" si="14" ref="H42:P42">H41</f>
        <v>73.05</v>
      </c>
      <c r="I42">
        <f t="shared" si="14"/>
        <v>73.05</v>
      </c>
      <c r="J42">
        <f t="shared" si="14"/>
        <v>73.05</v>
      </c>
      <c r="K42">
        <f t="shared" si="14"/>
        <v>41.25</v>
      </c>
      <c r="L42">
        <f t="shared" si="14"/>
        <v>35.75</v>
      </c>
      <c r="M42">
        <f t="shared" si="14"/>
        <v>35.75</v>
      </c>
      <c r="N42">
        <f t="shared" si="14"/>
        <v>7.05</v>
      </c>
      <c r="O42">
        <f t="shared" si="14"/>
        <v>3.5</v>
      </c>
      <c r="P42">
        <f t="shared" si="14"/>
        <v>7.05</v>
      </c>
    </row>
    <row r="43" spans="1:16" ht="15">
      <c r="A43" t="str">
        <f t="shared" si="0"/>
        <v>Fam PrivateHigh CourtPre 02/04/01YesNo</v>
      </c>
      <c r="B43" t="s">
        <v>88</v>
      </c>
      <c r="C43" t="s">
        <v>97</v>
      </c>
      <c r="D43" t="s">
        <v>21</v>
      </c>
      <c r="E43" t="s">
        <v>74</v>
      </c>
      <c r="F43" t="s">
        <v>81</v>
      </c>
      <c r="G43" t="s">
        <v>82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tr">
        <f t="shared" si="0"/>
        <v>Fam PrivateHigh Court02/04/01 - 01/04/07YesNo</v>
      </c>
      <c r="B44" t="s">
        <v>88</v>
      </c>
      <c r="C44" t="s">
        <v>26</v>
      </c>
      <c r="D44" t="s">
        <v>21</v>
      </c>
      <c r="E44" t="s">
        <v>360</v>
      </c>
      <c r="F44" t="s">
        <v>81</v>
      </c>
      <c r="G44" t="s">
        <v>82</v>
      </c>
      <c r="H44">
        <v>78.4</v>
      </c>
      <c r="I44">
        <v>78.4</v>
      </c>
      <c r="J44">
        <v>78.4</v>
      </c>
      <c r="K44">
        <v>41.25</v>
      </c>
      <c r="L44">
        <v>35.75</v>
      </c>
      <c r="M44">
        <v>35.75</v>
      </c>
      <c r="N44">
        <v>7.05</v>
      </c>
      <c r="O44">
        <v>3.5</v>
      </c>
      <c r="P44">
        <v>7.05</v>
      </c>
    </row>
    <row r="45" spans="1:16" ht="15">
      <c r="A45" t="str">
        <f t="shared" si="0"/>
        <v>Fam PrivateHigh Court02/04/07 - 08/05/11YesNo</v>
      </c>
      <c r="B45" t="s">
        <v>88</v>
      </c>
      <c r="C45" t="s">
        <v>26</v>
      </c>
      <c r="D45" t="s">
        <v>21</v>
      </c>
      <c r="E45" t="s">
        <v>80</v>
      </c>
      <c r="F45" t="s">
        <v>81</v>
      </c>
      <c r="G45" t="s">
        <v>82</v>
      </c>
      <c r="H45">
        <v>78.4</v>
      </c>
      <c r="I45">
        <v>78.4</v>
      </c>
      <c r="J45">
        <v>78.4</v>
      </c>
      <c r="K45">
        <v>41.25</v>
      </c>
      <c r="L45">
        <v>35.75</v>
      </c>
      <c r="M45">
        <v>35.75</v>
      </c>
      <c r="N45">
        <v>7.05</v>
      </c>
      <c r="O45">
        <v>3.5</v>
      </c>
      <c r="P45">
        <v>7.05</v>
      </c>
    </row>
    <row r="46" spans="1:16" ht="15">
      <c r="A46" t="str">
        <f t="shared" si="0"/>
        <v>Fam PrivateHigh Court09/05/11 - 31/01/12YesNo</v>
      </c>
      <c r="B46" t="s">
        <v>88</v>
      </c>
      <c r="C46" t="s">
        <v>132</v>
      </c>
      <c r="D46" t="s">
        <v>21</v>
      </c>
      <c r="E46" t="s">
        <v>288</v>
      </c>
      <c r="F46" t="s">
        <v>81</v>
      </c>
      <c r="G46" t="s">
        <v>82</v>
      </c>
      <c r="H46">
        <f aca="true" t="shared" si="15" ref="H46:P46">H45</f>
        <v>78.4</v>
      </c>
      <c r="I46">
        <f t="shared" si="15"/>
        <v>78.4</v>
      </c>
      <c r="J46">
        <f t="shared" si="15"/>
        <v>78.4</v>
      </c>
      <c r="K46">
        <f t="shared" si="15"/>
        <v>41.25</v>
      </c>
      <c r="L46">
        <f t="shared" si="15"/>
        <v>35.75</v>
      </c>
      <c r="M46">
        <f t="shared" si="15"/>
        <v>35.75</v>
      </c>
      <c r="N46">
        <f t="shared" si="15"/>
        <v>7.05</v>
      </c>
      <c r="O46">
        <f t="shared" si="15"/>
        <v>3.5</v>
      </c>
      <c r="P46">
        <f t="shared" si="15"/>
        <v>7.05</v>
      </c>
    </row>
    <row r="47" spans="1:16" ht="15">
      <c r="A47" t="str">
        <f t="shared" si="0"/>
        <v>Fam PrivateHigh CourtPre 02/04/01NoNo</v>
      </c>
      <c r="B47" t="s">
        <v>88</v>
      </c>
      <c r="C47" t="s">
        <v>97</v>
      </c>
      <c r="D47" t="s">
        <v>21</v>
      </c>
      <c r="E47" t="s">
        <v>74</v>
      </c>
      <c r="F47" t="s">
        <v>82</v>
      </c>
      <c r="G47" t="s">
        <v>82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5">
      <c r="A48" t="str">
        <f t="shared" si="0"/>
        <v>Fam PrivateHigh Court02/04/01 - 01/04/07NoNo</v>
      </c>
      <c r="B48" t="s">
        <v>88</v>
      </c>
      <c r="C48" t="s">
        <v>26</v>
      </c>
      <c r="D48" t="s">
        <v>21</v>
      </c>
      <c r="E48" t="s">
        <v>360</v>
      </c>
      <c r="F48" t="s">
        <v>82</v>
      </c>
      <c r="G48" t="s">
        <v>82</v>
      </c>
      <c r="H48">
        <v>73.05</v>
      </c>
      <c r="I48">
        <v>73.05</v>
      </c>
      <c r="J48">
        <v>73.05</v>
      </c>
      <c r="K48">
        <v>41.25</v>
      </c>
      <c r="L48">
        <v>35.75</v>
      </c>
      <c r="M48">
        <v>35.75</v>
      </c>
      <c r="N48">
        <v>7.05</v>
      </c>
      <c r="O48">
        <v>3.5</v>
      </c>
      <c r="P48">
        <v>7.05</v>
      </c>
    </row>
    <row r="49" spans="1:16" ht="15">
      <c r="A49" t="str">
        <f t="shared" si="0"/>
        <v>Fam PrivateHigh Court02/04/07 - 08/05/11NoNo</v>
      </c>
      <c r="B49" t="s">
        <v>88</v>
      </c>
      <c r="C49" t="s">
        <v>26</v>
      </c>
      <c r="D49" t="s">
        <v>21</v>
      </c>
      <c r="E49" t="s">
        <v>80</v>
      </c>
      <c r="F49" t="s">
        <v>82</v>
      </c>
      <c r="G49" t="s">
        <v>82</v>
      </c>
      <c r="H49">
        <v>73.05</v>
      </c>
      <c r="I49">
        <v>73.05</v>
      </c>
      <c r="J49">
        <v>73.05</v>
      </c>
      <c r="K49">
        <v>41.25</v>
      </c>
      <c r="L49">
        <v>35.75</v>
      </c>
      <c r="M49">
        <v>35.75</v>
      </c>
      <c r="N49">
        <v>7.05</v>
      </c>
      <c r="O49">
        <v>3.5</v>
      </c>
      <c r="P49">
        <v>7.05</v>
      </c>
    </row>
    <row r="50" spans="1:16" ht="15">
      <c r="A50" t="str">
        <f t="shared" si="0"/>
        <v>Fam PrivateHigh Court09/05/11 - 31/01/12NoNo</v>
      </c>
      <c r="B50" t="s">
        <v>88</v>
      </c>
      <c r="C50" t="s">
        <v>132</v>
      </c>
      <c r="D50" t="s">
        <v>21</v>
      </c>
      <c r="E50" t="s">
        <v>288</v>
      </c>
      <c r="F50" t="s">
        <v>82</v>
      </c>
      <c r="G50" t="s">
        <v>82</v>
      </c>
      <c r="H50">
        <f aca="true" t="shared" si="16" ref="H50:P50">H49</f>
        <v>73.05</v>
      </c>
      <c r="I50">
        <f t="shared" si="16"/>
        <v>73.05</v>
      </c>
      <c r="J50">
        <f t="shared" si="16"/>
        <v>73.05</v>
      </c>
      <c r="K50">
        <f t="shared" si="16"/>
        <v>41.25</v>
      </c>
      <c r="L50">
        <f t="shared" si="16"/>
        <v>35.75</v>
      </c>
      <c r="M50">
        <f t="shared" si="16"/>
        <v>35.75</v>
      </c>
      <c r="N50">
        <f t="shared" si="16"/>
        <v>7.05</v>
      </c>
      <c r="O50">
        <f t="shared" si="16"/>
        <v>3.5</v>
      </c>
      <c r="P50">
        <f t="shared" si="16"/>
        <v>7.05</v>
      </c>
    </row>
    <row r="51" spans="1:16" ht="15">
      <c r="A51" t="str">
        <f t="shared" si="0"/>
        <v>Fam PublicMagistrates CourtPre 02/04/01YesYes</v>
      </c>
      <c r="B51" t="s">
        <v>89</v>
      </c>
      <c r="C51" t="s">
        <v>97</v>
      </c>
      <c r="D51" t="s">
        <v>23</v>
      </c>
      <c r="E51" t="s">
        <v>74</v>
      </c>
      <c r="F51" t="s">
        <v>81</v>
      </c>
      <c r="G51" t="s">
        <v>81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5">
      <c r="A52" t="str">
        <f t="shared" si="0"/>
        <v>Fam PublicMagistrates Court02/04/01 - 08/05/11YesYes</v>
      </c>
      <c r="B52" t="s">
        <v>89</v>
      </c>
      <c r="C52" t="s">
        <v>27</v>
      </c>
      <c r="D52" t="s">
        <v>23</v>
      </c>
      <c r="E52" t="s">
        <v>24</v>
      </c>
      <c r="F52" t="s">
        <v>81</v>
      </c>
      <c r="G52" t="s">
        <v>81</v>
      </c>
      <c r="H52">
        <v>68.2</v>
      </c>
      <c r="I52">
        <v>68.2</v>
      </c>
      <c r="J52">
        <v>71.5</v>
      </c>
      <c r="K52">
        <v>36.3</v>
      </c>
      <c r="L52">
        <v>32.45</v>
      </c>
      <c r="M52">
        <v>32.45</v>
      </c>
      <c r="N52">
        <v>4.1</v>
      </c>
      <c r="O52">
        <v>2.05</v>
      </c>
      <c r="P52">
        <v>4.1</v>
      </c>
    </row>
    <row r="53" spans="1:16" ht="15">
      <c r="A53" t="str">
        <f t="shared" si="0"/>
        <v>Fam PublicMagistrates Court09/05/11 - 31/01/12 YesYes</v>
      </c>
      <c r="B53" t="s">
        <v>89</v>
      </c>
      <c r="C53" t="s">
        <v>105</v>
      </c>
      <c r="D53" t="s">
        <v>23</v>
      </c>
      <c r="E53" t="s">
        <v>289</v>
      </c>
      <c r="F53" t="s">
        <v>81</v>
      </c>
      <c r="G53" t="s">
        <v>81</v>
      </c>
      <c r="H53">
        <v>68.2</v>
      </c>
      <c r="I53">
        <v>68.2</v>
      </c>
      <c r="J53">
        <v>71.5</v>
      </c>
      <c r="K53">
        <v>36.3</v>
      </c>
      <c r="L53">
        <v>32.45</v>
      </c>
      <c r="M53">
        <v>32.45</v>
      </c>
      <c r="N53">
        <v>4.1</v>
      </c>
      <c r="O53">
        <v>2.05</v>
      </c>
      <c r="P53">
        <v>4.1</v>
      </c>
    </row>
    <row r="54" spans="1:16" ht="15">
      <c r="A54" t="str">
        <f t="shared" si="0"/>
        <v>Fam PublicMagistrates CourtPre 02/04/01NoYes</v>
      </c>
      <c r="B54" t="s">
        <v>89</v>
      </c>
      <c r="C54" t="s">
        <v>97</v>
      </c>
      <c r="D54" t="s">
        <v>23</v>
      </c>
      <c r="E54" t="s">
        <v>74</v>
      </c>
      <c r="F54" t="s">
        <v>82</v>
      </c>
      <c r="G54" t="s">
        <v>81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5">
      <c r="A55" t="str">
        <f t="shared" si="0"/>
        <v>Fam PublicMagistrates Court02/04/01 - 08/05/11NoYes</v>
      </c>
      <c r="B55" t="s">
        <v>89</v>
      </c>
      <c r="C55" t="s">
        <v>27</v>
      </c>
      <c r="D55" t="s">
        <v>23</v>
      </c>
      <c r="E55" t="s">
        <v>24</v>
      </c>
      <c r="F55" t="s">
        <v>82</v>
      </c>
      <c r="G55" t="s">
        <v>81</v>
      </c>
      <c r="H55">
        <v>64.9</v>
      </c>
      <c r="I55">
        <v>64.9</v>
      </c>
      <c r="J55">
        <v>71.5</v>
      </c>
      <c r="K55">
        <v>36.3</v>
      </c>
      <c r="L55">
        <v>32.45</v>
      </c>
      <c r="M55">
        <v>32.45</v>
      </c>
      <c r="N55">
        <v>4.1</v>
      </c>
      <c r="O55">
        <v>2.05</v>
      </c>
      <c r="P55">
        <v>4.1</v>
      </c>
    </row>
    <row r="56" spans="1:16" ht="15">
      <c r="A56" t="str">
        <f t="shared" si="0"/>
        <v>Fam PublicMagistrates Court09/05/11 - 31/01/12 NoYes</v>
      </c>
      <c r="B56" t="s">
        <v>89</v>
      </c>
      <c r="C56" t="s">
        <v>105</v>
      </c>
      <c r="D56" t="s">
        <v>23</v>
      </c>
      <c r="E56" t="s">
        <v>289</v>
      </c>
      <c r="F56" t="s">
        <v>82</v>
      </c>
      <c r="G56" t="s">
        <v>81</v>
      </c>
      <c r="H56">
        <v>64.9</v>
      </c>
      <c r="I56">
        <v>64.9</v>
      </c>
      <c r="J56">
        <v>71.5</v>
      </c>
      <c r="K56">
        <v>36.3</v>
      </c>
      <c r="L56">
        <v>32.45</v>
      </c>
      <c r="M56">
        <v>32.45</v>
      </c>
      <c r="N56">
        <v>4.1</v>
      </c>
      <c r="O56">
        <v>2.05</v>
      </c>
      <c r="P56">
        <v>4.1</v>
      </c>
    </row>
    <row r="57" spans="1:16" ht="15">
      <c r="A57" t="str">
        <f t="shared" si="0"/>
        <v>Fam PublicMagistrates CourtPre 02/04/01YesNo</v>
      </c>
      <c r="B57" t="s">
        <v>89</v>
      </c>
      <c r="C57" t="s">
        <v>97</v>
      </c>
      <c r="D57" t="s">
        <v>23</v>
      </c>
      <c r="E57" t="s">
        <v>74</v>
      </c>
      <c r="F57" t="s">
        <v>81</v>
      </c>
      <c r="G57" t="s">
        <v>82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5">
      <c r="A58" t="str">
        <f t="shared" si="0"/>
        <v>Fam PublicMagistrates Court02/04/01 - 08/05/11YesNo</v>
      </c>
      <c r="B58" t="s">
        <v>89</v>
      </c>
      <c r="C58" t="s">
        <v>27</v>
      </c>
      <c r="D58" t="s">
        <v>23</v>
      </c>
      <c r="E58" t="s">
        <v>24</v>
      </c>
      <c r="F58" t="s">
        <v>81</v>
      </c>
      <c r="G58" t="s">
        <v>82</v>
      </c>
      <c r="H58">
        <v>68.2</v>
      </c>
      <c r="I58">
        <v>68.2</v>
      </c>
      <c r="J58">
        <v>71.5</v>
      </c>
      <c r="K58">
        <v>36.3</v>
      </c>
      <c r="L58">
        <v>32.45</v>
      </c>
      <c r="M58">
        <v>32.45</v>
      </c>
      <c r="N58">
        <v>4.1</v>
      </c>
      <c r="O58">
        <v>2.05</v>
      </c>
      <c r="P58">
        <v>4.1</v>
      </c>
    </row>
    <row r="59" spans="1:16" ht="15">
      <c r="A59" t="str">
        <f t="shared" si="0"/>
        <v>Fam PublicMagistrates Court09/05/11 - 31/01/12 YesNo</v>
      </c>
      <c r="B59" t="s">
        <v>89</v>
      </c>
      <c r="C59" t="s">
        <v>105</v>
      </c>
      <c r="D59" t="s">
        <v>23</v>
      </c>
      <c r="E59" t="s">
        <v>289</v>
      </c>
      <c r="F59" t="s">
        <v>81</v>
      </c>
      <c r="G59" t="s">
        <v>82</v>
      </c>
      <c r="H59">
        <v>68.2</v>
      </c>
      <c r="I59">
        <v>68.2</v>
      </c>
      <c r="J59">
        <v>71.5</v>
      </c>
      <c r="K59">
        <v>36.3</v>
      </c>
      <c r="L59">
        <v>32.45</v>
      </c>
      <c r="M59">
        <v>32.45</v>
      </c>
      <c r="N59">
        <v>4.1</v>
      </c>
      <c r="O59">
        <v>2.05</v>
      </c>
      <c r="P59">
        <v>4.1</v>
      </c>
    </row>
    <row r="60" spans="1:16" ht="15">
      <c r="A60" t="str">
        <f t="shared" si="0"/>
        <v>Fam PublicMagistrates CourtPre 02/04/01NoNo</v>
      </c>
      <c r="B60" t="s">
        <v>89</v>
      </c>
      <c r="C60" t="s">
        <v>97</v>
      </c>
      <c r="D60" t="s">
        <v>23</v>
      </c>
      <c r="E60" t="s">
        <v>74</v>
      </c>
      <c r="F60" t="s">
        <v>82</v>
      </c>
      <c r="G60" t="s">
        <v>82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5">
      <c r="A61" t="str">
        <f t="shared" si="0"/>
        <v>Fam PublicMagistrates Court02/04/01 - 08/05/11NoNo</v>
      </c>
      <c r="B61" t="s">
        <v>89</v>
      </c>
      <c r="C61" t="s">
        <v>27</v>
      </c>
      <c r="D61" t="s">
        <v>23</v>
      </c>
      <c r="E61" t="s">
        <v>24</v>
      </c>
      <c r="F61" t="s">
        <v>82</v>
      </c>
      <c r="G61" t="s">
        <v>82</v>
      </c>
      <c r="H61">
        <v>64.9</v>
      </c>
      <c r="I61">
        <v>64.9</v>
      </c>
      <c r="J61">
        <v>71.5</v>
      </c>
      <c r="K61">
        <v>36.3</v>
      </c>
      <c r="L61">
        <v>32.45</v>
      </c>
      <c r="M61">
        <v>32.45</v>
      </c>
      <c r="N61">
        <v>4.1</v>
      </c>
      <c r="O61">
        <v>2.05</v>
      </c>
      <c r="P61">
        <v>4.1</v>
      </c>
    </row>
    <row r="62" spans="1:16" ht="15">
      <c r="A62" t="str">
        <f t="shared" si="0"/>
        <v>Fam PublicMagistrates Court09/05/11 - 31/01/12 NoNo</v>
      </c>
      <c r="B62" t="s">
        <v>89</v>
      </c>
      <c r="C62" t="s">
        <v>105</v>
      </c>
      <c r="D62" t="s">
        <v>23</v>
      </c>
      <c r="E62" t="s">
        <v>289</v>
      </c>
      <c r="F62" t="s">
        <v>82</v>
      </c>
      <c r="G62" t="s">
        <v>82</v>
      </c>
      <c r="H62">
        <v>64.9</v>
      </c>
      <c r="I62">
        <v>64.9</v>
      </c>
      <c r="J62">
        <v>71.5</v>
      </c>
      <c r="K62">
        <v>36.3</v>
      </c>
      <c r="L62">
        <v>32.45</v>
      </c>
      <c r="M62">
        <v>32.45</v>
      </c>
      <c r="N62">
        <v>4.1</v>
      </c>
      <c r="O62">
        <v>2.05</v>
      </c>
      <c r="P62">
        <v>4.1</v>
      </c>
    </row>
    <row r="63" spans="1:16" ht="15">
      <c r="A63" t="str">
        <f t="shared" si="0"/>
        <v>Fam PublicCounty CourtPre 02/04/01YesYes</v>
      </c>
      <c r="B63" t="s">
        <v>89</v>
      </c>
      <c r="C63" t="s">
        <v>97</v>
      </c>
      <c r="D63" t="s">
        <v>22</v>
      </c>
      <c r="E63" t="s">
        <v>74</v>
      </c>
      <c r="F63" t="s">
        <v>81</v>
      </c>
      <c r="G63" t="s">
        <v>81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5">
      <c r="A64" t="str">
        <f t="shared" si="0"/>
        <v>Fam PublicCounty Court02/04/01 - 08/05/11YesYes</v>
      </c>
      <c r="B64" t="s">
        <v>89</v>
      </c>
      <c r="C64" t="s">
        <v>27</v>
      </c>
      <c r="D64" t="s">
        <v>22</v>
      </c>
      <c r="E64" t="s">
        <v>24</v>
      </c>
      <c r="F64" t="s">
        <v>81</v>
      </c>
      <c r="G64" t="s">
        <v>81</v>
      </c>
      <c r="H64">
        <v>68.2</v>
      </c>
      <c r="I64">
        <v>68.2</v>
      </c>
      <c r="J64">
        <v>71.5</v>
      </c>
      <c r="K64">
        <v>36.3</v>
      </c>
      <c r="L64">
        <v>32.45</v>
      </c>
      <c r="M64">
        <v>32.45</v>
      </c>
      <c r="N64">
        <v>4.1</v>
      </c>
      <c r="O64">
        <v>2.05</v>
      </c>
      <c r="P64">
        <v>4.1</v>
      </c>
    </row>
    <row r="65" spans="1:16" ht="15">
      <c r="A65" t="str">
        <f t="shared" si="0"/>
        <v>Fam PublicCounty Court09/05/11 - 31/01/12 YesYes</v>
      </c>
      <c r="B65" t="s">
        <v>89</v>
      </c>
      <c r="C65" t="s">
        <v>105</v>
      </c>
      <c r="D65" t="s">
        <v>22</v>
      </c>
      <c r="E65" t="s">
        <v>289</v>
      </c>
      <c r="F65" t="s">
        <v>81</v>
      </c>
      <c r="G65" t="s">
        <v>81</v>
      </c>
      <c r="H65">
        <f>H53</f>
        <v>68.2</v>
      </c>
      <c r="I65">
        <f aca="true" t="shared" si="17" ref="I65:P65">I53</f>
        <v>68.2</v>
      </c>
      <c r="J65">
        <f t="shared" si="17"/>
        <v>71.5</v>
      </c>
      <c r="K65">
        <f t="shared" si="17"/>
        <v>36.3</v>
      </c>
      <c r="L65">
        <f t="shared" si="17"/>
        <v>32.45</v>
      </c>
      <c r="M65">
        <f t="shared" si="17"/>
        <v>32.45</v>
      </c>
      <c r="N65">
        <f t="shared" si="17"/>
        <v>4.1</v>
      </c>
      <c r="O65">
        <f t="shared" si="17"/>
        <v>2.05</v>
      </c>
      <c r="P65">
        <f t="shared" si="17"/>
        <v>4.1</v>
      </c>
    </row>
    <row r="66" spans="1:16" ht="15">
      <c r="A66" t="str">
        <f t="shared" si="0"/>
        <v>Fam PublicCounty CourtPre 02/04/01NoYes</v>
      </c>
      <c r="B66" t="s">
        <v>89</v>
      </c>
      <c r="C66" t="s">
        <v>97</v>
      </c>
      <c r="D66" t="s">
        <v>22</v>
      </c>
      <c r="E66" t="s">
        <v>74</v>
      </c>
      <c r="F66" t="s">
        <v>82</v>
      </c>
      <c r="G66" t="s">
        <v>81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5">
      <c r="A67" t="str">
        <f t="shared" si="0"/>
        <v>Fam PublicCounty Court02/04/01 - 08/05/11NoYes</v>
      </c>
      <c r="B67" t="s">
        <v>89</v>
      </c>
      <c r="C67" t="s">
        <v>27</v>
      </c>
      <c r="D67" t="s">
        <v>22</v>
      </c>
      <c r="E67" t="s">
        <v>24</v>
      </c>
      <c r="F67" t="s">
        <v>82</v>
      </c>
      <c r="G67" t="s">
        <v>81</v>
      </c>
      <c r="H67">
        <f>H55</f>
        <v>64.9</v>
      </c>
      <c r="I67">
        <f aca="true" t="shared" si="18" ref="I67:P67">I55</f>
        <v>64.9</v>
      </c>
      <c r="J67">
        <f t="shared" si="18"/>
        <v>71.5</v>
      </c>
      <c r="K67">
        <f t="shared" si="18"/>
        <v>36.3</v>
      </c>
      <c r="L67">
        <f t="shared" si="18"/>
        <v>32.45</v>
      </c>
      <c r="M67">
        <f t="shared" si="18"/>
        <v>32.45</v>
      </c>
      <c r="N67">
        <f t="shared" si="18"/>
        <v>4.1</v>
      </c>
      <c r="O67">
        <f t="shared" si="18"/>
        <v>2.05</v>
      </c>
      <c r="P67">
        <f t="shared" si="18"/>
        <v>4.1</v>
      </c>
    </row>
    <row r="68" spans="1:16" ht="15">
      <c r="A68" t="str">
        <f aca="true" t="shared" si="19" ref="A68:A131">CONCATENATE(B68,D68,E68,F68,G68)</f>
        <v>Fam PublicCounty Court09/05/11 - 31/01/12 NoYes</v>
      </c>
      <c r="B68" t="s">
        <v>89</v>
      </c>
      <c r="C68" t="s">
        <v>105</v>
      </c>
      <c r="D68" t="s">
        <v>22</v>
      </c>
      <c r="E68" t="s">
        <v>289</v>
      </c>
      <c r="F68" t="s">
        <v>82</v>
      </c>
      <c r="G68" t="s">
        <v>81</v>
      </c>
      <c r="H68">
        <f>H56</f>
        <v>64.9</v>
      </c>
      <c r="I68">
        <f aca="true" t="shared" si="20" ref="I68:P68">I56</f>
        <v>64.9</v>
      </c>
      <c r="J68">
        <f t="shared" si="20"/>
        <v>71.5</v>
      </c>
      <c r="K68">
        <f t="shared" si="20"/>
        <v>36.3</v>
      </c>
      <c r="L68">
        <f t="shared" si="20"/>
        <v>32.45</v>
      </c>
      <c r="M68">
        <f t="shared" si="20"/>
        <v>32.45</v>
      </c>
      <c r="N68">
        <f t="shared" si="20"/>
        <v>4.1</v>
      </c>
      <c r="O68">
        <f t="shared" si="20"/>
        <v>2.05</v>
      </c>
      <c r="P68">
        <f t="shared" si="20"/>
        <v>4.1</v>
      </c>
    </row>
    <row r="69" spans="1:16" ht="15">
      <c r="A69" t="str">
        <f t="shared" si="19"/>
        <v>Fam PublicCounty CourtPre 02/04/01YesNo</v>
      </c>
      <c r="B69" t="s">
        <v>89</v>
      </c>
      <c r="C69" t="s">
        <v>97</v>
      </c>
      <c r="D69" t="s">
        <v>22</v>
      </c>
      <c r="E69" t="s">
        <v>74</v>
      </c>
      <c r="F69" t="s">
        <v>81</v>
      </c>
      <c r="G69" t="s">
        <v>82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5">
      <c r="A70" t="str">
        <f t="shared" si="19"/>
        <v>Fam PublicCounty Court02/04/01 - 08/05/11YesNo</v>
      </c>
      <c r="B70" t="s">
        <v>89</v>
      </c>
      <c r="C70" t="s">
        <v>27</v>
      </c>
      <c r="D70" t="s">
        <v>22</v>
      </c>
      <c r="E70" t="s">
        <v>24</v>
      </c>
      <c r="F70" t="s">
        <v>81</v>
      </c>
      <c r="G70" t="s">
        <v>82</v>
      </c>
      <c r="H70">
        <f>H58</f>
        <v>68.2</v>
      </c>
      <c r="I70">
        <f aca="true" t="shared" si="21" ref="I70:P70">I58</f>
        <v>68.2</v>
      </c>
      <c r="J70">
        <f t="shared" si="21"/>
        <v>71.5</v>
      </c>
      <c r="K70">
        <f t="shared" si="21"/>
        <v>36.3</v>
      </c>
      <c r="L70">
        <f t="shared" si="21"/>
        <v>32.45</v>
      </c>
      <c r="M70">
        <f t="shared" si="21"/>
        <v>32.45</v>
      </c>
      <c r="N70">
        <f t="shared" si="21"/>
        <v>4.1</v>
      </c>
      <c r="O70">
        <f t="shared" si="21"/>
        <v>2.05</v>
      </c>
      <c r="P70">
        <f t="shared" si="21"/>
        <v>4.1</v>
      </c>
    </row>
    <row r="71" spans="1:16" ht="15">
      <c r="A71" t="str">
        <f t="shared" si="19"/>
        <v>Fam PublicCounty Court09/05/11 - 31/01/12 YesNo</v>
      </c>
      <c r="B71" t="s">
        <v>89</v>
      </c>
      <c r="C71" t="s">
        <v>105</v>
      </c>
      <c r="D71" t="s">
        <v>22</v>
      </c>
      <c r="E71" t="s">
        <v>289</v>
      </c>
      <c r="F71" t="s">
        <v>81</v>
      </c>
      <c r="G71" t="s">
        <v>82</v>
      </c>
      <c r="H71">
        <f>H59</f>
        <v>68.2</v>
      </c>
      <c r="I71">
        <f aca="true" t="shared" si="22" ref="I71:P71">I59</f>
        <v>68.2</v>
      </c>
      <c r="J71">
        <f t="shared" si="22"/>
        <v>71.5</v>
      </c>
      <c r="K71">
        <f t="shared" si="22"/>
        <v>36.3</v>
      </c>
      <c r="L71">
        <f t="shared" si="22"/>
        <v>32.45</v>
      </c>
      <c r="M71">
        <f t="shared" si="22"/>
        <v>32.45</v>
      </c>
      <c r="N71">
        <f t="shared" si="22"/>
        <v>4.1</v>
      </c>
      <c r="O71">
        <f t="shared" si="22"/>
        <v>2.05</v>
      </c>
      <c r="P71">
        <f t="shared" si="22"/>
        <v>4.1</v>
      </c>
    </row>
    <row r="72" spans="1:16" ht="15">
      <c r="A72" t="str">
        <f t="shared" si="19"/>
        <v>Fam PublicCounty CourtPre 02/04/01NoNo</v>
      </c>
      <c r="B72" t="s">
        <v>89</v>
      </c>
      <c r="C72" t="s">
        <v>97</v>
      </c>
      <c r="D72" t="s">
        <v>22</v>
      </c>
      <c r="E72" t="s">
        <v>74</v>
      </c>
      <c r="F72" t="s">
        <v>82</v>
      </c>
      <c r="G72" t="s">
        <v>82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5">
      <c r="A73" t="str">
        <f t="shared" si="19"/>
        <v>Fam PublicCounty Court02/04/01 - 08/05/11NoNo</v>
      </c>
      <c r="B73" t="s">
        <v>89</v>
      </c>
      <c r="C73" t="s">
        <v>27</v>
      </c>
      <c r="D73" t="s">
        <v>22</v>
      </c>
      <c r="E73" t="s">
        <v>24</v>
      </c>
      <c r="F73" t="s">
        <v>82</v>
      </c>
      <c r="G73" t="s">
        <v>82</v>
      </c>
      <c r="H73">
        <f>H61</f>
        <v>64.9</v>
      </c>
      <c r="I73">
        <f aca="true" t="shared" si="23" ref="I73:P73">I61</f>
        <v>64.9</v>
      </c>
      <c r="J73">
        <f t="shared" si="23"/>
        <v>71.5</v>
      </c>
      <c r="K73">
        <f t="shared" si="23"/>
        <v>36.3</v>
      </c>
      <c r="L73">
        <f t="shared" si="23"/>
        <v>32.45</v>
      </c>
      <c r="M73">
        <f t="shared" si="23"/>
        <v>32.45</v>
      </c>
      <c r="N73">
        <f t="shared" si="23"/>
        <v>4.1</v>
      </c>
      <c r="O73">
        <f t="shared" si="23"/>
        <v>2.05</v>
      </c>
      <c r="P73">
        <f t="shared" si="23"/>
        <v>4.1</v>
      </c>
    </row>
    <row r="74" spans="1:16" ht="15">
      <c r="A74" t="str">
        <f t="shared" si="19"/>
        <v>Fam PublicCounty Court09/05/11 - 31/01/12 NoNo</v>
      </c>
      <c r="B74" t="s">
        <v>89</v>
      </c>
      <c r="C74" t="s">
        <v>105</v>
      </c>
      <c r="D74" t="s">
        <v>22</v>
      </c>
      <c r="E74" t="s">
        <v>289</v>
      </c>
      <c r="F74" t="s">
        <v>82</v>
      </c>
      <c r="G74" t="s">
        <v>82</v>
      </c>
      <c r="H74">
        <f>H62</f>
        <v>64.9</v>
      </c>
      <c r="I74">
        <f aca="true" t="shared" si="24" ref="I74:P74">I62</f>
        <v>64.9</v>
      </c>
      <c r="J74">
        <f t="shared" si="24"/>
        <v>71.5</v>
      </c>
      <c r="K74">
        <f t="shared" si="24"/>
        <v>36.3</v>
      </c>
      <c r="L74">
        <f t="shared" si="24"/>
        <v>32.45</v>
      </c>
      <c r="M74">
        <f t="shared" si="24"/>
        <v>32.45</v>
      </c>
      <c r="N74">
        <f t="shared" si="24"/>
        <v>4.1</v>
      </c>
      <c r="O74">
        <f t="shared" si="24"/>
        <v>2.05</v>
      </c>
      <c r="P74">
        <f t="shared" si="24"/>
        <v>4.1</v>
      </c>
    </row>
    <row r="75" spans="1:16" ht="15">
      <c r="A75" t="str">
        <f t="shared" si="19"/>
        <v>Fam PublicHigh CourtPre 02/04/01YesYes</v>
      </c>
      <c r="B75" t="s">
        <v>89</v>
      </c>
      <c r="C75" t="s">
        <v>97</v>
      </c>
      <c r="D75" t="s">
        <v>21</v>
      </c>
      <c r="E75" t="s">
        <v>74</v>
      </c>
      <c r="F75" t="s">
        <v>81</v>
      </c>
      <c r="G75" t="s">
        <v>81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5">
      <c r="A76" t="str">
        <f t="shared" si="19"/>
        <v>Fam PublicHigh Court02/04/01 - 08/05/11YesYes</v>
      </c>
      <c r="B76" t="s">
        <v>89</v>
      </c>
      <c r="C76" t="s">
        <v>27</v>
      </c>
      <c r="D76" t="s">
        <v>21</v>
      </c>
      <c r="E76" t="s">
        <v>24</v>
      </c>
      <c r="F76" t="s">
        <v>81</v>
      </c>
      <c r="G76" t="s">
        <v>81</v>
      </c>
      <c r="H76">
        <v>77.85</v>
      </c>
      <c r="I76">
        <v>77.85</v>
      </c>
      <c r="J76">
        <v>77.85</v>
      </c>
      <c r="K76">
        <v>41.25</v>
      </c>
      <c r="L76">
        <v>35.75</v>
      </c>
      <c r="M76">
        <v>35.75</v>
      </c>
      <c r="N76">
        <v>4.7</v>
      </c>
      <c r="O76">
        <v>2.35</v>
      </c>
      <c r="P76">
        <v>4.7</v>
      </c>
    </row>
    <row r="77" spans="1:16" ht="15">
      <c r="A77" t="str">
        <f t="shared" si="19"/>
        <v>Fam PublicHigh Court09/05/11 - 31/01/12 YesYes</v>
      </c>
      <c r="B77" t="s">
        <v>89</v>
      </c>
      <c r="C77" t="s">
        <v>105</v>
      </c>
      <c r="D77" t="s">
        <v>21</v>
      </c>
      <c r="E77" t="s">
        <v>289</v>
      </c>
      <c r="F77" t="s">
        <v>81</v>
      </c>
      <c r="G77" t="s">
        <v>81</v>
      </c>
      <c r="H77">
        <v>77.85</v>
      </c>
      <c r="I77">
        <v>77.85</v>
      </c>
      <c r="J77">
        <v>77.85</v>
      </c>
      <c r="K77">
        <v>41.25</v>
      </c>
      <c r="L77">
        <v>35.75</v>
      </c>
      <c r="M77">
        <v>35.75</v>
      </c>
      <c r="N77">
        <v>4.7</v>
      </c>
      <c r="O77">
        <v>2.35</v>
      </c>
      <c r="P77">
        <v>4.7</v>
      </c>
    </row>
    <row r="78" spans="1:16" ht="15">
      <c r="A78" t="str">
        <f t="shared" si="19"/>
        <v>Fam PublicHigh CourtPre 02/04/01NoYes</v>
      </c>
      <c r="B78" t="s">
        <v>89</v>
      </c>
      <c r="C78" t="s">
        <v>97</v>
      </c>
      <c r="D78" t="s">
        <v>21</v>
      </c>
      <c r="E78" t="s">
        <v>74</v>
      </c>
      <c r="F78" t="s">
        <v>82</v>
      </c>
      <c r="G78" t="s">
        <v>81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5">
      <c r="A79" t="str">
        <f t="shared" si="19"/>
        <v>Fam PublicHigh Court02/04/01 - 08/05/11NoYes</v>
      </c>
      <c r="B79" t="s">
        <v>89</v>
      </c>
      <c r="C79" t="s">
        <v>27</v>
      </c>
      <c r="D79" t="s">
        <v>21</v>
      </c>
      <c r="E79" t="s">
        <v>24</v>
      </c>
      <c r="F79" t="s">
        <v>82</v>
      </c>
      <c r="G79" t="s">
        <v>81</v>
      </c>
      <c r="H79">
        <v>73.15</v>
      </c>
      <c r="I79">
        <v>73.15</v>
      </c>
      <c r="J79">
        <v>73.15</v>
      </c>
      <c r="K79">
        <v>41.25</v>
      </c>
      <c r="L79">
        <v>35.75</v>
      </c>
      <c r="M79">
        <v>35.75</v>
      </c>
      <c r="N79">
        <v>4.7</v>
      </c>
      <c r="O79">
        <v>2.35</v>
      </c>
      <c r="P79">
        <v>4.7</v>
      </c>
    </row>
    <row r="80" spans="1:16" ht="15">
      <c r="A80" t="str">
        <f t="shared" si="19"/>
        <v>Fam PublicHigh Court09/05/11 - 31/01/12 NoYes</v>
      </c>
      <c r="B80" t="s">
        <v>89</v>
      </c>
      <c r="C80" t="s">
        <v>105</v>
      </c>
      <c r="D80" t="s">
        <v>21</v>
      </c>
      <c r="E80" t="s">
        <v>289</v>
      </c>
      <c r="F80" t="s">
        <v>82</v>
      </c>
      <c r="G80" t="s">
        <v>81</v>
      </c>
      <c r="H80">
        <v>73.15</v>
      </c>
      <c r="I80">
        <v>73.15</v>
      </c>
      <c r="J80">
        <v>73.15</v>
      </c>
      <c r="K80">
        <v>41.25</v>
      </c>
      <c r="L80">
        <v>35.75</v>
      </c>
      <c r="M80">
        <v>35.75</v>
      </c>
      <c r="N80">
        <v>4.7</v>
      </c>
      <c r="O80">
        <v>2.35</v>
      </c>
      <c r="P80">
        <v>4.7</v>
      </c>
    </row>
    <row r="81" spans="1:16" ht="15">
      <c r="A81" t="str">
        <f t="shared" si="19"/>
        <v>Fam PublicHigh CourtPre 02/04/01YesNo</v>
      </c>
      <c r="B81" t="s">
        <v>89</v>
      </c>
      <c r="C81" t="s">
        <v>97</v>
      </c>
      <c r="D81" t="s">
        <v>21</v>
      </c>
      <c r="E81" t="s">
        <v>74</v>
      </c>
      <c r="F81" t="s">
        <v>81</v>
      </c>
      <c r="G81" t="s">
        <v>82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5">
      <c r="A82" t="str">
        <f t="shared" si="19"/>
        <v>Fam PublicHigh Court02/04/01 - 08/05/11YesNo</v>
      </c>
      <c r="B82" t="s">
        <v>89</v>
      </c>
      <c r="C82" t="s">
        <v>27</v>
      </c>
      <c r="D82" t="s">
        <v>21</v>
      </c>
      <c r="E82" t="s">
        <v>24</v>
      </c>
      <c r="F82" t="s">
        <v>81</v>
      </c>
      <c r="G82" t="s">
        <v>82</v>
      </c>
      <c r="H82">
        <v>77.85</v>
      </c>
      <c r="I82">
        <v>77.85</v>
      </c>
      <c r="J82">
        <v>77.85</v>
      </c>
      <c r="K82">
        <v>41.25</v>
      </c>
      <c r="L82">
        <v>35.75</v>
      </c>
      <c r="M82">
        <v>35.75</v>
      </c>
      <c r="N82">
        <v>4.7</v>
      </c>
      <c r="O82">
        <v>2.35</v>
      </c>
      <c r="P82">
        <v>4.7</v>
      </c>
    </row>
    <row r="83" spans="1:16" ht="15">
      <c r="A83" t="str">
        <f t="shared" si="19"/>
        <v>Fam PublicHigh Court09/05/11 - 31/01/12 YesNo</v>
      </c>
      <c r="B83" t="s">
        <v>89</v>
      </c>
      <c r="C83" t="s">
        <v>105</v>
      </c>
      <c r="D83" t="s">
        <v>21</v>
      </c>
      <c r="E83" t="s">
        <v>289</v>
      </c>
      <c r="F83" t="s">
        <v>81</v>
      </c>
      <c r="G83" t="s">
        <v>82</v>
      </c>
      <c r="H83">
        <v>77.85</v>
      </c>
      <c r="I83">
        <v>77.85</v>
      </c>
      <c r="J83">
        <v>77.85</v>
      </c>
      <c r="K83">
        <v>41.25</v>
      </c>
      <c r="L83">
        <v>35.75</v>
      </c>
      <c r="M83">
        <v>35.75</v>
      </c>
      <c r="N83">
        <v>4.7</v>
      </c>
      <c r="O83">
        <v>2.35</v>
      </c>
      <c r="P83">
        <v>4.7</v>
      </c>
    </row>
    <row r="84" spans="1:16" ht="15">
      <c r="A84" t="str">
        <f t="shared" si="19"/>
        <v>Fam PublicHigh CourtPre 02/04/01NoNo</v>
      </c>
      <c r="B84" t="s">
        <v>89</v>
      </c>
      <c r="C84" t="s">
        <v>97</v>
      </c>
      <c r="D84" t="s">
        <v>21</v>
      </c>
      <c r="E84" t="s">
        <v>74</v>
      </c>
      <c r="F84" t="s">
        <v>82</v>
      </c>
      <c r="G84" t="s">
        <v>82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5">
      <c r="A85" t="str">
        <f t="shared" si="19"/>
        <v>Fam PublicHigh Court02/04/01 - 08/05/11NoNo</v>
      </c>
      <c r="B85" t="s">
        <v>89</v>
      </c>
      <c r="C85" t="s">
        <v>27</v>
      </c>
      <c r="D85" t="s">
        <v>21</v>
      </c>
      <c r="E85" t="s">
        <v>24</v>
      </c>
      <c r="F85" t="s">
        <v>82</v>
      </c>
      <c r="G85" t="s">
        <v>82</v>
      </c>
      <c r="H85">
        <v>73.15</v>
      </c>
      <c r="I85">
        <v>73.15</v>
      </c>
      <c r="J85">
        <v>73.15</v>
      </c>
      <c r="K85">
        <v>41.25</v>
      </c>
      <c r="L85">
        <v>35.75</v>
      </c>
      <c r="M85">
        <v>35.75</v>
      </c>
      <c r="N85">
        <v>4.7</v>
      </c>
      <c r="O85">
        <v>2.35</v>
      </c>
      <c r="P85">
        <v>4.7</v>
      </c>
    </row>
    <row r="86" spans="1:16" ht="15">
      <c r="A86" t="str">
        <f t="shared" si="19"/>
        <v>Fam PublicHigh Court09/05/11 - 31/01/12 NoNo</v>
      </c>
      <c r="B86" t="s">
        <v>89</v>
      </c>
      <c r="C86" t="s">
        <v>105</v>
      </c>
      <c r="D86" t="s">
        <v>21</v>
      </c>
      <c r="E86" t="s">
        <v>289</v>
      </c>
      <c r="F86" t="s">
        <v>82</v>
      </c>
      <c r="G86" t="s">
        <v>82</v>
      </c>
      <c r="H86">
        <v>73.15</v>
      </c>
      <c r="I86">
        <v>73.15</v>
      </c>
      <c r="J86">
        <v>73.15</v>
      </c>
      <c r="K86">
        <v>41.25</v>
      </c>
      <c r="L86">
        <v>35.75</v>
      </c>
      <c r="M86">
        <v>35.75</v>
      </c>
      <c r="N86">
        <v>4.7</v>
      </c>
      <c r="O86">
        <v>2.35</v>
      </c>
      <c r="P86">
        <v>4.7</v>
      </c>
    </row>
    <row r="87" spans="1:16" ht="15">
      <c r="A87" t="str">
        <f t="shared" si="19"/>
        <v>Non FamMagistrates CourtPre 1996YesYes</v>
      </c>
      <c r="B87" t="s">
        <v>90</v>
      </c>
      <c r="C87" t="s">
        <v>97</v>
      </c>
      <c r="D87" t="s">
        <v>23</v>
      </c>
      <c r="E87" t="s">
        <v>75</v>
      </c>
      <c r="F87" t="s">
        <v>81</v>
      </c>
      <c r="G87" t="s">
        <v>81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5">
      <c r="A88" t="str">
        <f t="shared" si="19"/>
        <v>Non FamMagistrates Court01/01/96 - 03/10/11YesYes</v>
      </c>
      <c r="B88" t="s">
        <v>90</v>
      </c>
      <c r="D88" t="s">
        <v>23</v>
      </c>
      <c r="E88" t="s">
        <v>276</v>
      </c>
      <c r="F88" t="s">
        <v>81</v>
      </c>
      <c r="G88" t="s">
        <v>81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5">
      <c r="A89" t="str">
        <f t="shared" si="19"/>
        <v>Non FamMagistrates Court04/10/11 - 21/04/14YesYes</v>
      </c>
      <c r="B89" t="s">
        <v>90</v>
      </c>
      <c r="C89" t="s">
        <v>133</v>
      </c>
      <c r="D89" t="s">
        <v>23</v>
      </c>
      <c r="E89" t="s">
        <v>354</v>
      </c>
      <c r="F89" t="s">
        <v>81</v>
      </c>
      <c r="G89" t="s">
        <v>81</v>
      </c>
      <c r="H89">
        <v>63</v>
      </c>
      <c r="I89">
        <v>63</v>
      </c>
      <c r="J89">
        <v>59.4</v>
      </c>
      <c r="K89">
        <v>29.25</v>
      </c>
      <c r="L89">
        <v>26.28</v>
      </c>
      <c r="M89">
        <v>26.28</v>
      </c>
      <c r="N89">
        <v>5.94</v>
      </c>
      <c r="O89">
        <v>0</v>
      </c>
      <c r="P89">
        <v>3.29</v>
      </c>
    </row>
    <row r="90" spans="1:16" ht="15">
      <c r="A90" t="str">
        <f t="shared" si="19"/>
        <v>Non FamMagistrates CourtPre 1996NoYes</v>
      </c>
      <c r="B90" t="s">
        <v>90</v>
      </c>
      <c r="C90" t="s">
        <v>97</v>
      </c>
      <c r="D90" t="s">
        <v>23</v>
      </c>
      <c r="E90" t="s">
        <v>75</v>
      </c>
      <c r="F90" t="s">
        <v>82</v>
      </c>
      <c r="G90" t="s">
        <v>81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5">
      <c r="A91" t="str">
        <f t="shared" si="19"/>
        <v>Non FamMagistrates Court01/01/96 - 03/10/11NoYes</v>
      </c>
      <c r="B91" t="s">
        <v>90</v>
      </c>
      <c r="D91" t="s">
        <v>23</v>
      </c>
      <c r="E91" t="s">
        <v>276</v>
      </c>
      <c r="F91" t="s">
        <v>82</v>
      </c>
      <c r="G91" t="s">
        <v>81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5">
      <c r="A92" t="str">
        <f t="shared" si="19"/>
        <v>Non FamMagistrates Court04/10/11 - 21/04/14NoYes</v>
      </c>
      <c r="B92" t="s">
        <v>90</v>
      </c>
      <c r="C92" t="s">
        <v>133</v>
      </c>
      <c r="D92" t="s">
        <v>23</v>
      </c>
      <c r="E92" t="s">
        <v>354</v>
      </c>
      <c r="F92" t="s">
        <v>82</v>
      </c>
      <c r="G92" t="s">
        <v>81</v>
      </c>
      <c r="H92">
        <v>59.4</v>
      </c>
      <c r="I92">
        <v>59.4</v>
      </c>
      <c r="J92">
        <v>59.4</v>
      </c>
      <c r="K92">
        <v>29.25</v>
      </c>
      <c r="L92">
        <v>26.28</v>
      </c>
      <c r="M92">
        <v>26.28</v>
      </c>
      <c r="N92">
        <v>5.94</v>
      </c>
      <c r="O92">
        <v>0</v>
      </c>
      <c r="P92">
        <v>3.29</v>
      </c>
    </row>
    <row r="93" spans="1:16" ht="15">
      <c r="A93" t="str">
        <f t="shared" si="19"/>
        <v>Non FamMagistrates CourtPre 1996YesNo</v>
      </c>
      <c r="B93" t="s">
        <v>90</v>
      </c>
      <c r="C93" t="s">
        <v>97</v>
      </c>
      <c r="D93" t="s">
        <v>23</v>
      </c>
      <c r="E93" t="s">
        <v>75</v>
      </c>
      <c r="F93" t="s">
        <v>81</v>
      </c>
      <c r="G93" t="s">
        <v>82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5">
      <c r="A94" t="str">
        <f t="shared" si="19"/>
        <v>Non FamMagistrates Court01/01/96 - 03/10/11YesNo</v>
      </c>
      <c r="B94" t="s">
        <v>90</v>
      </c>
      <c r="D94" t="s">
        <v>23</v>
      </c>
      <c r="E94" t="s">
        <v>276</v>
      </c>
      <c r="F94" t="s">
        <v>81</v>
      </c>
      <c r="G94" t="s">
        <v>82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5">
      <c r="A95" t="str">
        <f t="shared" si="19"/>
        <v>Non FamMagistrates Court04/10/11 - 21/04/14YesNo</v>
      </c>
      <c r="B95" t="s">
        <v>90</v>
      </c>
      <c r="C95" t="s">
        <v>133</v>
      </c>
      <c r="D95" t="s">
        <v>23</v>
      </c>
      <c r="E95" t="s">
        <v>354</v>
      </c>
      <c r="F95" t="s">
        <v>81</v>
      </c>
      <c r="G95" t="s">
        <v>82</v>
      </c>
      <c r="H95">
        <v>62.1</v>
      </c>
      <c r="I95">
        <v>62.1</v>
      </c>
      <c r="J95">
        <v>58.5</v>
      </c>
      <c r="K95">
        <v>28.8</v>
      </c>
      <c r="L95">
        <v>25.88</v>
      </c>
      <c r="M95">
        <v>25.88</v>
      </c>
      <c r="N95">
        <v>5.85</v>
      </c>
      <c r="O95">
        <v>0</v>
      </c>
      <c r="P95">
        <v>3.24</v>
      </c>
    </row>
    <row r="96" spans="1:16" ht="15">
      <c r="A96" t="str">
        <f t="shared" si="19"/>
        <v>Non FamMagistrates CourtPre 1996NoNo</v>
      </c>
      <c r="B96" t="s">
        <v>90</v>
      </c>
      <c r="C96" t="s">
        <v>97</v>
      </c>
      <c r="D96" t="s">
        <v>23</v>
      </c>
      <c r="E96" t="s">
        <v>75</v>
      </c>
      <c r="F96" t="s">
        <v>82</v>
      </c>
      <c r="G96" t="s">
        <v>82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5">
      <c r="A97" t="str">
        <f t="shared" si="19"/>
        <v>Non FamMagistrates Court01/01/96 - 03/10/11NoNo</v>
      </c>
      <c r="B97" t="s">
        <v>90</v>
      </c>
      <c r="D97" t="s">
        <v>23</v>
      </c>
      <c r="E97" t="s">
        <v>276</v>
      </c>
      <c r="F97" t="s">
        <v>82</v>
      </c>
      <c r="G97" t="s">
        <v>82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5">
      <c r="A98" t="str">
        <f t="shared" si="19"/>
        <v>Non FamMagistrates Court04/10/11 - 21/04/14NoNo</v>
      </c>
      <c r="B98" t="s">
        <v>90</v>
      </c>
      <c r="C98" t="s">
        <v>133</v>
      </c>
      <c r="D98" t="s">
        <v>23</v>
      </c>
      <c r="E98" t="s">
        <v>354</v>
      </c>
      <c r="F98" t="s">
        <v>82</v>
      </c>
      <c r="G98" t="s">
        <v>82</v>
      </c>
      <c r="H98">
        <v>58.5</v>
      </c>
      <c r="I98">
        <v>58.5</v>
      </c>
      <c r="J98">
        <v>58.5</v>
      </c>
      <c r="K98">
        <v>28.8</v>
      </c>
      <c r="L98">
        <v>25.88</v>
      </c>
      <c r="M98">
        <v>25.88</v>
      </c>
      <c r="N98">
        <v>5.85</v>
      </c>
      <c r="O98">
        <v>0</v>
      </c>
      <c r="P98">
        <v>3.24</v>
      </c>
    </row>
    <row r="99" spans="1:16" ht="15">
      <c r="A99" t="str">
        <f t="shared" si="19"/>
        <v>Non FamCounty CourtPre 1996YesYes</v>
      </c>
      <c r="B99" t="s">
        <v>90</v>
      </c>
      <c r="C99" t="s">
        <v>97</v>
      </c>
      <c r="D99" t="s">
        <v>22</v>
      </c>
      <c r="E99" t="s">
        <v>75</v>
      </c>
      <c r="F99" t="s">
        <v>81</v>
      </c>
      <c r="G99" t="s">
        <v>81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ht="15">
      <c r="A100" t="str">
        <f t="shared" si="19"/>
        <v>Non FamCounty Court01/01/96 - 03/10/11YesYes</v>
      </c>
      <c r="B100" t="s">
        <v>90</v>
      </c>
      <c r="C100" t="s">
        <v>28</v>
      </c>
      <c r="D100" t="s">
        <v>22</v>
      </c>
      <c r="E100" t="s">
        <v>276</v>
      </c>
      <c r="F100" t="s">
        <v>81</v>
      </c>
      <c r="G100" t="s">
        <v>81</v>
      </c>
      <c r="H100">
        <v>70</v>
      </c>
      <c r="I100">
        <v>70</v>
      </c>
      <c r="J100">
        <v>66</v>
      </c>
      <c r="K100">
        <v>32.5</v>
      </c>
      <c r="L100">
        <v>29.2</v>
      </c>
      <c r="M100">
        <v>29.2</v>
      </c>
      <c r="N100">
        <v>6.6</v>
      </c>
      <c r="O100">
        <v>0</v>
      </c>
      <c r="P100">
        <v>3.65</v>
      </c>
    </row>
    <row r="101" spans="1:16" ht="15">
      <c r="A101" t="str">
        <f t="shared" si="19"/>
        <v>Non FamCounty Court04/10/11 - 21/04/14YesYes</v>
      </c>
      <c r="B101" t="s">
        <v>90</v>
      </c>
      <c r="C101" t="s">
        <v>133</v>
      </c>
      <c r="D101" t="s">
        <v>22</v>
      </c>
      <c r="E101" t="s">
        <v>354</v>
      </c>
      <c r="F101" t="s">
        <v>81</v>
      </c>
      <c r="G101" t="s">
        <v>81</v>
      </c>
      <c r="H101">
        <f>H89</f>
        <v>63</v>
      </c>
      <c r="I101">
        <f aca="true" t="shared" si="25" ref="I101:P101">I89</f>
        <v>63</v>
      </c>
      <c r="J101">
        <f t="shared" si="25"/>
        <v>59.4</v>
      </c>
      <c r="K101">
        <f t="shared" si="25"/>
        <v>29.25</v>
      </c>
      <c r="L101">
        <f t="shared" si="25"/>
        <v>26.28</v>
      </c>
      <c r="M101">
        <f t="shared" si="25"/>
        <v>26.28</v>
      </c>
      <c r="N101">
        <f t="shared" si="25"/>
        <v>5.94</v>
      </c>
      <c r="O101">
        <v>0</v>
      </c>
      <c r="P101">
        <f t="shared" si="25"/>
        <v>3.29</v>
      </c>
    </row>
    <row r="102" spans="1:16" ht="15">
      <c r="A102" t="str">
        <f t="shared" si="19"/>
        <v>Non FamCounty CourtPre 1996NoYes</v>
      </c>
      <c r="B102" t="s">
        <v>90</v>
      </c>
      <c r="C102" t="s">
        <v>97</v>
      </c>
      <c r="D102" t="s">
        <v>22</v>
      </c>
      <c r="E102" t="s">
        <v>75</v>
      </c>
      <c r="F102" t="s">
        <v>82</v>
      </c>
      <c r="G102" t="s">
        <v>81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ht="15">
      <c r="A103" t="str">
        <f t="shared" si="19"/>
        <v>Non FamCounty Court01/01/96 - 03/10/11NoYes</v>
      </c>
      <c r="B103" t="s">
        <v>90</v>
      </c>
      <c r="C103" t="s">
        <v>28</v>
      </c>
      <c r="D103" t="s">
        <v>22</v>
      </c>
      <c r="E103" t="s">
        <v>276</v>
      </c>
      <c r="F103" t="s">
        <v>82</v>
      </c>
      <c r="G103" t="s">
        <v>81</v>
      </c>
      <c r="H103">
        <v>66</v>
      </c>
      <c r="I103">
        <v>66</v>
      </c>
      <c r="J103">
        <v>66</v>
      </c>
      <c r="K103">
        <v>32.5</v>
      </c>
      <c r="L103">
        <v>29.2</v>
      </c>
      <c r="M103">
        <v>29.2</v>
      </c>
      <c r="N103">
        <v>6.6</v>
      </c>
      <c r="O103">
        <v>0</v>
      </c>
      <c r="P103">
        <v>3.65</v>
      </c>
    </row>
    <row r="104" spans="1:16" ht="15">
      <c r="A104" t="str">
        <f t="shared" si="19"/>
        <v>Non FamCounty Court04/10/11 - 21/04/14NoYes</v>
      </c>
      <c r="B104" t="s">
        <v>90</v>
      </c>
      <c r="C104" t="s">
        <v>133</v>
      </c>
      <c r="D104" t="s">
        <v>22</v>
      </c>
      <c r="E104" t="s">
        <v>354</v>
      </c>
      <c r="F104" t="s">
        <v>82</v>
      </c>
      <c r="G104" t="s">
        <v>81</v>
      </c>
      <c r="H104">
        <f>H92</f>
        <v>59.4</v>
      </c>
      <c r="I104">
        <f aca="true" t="shared" si="26" ref="I104:P104">I92</f>
        <v>59.4</v>
      </c>
      <c r="J104">
        <f t="shared" si="26"/>
        <v>59.4</v>
      </c>
      <c r="K104">
        <f t="shared" si="26"/>
        <v>29.25</v>
      </c>
      <c r="L104">
        <f t="shared" si="26"/>
        <v>26.28</v>
      </c>
      <c r="M104">
        <f t="shared" si="26"/>
        <v>26.28</v>
      </c>
      <c r="N104">
        <f t="shared" si="26"/>
        <v>5.94</v>
      </c>
      <c r="O104">
        <v>0</v>
      </c>
      <c r="P104">
        <f t="shared" si="26"/>
        <v>3.29</v>
      </c>
    </row>
    <row r="105" spans="1:16" ht="15">
      <c r="A105" t="str">
        <f t="shared" si="19"/>
        <v>Non FamCounty CourtPre 1996YesNo</v>
      </c>
      <c r="B105" t="s">
        <v>90</v>
      </c>
      <c r="C105" t="s">
        <v>97</v>
      </c>
      <c r="D105" t="s">
        <v>22</v>
      </c>
      <c r="E105" t="s">
        <v>75</v>
      </c>
      <c r="F105" t="s">
        <v>81</v>
      </c>
      <c r="G105" t="s">
        <v>82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5">
      <c r="A106" t="str">
        <f t="shared" si="19"/>
        <v>Non FamCounty Court01/01/96 - 03/10/11YesNo</v>
      </c>
      <c r="B106" t="s">
        <v>90</v>
      </c>
      <c r="C106" t="s">
        <v>28</v>
      </c>
      <c r="D106" t="s">
        <v>22</v>
      </c>
      <c r="E106" t="s">
        <v>276</v>
      </c>
      <c r="F106" t="s">
        <v>81</v>
      </c>
      <c r="G106" t="s">
        <v>82</v>
      </c>
      <c r="H106">
        <v>69</v>
      </c>
      <c r="I106">
        <v>69</v>
      </c>
      <c r="J106">
        <v>65</v>
      </c>
      <c r="K106">
        <v>32</v>
      </c>
      <c r="L106">
        <v>28.75</v>
      </c>
      <c r="M106">
        <v>28.75</v>
      </c>
      <c r="N106">
        <v>6.5</v>
      </c>
      <c r="O106">
        <v>0</v>
      </c>
      <c r="P106">
        <v>3.6</v>
      </c>
    </row>
    <row r="107" spans="1:16" ht="15">
      <c r="A107" t="str">
        <f t="shared" si="19"/>
        <v>Non FamCounty Court04/10/11 - 21/04/14YesNo</v>
      </c>
      <c r="B107" t="s">
        <v>90</v>
      </c>
      <c r="C107" t="s">
        <v>133</v>
      </c>
      <c r="D107" t="s">
        <v>22</v>
      </c>
      <c r="E107" t="s">
        <v>354</v>
      </c>
      <c r="F107" t="s">
        <v>81</v>
      </c>
      <c r="G107" t="s">
        <v>82</v>
      </c>
      <c r="H107">
        <f>H95</f>
        <v>62.1</v>
      </c>
      <c r="I107">
        <f aca="true" t="shared" si="27" ref="I107:P107">I95</f>
        <v>62.1</v>
      </c>
      <c r="J107">
        <f t="shared" si="27"/>
        <v>58.5</v>
      </c>
      <c r="K107">
        <f t="shared" si="27"/>
        <v>28.8</v>
      </c>
      <c r="L107">
        <f t="shared" si="27"/>
        <v>25.88</v>
      </c>
      <c r="M107">
        <f t="shared" si="27"/>
        <v>25.88</v>
      </c>
      <c r="N107">
        <f t="shared" si="27"/>
        <v>5.85</v>
      </c>
      <c r="O107">
        <v>0</v>
      </c>
      <c r="P107">
        <f t="shared" si="27"/>
        <v>3.24</v>
      </c>
    </row>
    <row r="108" spans="1:16" ht="15">
      <c r="A108" t="str">
        <f t="shared" si="19"/>
        <v>Non FamCounty CourtPre 1996NoNo</v>
      </c>
      <c r="B108" t="s">
        <v>90</v>
      </c>
      <c r="C108" t="s">
        <v>97</v>
      </c>
      <c r="D108" t="s">
        <v>22</v>
      </c>
      <c r="E108" t="s">
        <v>75</v>
      </c>
      <c r="F108" t="s">
        <v>82</v>
      </c>
      <c r="G108" t="s">
        <v>82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5">
      <c r="A109" t="str">
        <f t="shared" si="19"/>
        <v>Non FamCounty Court01/01/96 - 03/10/11NoNo</v>
      </c>
      <c r="B109" t="s">
        <v>90</v>
      </c>
      <c r="C109" t="s">
        <v>28</v>
      </c>
      <c r="D109" t="s">
        <v>22</v>
      </c>
      <c r="E109" t="s">
        <v>276</v>
      </c>
      <c r="F109" t="s">
        <v>82</v>
      </c>
      <c r="G109" t="s">
        <v>82</v>
      </c>
      <c r="H109">
        <v>65</v>
      </c>
      <c r="I109">
        <v>65</v>
      </c>
      <c r="J109">
        <v>65</v>
      </c>
      <c r="K109">
        <v>32</v>
      </c>
      <c r="L109">
        <v>28.75</v>
      </c>
      <c r="M109">
        <v>28.75</v>
      </c>
      <c r="N109">
        <v>6.5</v>
      </c>
      <c r="O109">
        <v>0</v>
      </c>
      <c r="P109">
        <v>3.6</v>
      </c>
    </row>
    <row r="110" spans="1:16" ht="15">
      <c r="A110" t="str">
        <f t="shared" si="19"/>
        <v>Non FamCounty Court04/10/11 - 21/04/14NoNo</v>
      </c>
      <c r="B110" t="s">
        <v>90</v>
      </c>
      <c r="C110" t="s">
        <v>133</v>
      </c>
      <c r="D110" t="s">
        <v>22</v>
      </c>
      <c r="E110" t="s">
        <v>354</v>
      </c>
      <c r="F110" t="s">
        <v>82</v>
      </c>
      <c r="G110" t="s">
        <v>82</v>
      </c>
      <c r="H110">
        <f>H98</f>
        <v>58.5</v>
      </c>
      <c r="I110">
        <f aca="true" t="shared" si="28" ref="I110:P110">I98</f>
        <v>58.5</v>
      </c>
      <c r="J110">
        <f t="shared" si="28"/>
        <v>58.5</v>
      </c>
      <c r="K110">
        <f t="shared" si="28"/>
        <v>28.8</v>
      </c>
      <c r="L110">
        <f t="shared" si="28"/>
        <v>25.88</v>
      </c>
      <c r="M110">
        <f t="shared" si="28"/>
        <v>25.88</v>
      </c>
      <c r="N110">
        <f t="shared" si="28"/>
        <v>5.85</v>
      </c>
      <c r="O110">
        <v>0</v>
      </c>
      <c r="P110">
        <f t="shared" si="28"/>
        <v>3.24</v>
      </c>
    </row>
    <row r="111" spans="1:16" ht="15">
      <c r="A111" t="str">
        <f t="shared" si="19"/>
        <v>Non FamHigh CourtPre 1996YesYes</v>
      </c>
      <c r="B111" t="s">
        <v>90</v>
      </c>
      <c r="C111" t="s">
        <v>97</v>
      </c>
      <c r="D111" t="s">
        <v>21</v>
      </c>
      <c r="E111" t="s">
        <v>75</v>
      </c>
      <c r="F111" t="s">
        <v>81</v>
      </c>
      <c r="G111" t="s">
        <v>81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5">
      <c r="A112" t="str">
        <f t="shared" si="19"/>
        <v>Non FamHigh Court01/01/96 - 03/10/11YesYes</v>
      </c>
      <c r="B112" t="s">
        <v>90</v>
      </c>
      <c r="C112" t="s">
        <v>28</v>
      </c>
      <c r="D112" t="s">
        <v>21</v>
      </c>
      <c r="E112" t="s">
        <v>276</v>
      </c>
      <c r="F112" t="s">
        <v>81</v>
      </c>
      <c r="G112" t="s">
        <v>81</v>
      </c>
      <c r="H112">
        <v>79.5</v>
      </c>
      <c r="I112">
        <v>79.5</v>
      </c>
      <c r="J112">
        <v>75</v>
      </c>
      <c r="K112">
        <v>37</v>
      </c>
      <c r="L112">
        <v>33.25</v>
      </c>
      <c r="M112">
        <v>33.25</v>
      </c>
      <c r="N112">
        <v>7.5</v>
      </c>
      <c r="O112">
        <v>0</v>
      </c>
      <c r="P112">
        <v>4.15</v>
      </c>
    </row>
    <row r="113" spans="1:16" ht="15">
      <c r="A113" t="str">
        <f t="shared" si="19"/>
        <v>Non FamHigh Court04/10/11 - 21/04/14YesYes</v>
      </c>
      <c r="B113" t="s">
        <v>90</v>
      </c>
      <c r="C113" t="s">
        <v>133</v>
      </c>
      <c r="D113" t="s">
        <v>21</v>
      </c>
      <c r="E113" t="s">
        <v>354</v>
      </c>
      <c r="F113" t="s">
        <v>81</v>
      </c>
      <c r="G113" t="s">
        <v>81</v>
      </c>
      <c r="H113">
        <v>71.55</v>
      </c>
      <c r="I113">
        <v>71.55</v>
      </c>
      <c r="J113">
        <v>67.5</v>
      </c>
      <c r="K113">
        <v>33.3</v>
      </c>
      <c r="L113">
        <v>29.93</v>
      </c>
      <c r="M113">
        <v>29.93</v>
      </c>
      <c r="N113">
        <v>6.75</v>
      </c>
      <c r="O113">
        <v>0</v>
      </c>
      <c r="P113">
        <v>3.74</v>
      </c>
    </row>
    <row r="114" spans="1:16" ht="15">
      <c r="A114" t="str">
        <f t="shared" si="19"/>
        <v>Non FamHigh CourtPre 1996NoYes</v>
      </c>
      <c r="B114" t="s">
        <v>90</v>
      </c>
      <c r="C114" t="s">
        <v>97</v>
      </c>
      <c r="D114" t="s">
        <v>21</v>
      </c>
      <c r="E114" t="s">
        <v>75</v>
      </c>
      <c r="F114" t="s">
        <v>82</v>
      </c>
      <c r="G114" t="s">
        <v>81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5">
      <c r="A115" t="str">
        <f t="shared" si="19"/>
        <v>Non FamHigh Court01/01/96 - 03/10/11NoYes</v>
      </c>
      <c r="B115" t="s">
        <v>90</v>
      </c>
      <c r="C115" t="s">
        <v>28</v>
      </c>
      <c r="D115" t="s">
        <v>21</v>
      </c>
      <c r="E115" t="s">
        <v>276</v>
      </c>
      <c r="F115" t="s">
        <v>82</v>
      </c>
      <c r="G115" t="s">
        <v>81</v>
      </c>
      <c r="H115">
        <v>75</v>
      </c>
      <c r="I115">
        <v>75</v>
      </c>
      <c r="J115">
        <v>75</v>
      </c>
      <c r="K115">
        <v>37</v>
      </c>
      <c r="L115">
        <v>33.25</v>
      </c>
      <c r="M115">
        <v>33.25</v>
      </c>
      <c r="N115">
        <v>7.5</v>
      </c>
      <c r="O115">
        <v>0</v>
      </c>
      <c r="P115">
        <v>4.15</v>
      </c>
    </row>
    <row r="116" spans="1:16" ht="15">
      <c r="A116" t="str">
        <f t="shared" si="19"/>
        <v>Non FamHigh Court04/10/11 - 21/04/14NoYes</v>
      </c>
      <c r="B116" t="s">
        <v>90</v>
      </c>
      <c r="C116" t="s">
        <v>133</v>
      </c>
      <c r="D116" t="s">
        <v>21</v>
      </c>
      <c r="E116" t="s">
        <v>354</v>
      </c>
      <c r="F116" t="s">
        <v>82</v>
      </c>
      <c r="G116" t="s">
        <v>81</v>
      </c>
      <c r="H116">
        <v>67.5</v>
      </c>
      <c r="I116">
        <v>67.5</v>
      </c>
      <c r="J116">
        <v>67.5</v>
      </c>
      <c r="K116">
        <v>33.3</v>
      </c>
      <c r="L116">
        <v>29.93</v>
      </c>
      <c r="M116">
        <v>29.93</v>
      </c>
      <c r="N116">
        <v>6.75</v>
      </c>
      <c r="O116">
        <v>0</v>
      </c>
      <c r="P116">
        <v>3.74</v>
      </c>
    </row>
    <row r="117" spans="1:16" ht="15">
      <c r="A117" t="str">
        <f t="shared" si="19"/>
        <v>Non FamHigh CourtPre 1996YesNo</v>
      </c>
      <c r="B117" t="s">
        <v>90</v>
      </c>
      <c r="C117" t="s">
        <v>97</v>
      </c>
      <c r="D117" t="s">
        <v>21</v>
      </c>
      <c r="E117" t="s">
        <v>75</v>
      </c>
      <c r="F117" t="s">
        <v>81</v>
      </c>
      <c r="G117" t="s">
        <v>82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5">
      <c r="A118" t="str">
        <f t="shared" si="19"/>
        <v>Non FamHigh Court01/01/96 - 03/10/11YesNo</v>
      </c>
      <c r="B118" t="s">
        <v>90</v>
      </c>
      <c r="C118" t="s">
        <v>28</v>
      </c>
      <c r="D118" t="s">
        <v>21</v>
      </c>
      <c r="E118" t="s">
        <v>276</v>
      </c>
      <c r="F118" t="s">
        <v>81</v>
      </c>
      <c r="G118" t="s">
        <v>82</v>
      </c>
      <c r="H118">
        <v>78.5</v>
      </c>
      <c r="I118">
        <v>78.5</v>
      </c>
      <c r="J118">
        <v>74</v>
      </c>
      <c r="K118">
        <v>36.4</v>
      </c>
      <c r="L118">
        <v>32.7</v>
      </c>
      <c r="M118">
        <v>32.7</v>
      </c>
      <c r="N118">
        <v>7.4</v>
      </c>
      <c r="O118">
        <v>0</v>
      </c>
      <c r="P118">
        <v>4.1</v>
      </c>
    </row>
    <row r="119" spans="1:16" ht="15">
      <c r="A119" t="str">
        <f t="shared" si="19"/>
        <v>Non FamHigh Court04/10/11 - 21/04/14YesNo</v>
      </c>
      <c r="B119" t="s">
        <v>90</v>
      </c>
      <c r="C119" t="s">
        <v>133</v>
      </c>
      <c r="D119" t="s">
        <v>21</v>
      </c>
      <c r="E119" t="s">
        <v>354</v>
      </c>
      <c r="F119" t="s">
        <v>81</v>
      </c>
      <c r="G119" t="s">
        <v>82</v>
      </c>
      <c r="H119">
        <v>70.65</v>
      </c>
      <c r="I119">
        <v>70.65</v>
      </c>
      <c r="J119">
        <v>66.6</v>
      </c>
      <c r="K119">
        <v>32.76</v>
      </c>
      <c r="L119">
        <v>29.43</v>
      </c>
      <c r="M119">
        <v>29.43</v>
      </c>
      <c r="N119">
        <v>6.66</v>
      </c>
      <c r="O119">
        <v>0</v>
      </c>
      <c r="P119">
        <v>3.69</v>
      </c>
    </row>
    <row r="120" spans="1:16" ht="15">
      <c r="A120" t="str">
        <f t="shared" si="19"/>
        <v>Non FamHigh CourtPre 1996NoNo</v>
      </c>
      <c r="B120" t="s">
        <v>90</v>
      </c>
      <c r="C120" t="s">
        <v>97</v>
      </c>
      <c r="D120" t="s">
        <v>21</v>
      </c>
      <c r="E120" t="s">
        <v>75</v>
      </c>
      <c r="F120" t="s">
        <v>82</v>
      </c>
      <c r="G120" t="s">
        <v>82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5">
      <c r="A121" t="str">
        <f t="shared" si="19"/>
        <v>Non FamHigh Court01/01/96 - 03/10/11NoNo</v>
      </c>
      <c r="B121" t="s">
        <v>90</v>
      </c>
      <c r="C121" t="s">
        <v>28</v>
      </c>
      <c r="D121" t="s">
        <v>21</v>
      </c>
      <c r="E121" t="s">
        <v>276</v>
      </c>
      <c r="F121" t="s">
        <v>82</v>
      </c>
      <c r="G121" t="s">
        <v>82</v>
      </c>
      <c r="H121">
        <v>74</v>
      </c>
      <c r="I121">
        <v>74</v>
      </c>
      <c r="J121">
        <v>74</v>
      </c>
      <c r="K121">
        <v>36.4</v>
      </c>
      <c r="L121">
        <v>32.7</v>
      </c>
      <c r="M121">
        <v>32.7</v>
      </c>
      <c r="N121">
        <v>7.4</v>
      </c>
      <c r="O121">
        <v>0</v>
      </c>
      <c r="P121">
        <v>4.1</v>
      </c>
    </row>
    <row r="122" spans="1:16" ht="15">
      <c r="A122" t="str">
        <f t="shared" si="19"/>
        <v>Non FamHigh Court04/10/11 - 21/04/14NoNo</v>
      </c>
      <c r="B122" t="s">
        <v>90</v>
      </c>
      <c r="C122" t="s">
        <v>133</v>
      </c>
      <c r="D122" t="s">
        <v>21</v>
      </c>
      <c r="E122" t="s">
        <v>354</v>
      </c>
      <c r="F122" t="s">
        <v>82</v>
      </c>
      <c r="G122" t="s">
        <v>82</v>
      </c>
      <c r="H122">
        <v>66.6</v>
      </c>
      <c r="I122">
        <v>66.6</v>
      </c>
      <c r="J122">
        <v>66.6</v>
      </c>
      <c r="K122">
        <v>32.76</v>
      </c>
      <c r="L122">
        <v>29.43</v>
      </c>
      <c r="M122">
        <v>29.43</v>
      </c>
      <c r="N122">
        <v>6.66</v>
      </c>
      <c r="O122">
        <v>0</v>
      </c>
      <c r="P122">
        <v>3.69</v>
      </c>
    </row>
    <row r="123" spans="1:16" ht="15">
      <c r="A123" t="str">
        <f t="shared" si="19"/>
        <v>Fam PublicMagistrates Court01/02/12 - 21/04/14YesYes</v>
      </c>
      <c r="B123" t="s">
        <v>89</v>
      </c>
      <c r="C123" t="s">
        <v>106</v>
      </c>
      <c r="D123" t="s">
        <v>23</v>
      </c>
      <c r="E123" t="s">
        <v>353</v>
      </c>
      <c r="F123" t="s">
        <v>81</v>
      </c>
      <c r="G123" t="s">
        <v>81</v>
      </c>
      <c r="H123">
        <v>61.38</v>
      </c>
      <c r="I123">
        <v>61.38</v>
      </c>
      <c r="J123">
        <v>64.35</v>
      </c>
      <c r="K123">
        <v>32.67</v>
      </c>
      <c r="L123">
        <v>29.21</v>
      </c>
      <c r="M123">
        <v>29.21</v>
      </c>
      <c r="N123">
        <v>3.69</v>
      </c>
      <c r="O123">
        <v>1.85</v>
      </c>
      <c r="P123">
        <v>3.69</v>
      </c>
    </row>
    <row r="124" spans="1:16" ht="15">
      <c r="A124" t="str">
        <f t="shared" si="19"/>
        <v>Fam PublicMagistrates Court01/02/12 - 21/04/14NoYes</v>
      </c>
      <c r="B124" t="s">
        <v>89</v>
      </c>
      <c r="C124" t="s">
        <v>106</v>
      </c>
      <c r="D124" t="s">
        <v>23</v>
      </c>
      <c r="E124" t="s">
        <v>353</v>
      </c>
      <c r="F124" t="s">
        <v>82</v>
      </c>
      <c r="G124" t="s">
        <v>81</v>
      </c>
      <c r="H124">
        <v>58.41</v>
      </c>
      <c r="I124">
        <v>58.41</v>
      </c>
      <c r="J124">
        <v>64.35</v>
      </c>
      <c r="K124">
        <v>32.67</v>
      </c>
      <c r="L124">
        <v>29.21</v>
      </c>
      <c r="M124">
        <v>29.21</v>
      </c>
      <c r="N124">
        <v>3.69</v>
      </c>
      <c r="O124">
        <v>1.85</v>
      </c>
      <c r="P124">
        <v>3.69</v>
      </c>
    </row>
    <row r="125" spans="1:16" ht="15">
      <c r="A125" t="str">
        <f t="shared" si="19"/>
        <v>Fam PublicMagistrates Court01/02/12 - 21/04/14YesNo</v>
      </c>
      <c r="B125" t="s">
        <v>89</v>
      </c>
      <c r="C125" t="s">
        <v>106</v>
      </c>
      <c r="D125" t="s">
        <v>23</v>
      </c>
      <c r="E125" t="s">
        <v>353</v>
      </c>
      <c r="F125" t="s">
        <v>81</v>
      </c>
      <c r="G125" t="s">
        <v>82</v>
      </c>
      <c r="H125">
        <v>61.38</v>
      </c>
      <c r="I125">
        <v>61.38</v>
      </c>
      <c r="J125">
        <v>64.35</v>
      </c>
      <c r="K125">
        <v>32.67</v>
      </c>
      <c r="L125">
        <v>29.21</v>
      </c>
      <c r="M125">
        <v>29.21</v>
      </c>
      <c r="N125">
        <v>3.69</v>
      </c>
      <c r="O125">
        <v>1.85</v>
      </c>
      <c r="P125">
        <v>3.69</v>
      </c>
    </row>
    <row r="126" spans="1:16" ht="15">
      <c r="A126" t="str">
        <f t="shared" si="19"/>
        <v>Fam PublicMagistrates Court01/02/12 - 21/04/14NoNo</v>
      </c>
      <c r="B126" t="s">
        <v>89</v>
      </c>
      <c r="C126" t="s">
        <v>106</v>
      </c>
      <c r="D126" t="s">
        <v>23</v>
      </c>
      <c r="E126" t="s">
        <v>353</v>
      </c>
      <c r="F126" t="s">
        <v>82</v>
      </c>
      <c r="G126" t="s">
        <v>82</v>
      </c>
      <c r="H126">
        <v>58.41</v>
      </c>
      <c r="I126">
        <v>58.41</v>
      </c>
      <c r="J126">
        <v>64.35</v>
      </c>
      <c r="K126">
        <v>32.67</v>
      </c>
      <c r="L126">
        <v>29.21</v>
      </c>
      <c r="M126">
        <v>29.21</v>
      </c>
      <c r="N126">
        <v>3.69</v>
      </c>
      <c r="O126">
        <v>1.85</v>
      </c>
      <c r="P126">
        <v>3.69</v>
      </c>
    </row>
    <row r="127" spans="1:16" ht="15">
      <c r="A127" t="str">
        <f t="shared" si="19"/>
        <v>Fam PublicCounty Court01/02/12 - 21/04/14YesYes</v>
      </c>
      <c r="B127" t="s">
        <v>89</v>
      </c>
      <c r="C127" t="s">
        <v>106</v>
      </c>
      <c r="D127" t="s">
        <v>22</v>
      </c>
      <c r="E127" t="s">
        <v>353</v>
      </c>
      <c r="F127" t="s">
        <v>81</v>
      </c>
      <c r="G127" t="s">
        <v>81</v>
      </c>
      <c r="H127">
        <f>H123</f>
        <v>61.38</v>
      </c>
      <c r="I127">
        <f aca="true" t="shared" si="29" ref="I127:P127">I123</f>
        <v>61.38</v>
      </c>
      <c r="J127">
        <f t="shared" si="29"/>
        <v>64.35</v>
      </c>
      <c r="K127">
        <f t="shared" si="29"/>
        <v>32.67</v>
      </c>
      <c r="L127">
        <f t="shared" si="29"/>
        <v>29.21</v>
      </c>
      <c r="M127">
        <f t="shared" si="29"/>
        <v>29.21</v>
      </c>
      <c r="N127">
        <f t="shared" si="29"/>
        <v>3.69</v>
      </c>
      <c r="O127">
        <f t="shared" si="29"/>
        <v>1.85</v>
      </c>
      <c r="P127">
        <f t="shared" si="29"/>
        <v>3.69</v>
      </c>
    </row>
    <row r="128" spans="1:16" ht="15">
      <c r="A128" t="str">
        <f t="shared" si="19"/>
        <v>Fam PublicCounty Court01/02/12 - 21/04/14NoYes</v>
      </c>
      <c r="B128" t="s">
        <v>89</v>
      </c>
      <c r="C128" t="s">
        <v>106</v>
      </c>
      <c r="D128" t="s">
        <v>22</v>
      </c>
      <c r="E128" t="s">
        <v>353</v>
      </c>
      <c r="F128" t="s">
        <v>82</v>
      </c>
      <c r="G128" t="s">
        <v>81</v>
      </c>
      <c r="H128">
        <f aca="true" t="shared" si="30" ref="H128:P130">H124</f>
        <v>58.41</v>
      </c>
      <c r="I128">
        <f t="shared" si="30"/>
        <v>58.41</v>
      </c>
      <c r="J128">
        <f t="shared" si="30"/>
        <v>64.35</v>
      </c>
      <c r="K128">
        <f t="shared" si="30"/>
        <v>32.67</v>
      </c>
      <c r="L128">
        <f t="shared" si="30"/>
        <v>29.21</v>
      </c>
      <c r="M128">
        <f t="shared" si="30"/>
        <v>29.21</v>
      </c>
      <c r="N128">
        <f t="shared" si="30"/>
        <v>3.69</v>
      </c>
      <c r="O128">
        <f t="shared" si="30"/>
        <v>1.85</v>
      </c>
      <c r="P128">
        <f t="shared" si="30"/>
        <v>3.69</v>
      </c>
    </row>
    <row r="129" spans="1:16" ht="15">
      <c r="A129" t="str">
        <f t="shared" si="19"/>
        <v>Fam PublicCounty Court01/02/12 - 21/04/14YesNo</v>
      </c>
      <c r="B129" t="s">
        <v>89</v>
      </c>
      <c r="C129" t="s">
        <v>106</v>
      </c>
      <c r="D129" t="s">
        <v>22</v>
      </c>
      <c r="E129" t="s">
        <v>353</v>
      </c>
      <c r="F129" t="s">
        <v>81</v>
      </c>
      <c r="G129" t="s">
        <v>82</v>
      </c>
      <c r="H129">
        <f t="shared" si="30"/>
        <v>61.38</v>
      </c>
      <c r="I129">
        <f t="shared" si="30"/>
        <v>61.38</v>
      </c>
      <c r="J129">
        <f t="shared" si="30"/>
        <v>64.35</v>
      </c>
      <c r="K129">
        <f t="shared" si="30"/>
        <v>32.67</v>
      </c>
      <c r="L129">
        <f t="shared" si="30"/>
        <v>29.21</v>
      </c>
      <c r="M129">
        <f t="shared" si="30"/>
        <v>29.21</v>
      </c>
      <c r="N129">
        <f t="shared" si="30"/>
        <v>3.69</v>
      </c>
      <c r="O129">
        <f t="shared" si="30"/>
        <v>1.85</v>
      </c>
      <c r="P129">
        <f t="shared" si="30"/>
        <v>3.69</v>
      </c>
    </row>
    <row r="130" spans="1:16" ht="15">
      <c r="A130" t="str">
        <f t="shared" si="19"/>
        <v>Fam PublicCounty Court01/02/12 - 21/04/14NoNo</v>
      </c>
      <c r="B130" t="s">
        <v>89</v>
      </c>
      <c r="C130" t="s">
        <v>106</v>
      </c>
      <c r="D130" t="s">
        <v>22</v>
      </c>
      <c r="E130" t="s">
        <v>353</v>
      </c>
      <c r="F130" t="s">
        <v>82</v>
      </c>
      <c r="G130" t="s">
        <v>82</v>
      </c>
      <c r="H130">
        <f t="shared" si="30"/>
        <v>58.41</v>
      </c>
      <c r="I130">
        <f t="shared" si="30"/>
        <v>58.41</v>
      </c>
      <c r="J130">
        <f t="shared" si="30"/>
        <v>64.35</v>
      </c>
      <c r="K130">
        <f t="shared" si="30"/>
        <v>32.67</v>
      </c>
      <c r="L130">
        <f t="shared" si="30"/>
        <v>29.21</v>
      </c>
      <c r="M130">
        <f t="shared" si="30"/>
        <v>29.21</v>
      </c>
      <c r="N130">
        <f t="shared" si="30"/>
        <v>3.69</v>
      </c>
      <c r="O130">
        <f t="shared" si="30"/>
        <v>1.85</v>
      </c>
      <c r="P130">
        <f t="shared" si="30"/>
        <v>3.69</v>
      </c>
    </row>
    <row r="131" spans="1:16" ht="15">
      <c r="A131" t="str">
        <f t="shared" si="19"/>
        <v>Fam PublicHigh Court01/02/12 - 21/04/14YesYes</v>
      </c>
      <c r="B131" t="s">
        <v>89</v>
      </c>
      <c r="C131" t="s">
        <v>106</v>
      </c>
      <c r="D131" t="s">
        <v>21</v>
      </c>
      <c r="E131" t="s">
        <v>353</v>
      </c>
      <c r="F131" t="s">
        <v>81</v>
      </c>
      <c r="G131" t="s">
        <v>81</v>
      </c>
      <c r="H131">
        <v>70.07</v>
      </c>
      <c r="I131">
        <v>70.07</v>
      </c>
      <c r="J131">
        <v>70.07</v>
      </c>
      <c r="K131">
        <v>37.13</v>
      </c>
      <c r="L131">
        <v>32.18</v>
      </c>
      <c r="M131">
        <v>32.18</v>
      </c>
      <c r="N131">
        <v>4.23</v>
      </c>
      <c r="O131">
        <v>2.12</v>
      </c>
      <c r="P131">
        <v>4.23</v>
      </c>
    </row>
    <row r="132" spans="1:16" ht="15">
      <c r="A132" t="str">
        <f aca="true" t="shared" si="31" ref="A132:A146">CONCATENATE(B132,D132,E132,F132,G132)</f>
        <v>Fam PublicHigh Court01/02/12 - 21/04/14NoYes</v>
      </c>
      <c r="B132" t="s">
        <v>89</v>
      </c>
      <c r="C132" t="s">
        <v>106</v>
      </c>
      <c r="D132" t="s">
        <v>21</v>
      </c>
      <c r="E132" t="s">
        <v>353</v>
      </c>
      <c r="F132" t="s">
        <v>82</v>
      </c>
      <c r="G132" t="s">
        <v>81</v>
      </c>
      <c r="H132">
        <v>65.84</v>
      </c>
      <c r="I132">
        <v>65.84</v>
      </c>
      <c r="J132">
        <v>65.84</v>
      </c>
      <c r="K132">
        <v>37.13</v>
      </c>
      <c r="L132">
        <v>32.18</v>
      </c>
      <c r="M132">
        <v>32.18</v>
      </c>
      <c r="N132">
        <v>4.23</v>
      </c>
      <c r="O132">
        <v>2.12</v>
      </c>
      <c r="P132">
        <v>4.23</v>
      </c>
    </row>
    <row r="133" spans="1:16" ht="15">
      <c r="A133" t="str">
        <f t="shared" si="31"/>
        <v>Fam PublicHigh Court01/02/12 - 21/04/14YesNo</v>
      </c>
      <c r="B133" t="s">
        <v>89</v>
      </c>
      <c r="C133" t="s">
        <v>106</v>
      </c>
      <c r="D133" t="s">
        <v>21</v>
      </c>
      <c r="E133" t="s">
        <v>353</v>
      </c>
      <c r="F133" t="s">
        <v>81</v>
      </c>
      <c r="G133" t="s">
        <v>82</v>
      </c>
      <c r="H133">
        <v>70.07</v>
      </c>
      <c r="I133">
        <v>70.07</v>
      </c>
      <c r="J133">
        <v>70.07</v>
      </c>
      <c r="K133">
        <v>37.13</v>
      </c>
      <c r="L133">
        <v>32.18</v>
      </c>
      <c r="M133">
        <v>32.18</v>
      </c>
      <c r="N133">
        <v>4.23</v>
      </c>
      <c r="O133">
        <v>2.12</v>
      </c>
      <c r="P133">
        <v>4.23</v>
      </c>
    </row>
    <row r="134" spans="1:16" ht="15">
      <c r="A134" t="str">
        <f t="shared" si="31"/>
        <v>Fam PublicHigh Court01/02/12 - 21/04/14NoNo</v>
      </c>
      <c r="B134" t="s">
        <v>89</v>
      </c>
      <c r="C134" t="s">
        <v>106</v>
      </c>
      <c r="D134" t="s">
        <v>21</v>
      </c>
      <c r="E134" t="s">
        <v>353</v>
      </c>
      <c r="F134" t="s">
        <v>82</v>
      </c>
      <c r="G134" t="s">
        <v>82</v>
      </c>
      <c r="H134">
        <v>65.84</v>
      </c>
      <c r="I134">
        <v>65.84</v>
      </c>
      <c r="J134">
        <v>65.84</v>
      </c>
      <c r="K134">
        <v>37.13</v>
      </c>
      <c r="L134">
        <v>32.18</v>
      </c>
      <c r="M134">
        <v>32.18</v>
      </c>
      <c r="N134">
        <v>4.23</v>
      </c>
      <c r="O134">
        <v>2.12</v>
      </c>
      <c r="P134">
        <v>4.23</v>
      </c>
    </row>
    <row r="135" spans="1:16" ht="15">
      <c r="A135" t="str">
        <f t="shared" si="31"/>
        <v>Fam PrivateMagistrates Court01/02/12 - 21/04/14YesYes</v>
      </c>
      <c r="B135" t="s">
        <v>88</v>
      </c>
      <c r="C135" t="s">
        <v>134</v>
      </c>
      <c r="D135" t="s">
        <v>23</v>
      </c>
      <c r="E135" t="s">
        <v>353</v>
      </c>
      <c r="F135" t="s">
        <v>81</v>
      </c>
      <c r="G135" t="s">
        <v>81</v>
      </c>
      <c r="H135">
        <v>59.4</v>
      </c>
      <c r="I135">
        <v>59.4</v>
      </c>
      <c r="J135">
        <v>59.4</v>
      </c>
      <c r="K135">
        <v>32.4</v>
      </c>
      <c r="L135">
        <v>28.8</v>
      </c>
      <c r="M135">
        <v>28.8</v>
      </c>
      <c r="N135">
        <v>5.4</v>
      </c>
      <c r="O135">
        <v>2.7</v>
      </c>
      <c r="P135">
        <v>5.4</v>
      </c>
    </row>
    <row r="136" spans="1:16" ht="15">
      <c r="A136" t="str">
        <f t="shared" si="31"/>
        <v>Fam PrivateMagistrates Court01/02/12 - 21/04/14NoYes</v>
      </c>
      <c r="B136" t="s">
        <v>88</v>
      </c>
      <c r="C136" t="s">
        <v>134</v>
      </c>
      <c r="D136" t="s">
        <v>23</v>
      </c>
      <c r="E136" t="s">
        <v>353</v>
      </c>
      <c r="F136" t="s">
        <v>82</v>
      </c>
      <c r="G136" t="s">
        <v>81</v>
      </c>
      <c r="H136">
        <v>54.9</v>
      </c>
      <c r="I136">
        <v>54.9</v>
      </c>
      <c r="J136">
        <v>56.7</v>
      </c>
      <c r="K136">
        <v>32.4</v>
      </c>
      <c r="L136">
        <v>27.9</v>
      </c>
      <c r="M136">
        <v>27.9</v>
      </c>
      <c r="N136">
        <v>5.4</v>
      </c>
      <c r="O136">
        <v>2.7</v>
      </c>
      <c r="P136">
        <v>5.4</v>
      </c>
    </row>
    <row r="137" spans="1:16" ht="15">
      <c r="A137" t="str">
        <f t="shared" si="31"/>
        <v>Fam PrivateMagistrates Court01/02/12 - 21/04/14YesNo</v>
      </c>
      <c r="B137" t="s">
        <v>88</v>
      </c>
      <c r="C137" t="s">
        <v>134</v>
      </c>
      <c r="D137" t="s">
        <v>23</v>
      </c>
      <c r="E137" t="s">
        <v>353</v>
      </c>
      <c r="F137" t="s">
        <v>81</v>
      </c>
      <c r="G137" t="s">
        <v>82</v>
      </c>
      <c r="H137">
        <f>H135</f>
        <v>59.4</v>
      </c>
      <c r="I137">
        <f aca="true" t="shared" si="32" ref="I137:P137">I135</f>
        <v>59.4</v>
      </c>
      <c r="J137">
        <f t="shared" si="32"/>
        <v>59.4</v>
      </c>
      <c r="K137">
        <f t="shared" si="32"/>
        <v>32.4</v>
      </c>
      <c r="L137">
        <f t="shared" si="32"/>
        <v>28.8</v>
      </c>
      <c r="M137">
        <f t="shared" si="32"/>
        <v>28.8</v>
      </c>
      <c r="N137">
        <f t="shared" si="32"/>
        <v>5.4</v>
      </c>
      <c r="O137">
        <f t="shared" si="32"/>
        <v>2.7</v>
      </c>
      <c r="P137">
        <f t="shared" si="32"/>
        <v>5.4</v>
      </c>
    </row>
    <row r="138" spans="1:16" ht="15">
      <c r="A138" t="str">
        <f t="shared" si="31"/>
        <v>Fam PrivateMagistrates Court01/02/12 - 21/04/14NoNo</v>
      </c>
      <c r="B138" t="s">
        <v>88</v>
      </c>
      <c r="C138" t="s">
        <v>134</v>
      </c>
      <c r="D138" t="s">
        <v>23</v>
      </c>
      <c r="E138" t="s">
        <v>353</v>
      </c>
      <c r="F138" t="s">
        <v>82</v>
      </c>
      <c r="G138" t="s">
        <v>82</v>
      </c>
      <c r="H138">
        <f>H136</f>
        <v>54.9</v>
      </c>
      <c r="I138">
        <f aca="true" t="shared" si="33" ref="I138:P138">I136</f>
        <v>54.9</v>
      </c>
      <c r="J138">
        <f t="shared" si="33"/>
        <v>56.7</v>
      </c>
      <c r="K138">
        <f t="shared" si="33"/>
        <v>32.4</v>
      </c>
      <c r="L138">
        <f t="shared" si="33"/>
        <v>27.9</v>
      </c>
      <c r="M138">
        <f t="shared" si="33"/>
        <v>27.9</v>
      </c>
      <c r="N138">
        <f t="shared" si="33"/>
        <v>5.4</v>
      </c>
      <c r="O138">
        <f t="shared" si="33"/>
        <v>2.7</v>
      </c>
      <c r="P138">
        <f t="shared" si="33"/>
        <v>5.4</v>
      </c>
    </row>
    <row r="139" spans="1:16" ht="15">
      <c r="A139" t="str">
        <f t="shared" si="31"/>
        <v>Fam PrivateCounty Court01/02/12 - 21/04/14YesYes</v>
      </c>
      <c r="B139" t="s">
        <v>88</v>
      </c>
      <c r="C139" t="s">
        <v>134</v>
      </c>
      <c r="D139" t="s">
        <v>22</v>
      </c>
      <c r="E139" t="s">
        <v>353</v>
      </c>
      <c r="F139" t="s">
        <v>81</v>
      </c>
      <c r="G139" t="s">
        <v>81</v>
      </c>
      <c r="H139">
        <f>H135</f>
        <v>59.4</v>
      </c>
      <c r="I139">
        <f aca="true" t="shared" si="34" ref="I139:P139">I135</f>
        <v>59.4</v>
      </c>
      <c r="J139">
        <f t="shared" si="34"/>
        <v>59.4</v>
      </c>
      <c r="K139">
        <f t="shared" si="34"/>
        <v>32.4</v>
      </c>
      <c r="L139">
        <f t="shared" si="34"/>
        <v>28.8</v>
      </c>
      <c r="M139">
        <f t="shared" si="34"/>
        <v>28.8</v>
      </c>
      <c r="N139">
        <f t="shared" si="34"/>
        <v>5.4</v>
      </c>
      <c r="O139">
        <f t="shared" si="34"/>
        <v>2.7</v>
      </c>
      <c r="P139">
        <f t="shared" si="34"/>
        <v>5.4</v>
      </c>
    </row>
    <row r="140" spans="1:16" ht="15">
      <c r="A140" t="str">
        <f t="shared" si="31"/>
        <v>Fam PrivateCounty Court01/02/12 - 21/04/14NoYes</v>
      </c>
      <c r="B140" t="s">
        <v>88</v>
      </c>
      <c r="C140" t="s">
        <v>134</v>
      </c>
      <c r="D140" t="s">
        <v>22</v>
      </c>
      <c r="E140" t="s">
        <v>353</v>
      </c>
      <c r="F140" t="s">
        <v>82</v>
      </c>
      <c r="G140" t="s">
        <v>81</v>
      </c>
      <c r="H140">
        <f aca="true" t="shared" si="35" ref="H140:P142">H136</f>
        <v>54.9</v>
      </c>
      <c r="I140">
        <f t="shared" si="35"/>
        <v>54.9</v>
      </c>
      <c r="J140">
        <f t="shared" si="35"/>
        <v>56.7</v>
      </c>
      <c r="K140">
        <f t="shared" si="35"/>
        <v>32.4</v>
      </c>
      <c r="L140">
        <f t="shared" si="35"/>
        <v>27.9</v>
      </c>
      <c r="M140">
        <f t="shared" si="35"/>
        <v>27.9</v>
      </c>
      <c r="N140">
        <f t="shared" si="35"/>
        <v>5.4</v>
      </c>
      <c r="O140">
        <f t="shared" si="35"/>
        <v>2.7</v>
      </c>
      <c r="P140">
        <f t="shared" si="35"/>
        <v>5.4</v>
      </c>
    </row>
    <row r="141" spans="1:16" ht="15">
      <c r="A141" t="str">
        <f t="shared" si="31"/>
        <v>Fam PrivateCounty Court01/02/12 - 21/04/14YesNo</v>
      </c>
      <c r="B141" t="s">
        <v>88</v>
      </c>
      <c r="C141" t="s">
        <v>134</v>
      </c>
      <c r="D141" t="s">
        <v>22</v>
      </c>
      <c r="E141" t="s">
        <v>353</v>
      </c>
      <c r="F141" t="s">
        <v>81</v>
      </c>
      <c r="G141" t="s">
        <v>82</v>
      </c>
      <c r="H141">
        <f t="shared" si="35"/>
        <v>59.4</v>
      </c>
      <c r="I141">
        <f t="shared" si="35"/>
        <v>59.4</v>
      </c>
      <c r="J141">
        <f t="shared" si="35"/>
        <v>59.4</v>
      </c>
      <c r="K141">
        <f t="shared" si="35"/>
        <v>32.4</v>
      </c>
      <c r="L141">
        <f t="shared" si="35"/>
        <v>28.8</v>
      </c>
      <c r="M141">
        <f t="shared" si="35"/>
        <v>28.8</v>
      </c>
      <c r="N141">
        <f t="shared" si="35"/>
        <v>5.4</v>
      </c>
      <c r="O141">
        <f t="shared" si="35"/>
        <v>2.7</v>
      </c>
      <c r="P141">
        <f t="shared" si="35"/>
        <v>5.4</v>
      </c>
    </row>
    <row r="142" spans="1:16" ht="15">
      <c r="A142" t="str">
        <f t="shared" si="31"/>
        <v>Fam PrivateCounty Court01/02/12 - 21/04/14NoNo</v>
      </c>
      <c r="B142" t="s">
        <v>88</v>
      </c>
      <c r="C142" t="s">
        <v>134</v>
      </c>
      <c r="D142" t="s">
        <v>22</v>
      </c>
      <c r="E142" t="s">
        <v>353</v>
      </c>
      <c r="F142" t="s">
        <v>82</v>
      </c>
      <c r="G142" t="s">
        <v>82</v>
      </c>
      <c r="H142">
        <f t="shared" si="35"/>
        <v>54.9</v>
      </c>
      <c r="I142">
        <f t="shared" si="35"/>
        <v>54.9</v>
      </c>
      <c r="J142">
        <f t="shared" si="35"/>
        <v>56.7</v>
      </c>
      <c r="K142">
        <f t="shared" si="35"/>
        <v>32.4</v>
      </c>
      <c r="L142">
        <f t="shared" si="35"/>
        <v>27.9</v>
      </c>
      <c r="M142">
        <f t="shared" si="35"/>
        <v>27.9</v>
      </c>
      <c r="N142">
        <f t="shared" si="35"/>
        <v>5.4</v>
      </c>
      <c r="O142">
        <f t="shared" si="35"/>
        <v>2.7</v>
      </c>
      <c r="P142">
        <f t="shared" si="35"/>
        <v>5.4</v>
      </c>
    </row>
    <row r="143" spans="1:16" ht="15">
      <c r="A143" t="str">
        <f t="shared" si="31"/>
        <v>Fam PrivateHigh Court01/02/12 - 21/04/14YesYes</v>
      </c>
      <c r="B143" t="s">
        <v>88</v>
      </c>
      <c r="C143" t="s">
        <v>134</v>
      </c>
      <c r="D143" t="s">
        <v>21</v>
      </c>
      <c r="E143" t="s">
        <v>353</v>
      </c>
      <c r="F143" t="s">
        <v>81</v>
      </c>
      <c r="G143" t="s">
        <v>81</v>
      </c>
      <c r="H143">
        <v>70.56</v>
      </c>
      <c r="I143">
        <v>70.56</v>
      </c>
      <c r="J143">
        <v>70.56</v>
      </c>
      <c r="K143">
        <v>37.13</v>
      </c>
      <c r="L143">
        <v>32.18</v>
      </c>
      <c r="M143">
        <v>32.18</v>
      </c>
      <c r="N143">
        <v>6.35</v>
      </c>
      <c r="O143">
        <v>3.15</v>
      </c>
      <c r="P143">
        <v>6.35</v>
      </c>
    </row>
    <row r="144" spans="1:16" ht="15">
      <c r="A144" t="str">
        <f t="shared" si="31"/>
        <v>Fam PrivateHigh Court01/02/12 - 21/04/14NoYes</v>
      </c>
      <c r="B144" t="s">
        <v>88</v>
      </c>
      <c r="C144" t="s">
        <v>134</v>
      </c>
      <c r="D144" t="s">
        <v>21</v>
      </c>
      <c r="E144" t="s">
        <v>353</v>
      </c>
      <c r="F144" t="s">
        <v>82</v>
      </c>
      <c r="G144" t="s">
        <v>81</v>
      </c>
      <c r="H144">
        <v>65.75</v>
      </c>
      <c r="I144">
        <v>65.75</v>
      </c>
      <c r="J144">
        <v>65.75</v>
      </c>
      <c r="K144">
        <v>37.13</v>
      </c>
      <c r="L144">
        <v>32.18</v>
      </c>
      <c r="M144">
        <v>32.18</v>
      </c>
      <c r="N144">
        <v>6.35</v>
      </c>
      <c r="O144">
        <v>3.15</v>
      </c>
      <c r="P144">
        <v>6.35</v>
      </c>
    </row>
    <row r="145" spans="1:16" ht="15">
      <c r="A145" t="str">
        <f t="shared" si="31"/>
        <v>Fam PrivateHigh Court01/02/12 - 21/04/14YesNo</v>
      </c>
      <c r="B145" t="s">
        <v>88</v>
      </c>
      <c r="C145" t="s">
        <v>134</v>
      </c>
      <c r="D145" t="s">
        <v>21</v>
      </c>
      <c r="E145" t="s">
        <v>353</v>
      </c>
      <c r="F145" t="s">
        <v>81</v>
      </c>
      <c r="G145" t="s">
        <v>82</v>
      </c>
      <c r="H145">
        <f>H143</f>
        <v>70.56</v>
      </c>
      <c r="I145">
        <f aca="true" t="shared" si="36" ref="I145:P145">I143</f>
        <v>70.56</v>
      </c>
      <c r="J145">
        <f t="shared" si="36"/>
        <v>70.56</v>
      </c>
      <c r="K145">
        <f t="shared" si="36"/>
        <v>37.13</v>
      </c>
      <c r="L145">
        <f t="shared" si="36"/>
        <v>32.18</v>
      </c>
      <c r="M145">
        <f t="shared" si="36"/>
        <v>32.18</v>
      </c>
      <c r="N145">
        <f t="shared" si="36"/>
        <v>6.35</v>
      </c>
      <c r="O145">
        <f t="shared" si="36"/>
        <v>3.15</v>
      </c>
      <c r="P145">
        <f t="shared" si="36"/>
        <v>6.35</v>
      </c>
    </row>
    <row r="146" spans="1:16" ht="15">
      <c r="A146" t="str">
        <f t="shared" si="31"/>
        <v>Fam PrivateHigh Court01/02/12 - 21/04/14NoNo</v>
      </c>
      <c r="B146" t="s">
        <v>88</v>
      </c>
      <c r="C146" t="s">
        <v>134</v>
      </c>
      <c r="D146" t="s">
        <v>21</v>
      </c>
      <c r="E146" t="s">
        <v>353</v>
      </c>
      <c r="F146" t="s">
        <v>82</v>
      </c>
      <c r="G146" t="s">
        <v>82</v>
      </c>
      <c r="H146">
        <f>H144</f>
        <v>65.75</v>
      </c>
      <c r="I146">
        <f aca="true" t="shared" si="37" ref="I146:P146">I144</f>
        <v>65.75</v>
      </c>
      <c r="J146">
        <f t="shared" si="37"/>
        <v>65.75</v>
      </c>
      <c r="K146">
        <f t="shared" si="37"/>
        <v>37.13</v>
      </c>
      <c r="L146">
        <f t="shared" si="37"/>
        <v>32.18</v>
      </c>
      <c r="M146">
        <f t="shared" si="37"/>
        <v>32.18</v>
      </c>
      <c r="N146">
        <f t="shared" si="37"/>
        <v>6.35</v>
      </c>
      <c r="O146">
        <f t="shared" si="37"/>
        <v>3.15</v>
      </c>
      <c r="P146">
        <f t="shared" si="37"/>
        <v>6.35</v>
      </c>
    </row>
    <row r="159" spans="1:16" ht="15">
      <c r="A159" t="str">
        <f aca="true" t="shared" si="38" ref="A159:A222">CONCATENATE(B159,D159,E159,F159,G159)</f>
        <v>Non FamMagistrates Court22/04/14 OnwardsYesYes</v>
      </c>
      <c r="B159" t="s">
        <v>90</v>
      </c>
      <c r="C159" t="s">
        <v>133</v>
      </c>
      <c r="D159" t="s">
        <v>23</v>
      </c>
      <c r="E159" t="s">
        <v>355</v>
      </c>
      <c r="F159" t="s">
        <v>81</v>
      </c>
      <c r="G159" t="s">
        <v>81</v>
      </c>
      <c r="H159">
        <v>63</v>
      </c>
      <c r="I159">
        <v>63</v>
      </c>
      <c r="J159">
        <v>59.4</v>
      </c>
      <c r="K159">
        <v>29.25</v>
      </c>
      <c r="L159">
        <v>26.28</v>
      </c>
      <c r="M159">
        <v>26.28</v>
      </c>
      <c r="N159">
        <v>5.94</v>
      </c>
      <c r="O159">
        <v>0</v>
      </c>
      <c r="P159">
        <v>3.29</v>
      </c>
    </row>
    <row r="160" spans="1:16" ht="15">
      <c r="A160" t="str">
        <f t="shared" si="38"/>
        <v>Non FamMagistrates Court22/04/14 OnwardsNoYes</v>
      </c>
      <c r="B160" t="s">
        <v>90</v>
      </c>
      <c r="C160" t="s">
        <v>133</v>
      </c>
      <c r="D160" t="s">
        <v>23</v>
      </c>
      <c r="E160" t="s">
        <v>355</v>
      </c>
      <c r="F160" t="s">
        <v>82</v>
      </c>
      <c r="G160" t="s">
        <v>81</v>
      </c>
      <c r="H160">
        <v>59.4</v>
      </c>
      <c r="I160">
        <v>59.4</v>
      </c>
      <c r="J160">
        <v>59.4</v>
      </c>
      <c r="K160">
        <v>29.25</v>
      </c>
      <c r="L160">
        <v>26.28</v>
      </c>
      <c r="M160">
        <v>26.28</v>
      </c>
      <c r="N160">
        <v>5.94</v>
      </c>
      <c r="O160">
        <v>0</v>
      </c>
      <c r="P160">
        <v>3.29</v>
      </c>
    </row>
    <row r="161" spans="1:16" ht="15">
      <c r="A161" t="str">
        <f t="shared" si="38"/>
        <v>Non FamMagistrates Court22/04/14 OnwardsYesNo</v>
      </c>
      <c r="B161" t="s">
        <v>90</v>
      </c>
      <c r="C161" t="s">
        <v>133</v>
      </c>
      <c r="D161" t="s">
        <v>23</v>
      </c>
      <c r="E161" t="s">
        <v>355</v>
      </c>
      <c r="F161" t="s">
        <v>81</v>
      </c>
      <c r="G161" t="s">
        <v>82</v>
      </c>
      <c r="H161">
        <v>62.1</v>
      </c>
      <c r="I161">
        <v>62.1</v>
      </c>
      <c r="J161">
        <v>58.5</v>
      </c>
      <c r="K161">
        <v>28.8</v>
      </c>
      <c r="L161">
        <v>25.88</v>
      </c>
      <c r="M161">
        <v>25.88</v>
      </c>
      <c r="N161">
        <v>5.85</v>
      </c>
      <c r="O161">
        <v>0</v>
      </c>
      <c r="P161">
        <v>3.24</v>
      </c>
    </row>
    <row r="162" spans="1:16" ht="15">
      <c r="A162" t="str">
        <f t="shared" si="38"/>
        <v>Non FamMagistrates Court22/04/14 OnwardsNoNo</v>
      </c>
      <c r="B162" t="s">
        <v>90</v>
      </c>
      <c r="C162" t="s">
        <v>133</v>
      </c>
      <c r="D162" t="s">
        <v>23</v>
      </c>
      <c r="E162" t="s">
        <v>355</v>
      </c>
      <c r="F162" t="s">
        <v>82</v>
      </c>
      <c r="G162" t="s">
        <v>82</v>
      </c>
      <c r="H162">
        <v>58.5</v>
      </c>
      <c r="I162">
        <v>58.5</v>
      </c>
      <c r="J162">
        <v>58.5</v>
      </c>
      <c r="K162">
        <v>28.8</v>
      </c>
      <c r="L162">
        <v>25.88</v>
      </c>
      <c r="M162">
        <v>25.88</v>
      </c>
      <c r="N162">
        <v>5.85</v>
      </c>
      <c r="O162">
        <v>0</v>
      </c>
      <c r="P162">
        <v>3.24</v>
      </c>
    </row>
    <row r="163" spans="1:16" ht="15">
      <c r="A163" t="str">
        <f t="shared" si="38"/>
        <v>Non FamCounty Court22/04/14 OnwardsYesYes</v>
      </c>
      <c r="B163" t="s">
        <v>90</v>
      </c>
      <c r="C163" t="s">
        <v>133</v>
      </c>
      <c r="D163" t="s">
        <v>22</v>
      </c>
      <c r="E163" t="s">
        <v>355</v>
      </c>
      <c r="F163" t="s">
        <v>81</v>
      </c>
      <c r="G163" t="s">
        <v>81</v>
      </c>
      <c r="H163">
        <v>63</v>
      </c>
      <c r="I163">
        <v>63</v>
      </c>
      <c r="J163">
        <v>59.4</v>
      </c>
      <c r="K163">
        <v>29.25</v>
      </c>
      <c r="L163">
        <v>26.28</v>
      </c>
      <c r="M163">
        <v>26.28</v>
      </c>
      <c r="N163">
        <v>5.94</v>
      </c>
      <c r="O163">
        <v>0</v>
      </c>
      <c r="P163">
        <v>3.29</v>
      </c>
    </row>
    <row r="164" spans="1:16" ht="15">
      <c r="A164" t="str">
        <f t="shared" si="38"/>
        <v>Non FamCounty Court22/04/14 OnwardsNoYes</v>
      </c>
      <c r="B164" t="s">
        <v>90</v>
      </c>
      <c r="C164" t="s">
        <v>133</v>
      </c>
      <c r="D164" t="s">
        <v>22</v>
      </c>
      <c r="E164" t="s">
        <v>355</v>
      </c>
      <c r="F164" t="s">
        <v>82</v>
      </c>
      <c r="G164" t="s">
        <v>81</v>
      </c>
      <c r="H164">
        <v>59.4</v>
      </c>
      <c r="I164">
        <v>59.4</v>
      </c>
      <c r="J164">
        <v>59.4</v>
      </c>
      <c r="K164">
        <v>29.25</v>
      </c>
      <c r="L164">
        <v>26.28</v>
      </c>
      <c r="M164">
        <v>26.28</v>
      </c>
      <c r="N164">
        <v>5.94</v>
      </c>
      <c r="O164">
        <v>0</v>
      </c>
      <c r="P164">
        <v>3.29</v>
      </c>
    </row>
    <row r="165" spans="1:16" ht="15">
      <c r="A165" t="str">
        <f t="shared" si="38"/>
        <v>Non FamCounty Court22/04/14 OnwardsYesNo</v>
      </c>
      <c r="B165" t="s">
        <v>90</v>
      </c>
      <c r="C165" t="s">
        <v>133</v>
      </c>
      <c r="D165" t="s">
        <v>22</v>
      </c>
      <c r="E165" t="s">
        <v>355</v>
      </c>
      <c r="F165" t="s">
        <v>81</v>
      </c>
      <c r="G165" t="s">
        <v>82</v>
      </c>
      <c r="H165">
        <v>62.1</v>
      </c>
      <c r="I165">
        <v>62.1</v>
      </c>
      <c r="J165">
        <v>58.5</v>
      </c>
      <c r="K165">
        <v>28.8</v>
      </c>
      <c r="L165">
        <v>25.88</v>
      </c>
      <c r="M165">
        <v>25.88</v>
      </c>
      <c r="N165">
        <v>5.85</v>
      </c>
      <c r="O165">
        <v>0</v>
      </c>
      <c r="P165">
        <v>3.24</v>
      </c>
    </row>
    <row r="166" spans="1:16" ht="15">
      <c r="A166" t="str">
        <f t="shared" si="38"/>
        <v>Non FamCounty Court22/04/14 OnwardsNoNo</v>
      </c>
      <c r="B166" t="s">
        <v>90</v>
      </c>
      <c r="C166" t="s">
        <v>133</v>
      </c>
      <c r="D166" t="s">
        <v>22</v>
      </c>
      <c r="E166" t="s">
        <v>355</v>
      </c>
      <c r="F166" t="s">
        <v>82</v>
      </c>
      <c r="G166" t="s">
        <v>82</v>
      </c>
      <c r="H166">
        <v>58.5</v>
      </c>
      <c r="I166">
        <v>58.5</v>
      </c>
      <c r="J166">
        <v>58.5</v>
      </c>
      <c r="K166">
        <v>28.8</v>
      </c>
      <c r="L166">
        <v>25.88</v>
      </c>
      <c r="M166">
        <v>25.88</v>
      </c>
      <c r="N166">
        <v>5.85</v>
      </c>
      <c r="O166">
        <v>0</v>
      </c>
      <c r="P166">
        <v>3.24</v>
      </c>
    </row>
    <row r="167" spans="1:16" ht="15">
      <c r="A167" t="str">
        <f t="shared" si="38"/>
        <v>Non FamHigh Court22/04/14 OnwardsYesYes</v>
      </c>
      <c r="B167" t="s">
        <v>90</v>
      </c>
      <c r="C167" t="s">
        <v>133</v>
      </c>
      <c r="D167" t="s">
        <v>21</v>
      </c>
      <c r="E167" t="s">
        <v>355</v>
      </c>
      <c r="F167" t="s">
        <v>81</v>
      </c>
      <c r="G167" t="s">
        <v>81</v>
      </c>
      <c r="H167">
        <v>71.55</v>
      </c>
      <c r="I167">
        <v>71.55</v>
      </c>
      <c r="J167">
        <v>67.5</v>
      </c>
      <c r="K167">
        <v>33.3</v>
      </c>
      <c r="L167">
        <v>29.93</v>
      </c>
      <c r="M167">
        <v>29.93</v>
      </c>
      <c r="N167">
        <v>6.75</v>
      </c>
      <c r="O167">
        <v>0</v>
      </c>
      <c r="P167">
        <v>3.74</v>
      </c>
    </row>
    <row r="168" spans="1:16" ht="15">
      <c r="A168" t="str">
        <f t="shared" si="38"/>
        <v>Non FamHigh Court22/04/14 OnwardsNoYes</v>
      </c>
      <c r="B168" t="s">
        <v>90</v>
      </c>
      <c r="C168" t="s">
        <v>133</v>
      </c>
      <c r="D168" t="s">
        <v>21</v>
      </c>
      <c r="E168" t="s">
        <v>355</v>
      </c>
      <c r="F168" t="s">
        <v>82</v>
      </c>
      <c r="G168" t="s">
        <v>81</v>
      </c>
      <c r="H168">
        <v>67.5</v>
      </c>
      <c r="I168">
        <v>67.5</v>
      </c>
      <c r="J168">
        <v>67.5</v>
      </c>
      <c r="K168">
        <v>33.3</v>
      </c>
      <c r="L168">
        <v>29.93</v>
      </c>
      <c r="M168">
        <v>29.93</v>
      </c>
      <c r="N168">
        <v>6.75</v>
      </c>
      <c r="O168">
        <v>0</v>
      </c>
      <c r="P168">
        <v>3.74</v>
      </c>
    </row>
    <row r="169" spans="1:16" ht="15">
      <c r="A169" t="str">
        <f t="shared" si="38"/>
        <v>Non FamHigh Court22/04/14 OnwardsYesNo</v>
      </c>
      <c r="B169" t="s">
        <v>90</v>
      </c>
      <c r="C169" t="s">
        <v>133</v>
      </c>
      <c r="D169" t="s">
        <v>21</v>
      </c>
      <c r="E169" t="s">
        <v>355</v>
      </c>
      <c r="F169" t="s">
        <v>81</v>
      </c>
      <c r="G169" t="s">
        <v>82</v>
      </c>
      <c r="H169">
        <v>70.65</v>
      </c>
      <c r="I169">
        <v>70.65</v>
      </c>
      <c r="J169">
        <v>66.6</v>
      </c>
      <c r="K169">
        <v>32.76</v>
      </c>
      <c r="L169">
        <v>29.43</v>
      </c>
      <c r="M169">
        <v>29.43</v>
      </c>
      <c r="N169">
        <v>6.66</v>
      </c>
      <c r="O169">
        <v>0</v>
      </c>
      <c r="P169">
        <v>3.69</v>
      </c>
    </row>
    <row r="170" spans="1:16" ht="15">
      <c r="A170" t="str">
        <f t="shared" si="38"/>
        <v>Non FamHigh Court22/04/14 OnwardsNoNo</v>
      </c>
      <c r="B170" t="s">
        <v>90</v>
      </c>
      <c r="C170" t="s">
        <v>133</v>
      </c>
      <c r="D170" t="s">
        <v>21</v>
      </c>
      <c r="E170" t="s">
        <v>355</v>
      </c>
      <c r="F170" t="s">
        <v>82</v>
      </c>
      <c r="G170" t="s">
        <v>82</v>
      </c>
      <c r="H170">
        <v>66.6</v>
      </c>
      <c r="I170">
        <v>66.6</v>
      </c>
      <c r="J170">
        <v>66.6</v>
      </c>
      <c r="K170">
        <v>32.76</v>
      </c>
      <c r="L170">
        <v>29.43</v>
      </c>
      <c r="M170">
        <v>29.43</v>
      </c>
      <c r="N170">
        <v>6.66</v>
      </c>
      <c r="O170">
        <v>0</v>
      </c>
      <c r="P170">
        <v>3.69</v>
      </c>
    </row>
    <row r="171" spans="1:16" ht="15">
      <c r="A171" t="str">
        <f t="shared" si="38"/>
        <v>Fam PrivateMagistrates Court22/04/14 OnwardsYesYes</v>
      </c>
      <c r="B171" t="s">
        <v>88</v>
      </c>
      <c r="C171" t="s">
        <v>134</v>
      </c>
      <c r="D171" t="s">
        <v>23</v>
      </c>
      <c r="E171" t="s">
        <v>355</v>
      </c>
      <c r="F171" t="s">
        <v>81</v>
      </c>
      <c r="G171" t="s">
        <v>81</v>
      </c>
      <c r="H171">
        <v>59.4</v>
      </c>
      <c r="I171">
        <v>59.4</v>
      </c>
      <c r="J171">
        <v>59.4</v>
      </c>
      <c r="K171">
        <v>32.4</v>
      </c>
      <c r="L171">
        <v>28.8</v>
      </c>
      <c r="M171">
        <v>28.8</v>
      </c>
      <c r="N171">
        <v>5.4</v>
      </c>
      <c r="O171">
        <v>2.7</v>
      </c>
      <c r="P171">
        <v>5.4</v>
      </c>
    </row>
    <row r="172" spans="1:16" ht="15">
      <c r="A172" t="str">
        <f t="shared" si="38"/>
        <v>Fam PrivateMagistrates Court22/04/14 OnwardsNoYes</v>
      </c>
      <c r="B172" t="s">
        <v>88</v>
      </c>
      <c r="C172" t="s">
        <v>134</v>
      </c>
      <c r="D172" t="s">
        <v>23</v>
      </c>
      <c r="E172" t="s">
        <v>355</v>
      </c>
      <c r="F172" t="s">
        <v>82</v>
      </c>
      <c r="G172" t="s">
        <v>81</v>
      </c>
      <c r="H172">
        <v>54.9</v>
      </c>
      <c r="I172">
        <v>54.9</v>
      </c>
      <c r="J172">
        <v>56.7</v>
      </c>
      <c r="K172">
        <v>32.4</v>
      </c>
      <c r="L172">
        <v>27.9</v>
      </c>
      <c r="M172">
        <v>27.9</v>
      </c>
      <c r="N172">
        <v>5.4</v>
      </c>
      <c r="O172">
        <v>2.7</v>
      </c>
      <c r="P172">
        <v>5.4</v>
      </c>
    </row>
    <row r="173" spans="1:16" ht="15">
      <c r="A173" t="str">
        <f t="shared" si="38"/>
        <v>Fam PrivateMagistrates Court22/04/14 OnwardsYesNo</v>
      </c>
      <c r="B173" t="s">
        <v>88</v>
      </c>
      <c r="C173" t="s">
        <v>134</v>
      </c>
      <c r="D173" t="s">
        <v>23</v>
      </c>
      <c r="E173" t="s">
        <v>355</v>
      </c>
      <c r="F173" t="s">
        <v>81</v>
      </c>
      <c r="G173" t="s">
        <v>82</v>
      </c>
      <c r="H173">
        <f>H171</f>
        <v>59.4</v>
      </c>
      <c r="I173">
        <f aca="true" t="shared" si="39" ref="I173:P173">I171</f>
        <v>59.4</v>
      </c>
      <c r="J173">
        <f t="shared" si="39"/>
        <v>59.4</v>
      </c>
      <c r="K173">
        <f t="shared" si="39"/>
        <v>32.4</v>
      </c>
      <c r="L173">
        <f t="shared" si="39"/>
        <v>28.8</v>
      </c>
      <c r="M173">
        <f t="shared" si="39"/>
        <v>28.8</v>
      </c>
      <c r="N173">
        <f t="shared" si="39"/>
        <v>5.4</v>
      </c>
      <c r="O173">
        <f t="shared" si="39"/>
        <v>2.7</v>
      </c>
      <c r="P173">
        <f t="shared" si="39"/>
        <v>5.4</v>
      </c>
    </row>
    <row r="174" spans="1:16" ht="15">
      <c r="A174" t="str">
        <f t="shared" si="38"/>
        <v>Fam PrivateMagistrates Court22/04/14 OnwardsNoNo</v>
      </c>
      <c r="B174" t="s">
        <v>88</v>
      </c>
      <c r="C174" t="s">
        <v>134</v>
      </c>
      <c r="D174" t="s">
        <v>23</v>
      </c>
      <c r="E174" t="s">
        <v>355</v>
      </c>
      <c r="F174" t="s">
        <v>82</v>
      </c>
      <c r="G174" t="s">
        <v>82</v>
      </c>
      <c r="H174">
        <f>H172</f>
        <v>54.9</v>
      </c>
      <c r="I174">
        <f aca="true" t="shared" si="40" ref="I174:P174">I172</f>
        <v>54.9</v>
      </c>
      <c r="J174">
        <f t="shared" si="40"/>
        <v>56.7</v>
      </c>
      <c r="K174">
        <f t="shared" si="40"/>
        <v>32.4</v>
      </c>
      <c r="L174">
        <f t="shared" si="40"/>
        <v>27.9</v>
      </c>
      <c r="M174">
        <f t="shared" si="40"/>
        <v>27.9</v>
      </c>
      <c r="N174">
        <f t="shared" si="40"/>
        <v>5.4</v>
      </c>
      <c r="O174">
        <f t="shared" si="40"/>
        <v>2.7</v>
      </c>
      <c r="P174">
        <f t="shared" si="40"/>
        <v>5.4</v>
      </c>
    </row>
    <row r="175" spans="1:16" ht="15">
      <c r="A175" t="str">
        <f t="shared" si="38"/>
        <v>Fam PrivateCounty Court22/04/14 OnwardsYesYes</v>
      </c>
      <c r="B175" t="s">
        <v>88</v>
      </c>
      <c r="C175" t="s">
        <v>134</v>
      </c>
      <c r="D175" t="s">
        <v>22</v>
      </c>
      <c r="E175" t="s">
        <v>355</v>
      </c>
      <c r="F175" t="s">
        <v>81</v>
      </c>
      <c r="G175" t="s">
        <v>81</v>
      </c>
      <c r="H175">
        <f>H171</f>
        <v>59.4</v>
      </c>
      <c r="I175">
        <f aca="true" t="shared" si="41" ref="I175:P175">I171</f>
        <v>59.4</v>
      </c>
      <c r="J175">
        <f t="shared" si="41"/>
        <v>59.4</v>
      </c>
      <c r="K175">
        <f t="shared" si="41"/>
        <v>32.4</v>
      </c>
      <c r="L175">
        <f t="shared" si="41"/>
        <v>28.8</v>
      </c>
      <c r="M175">
        <f t="shared" si="41"/>
        <v>28.8</v>
      </c>
      <c r="N175">
        <f t="shared" si="41"/>
        <v>5.4</v>
      </c>
      <c r="O175">
        <f t="shared" si="41"/>
        <v>2.7</v>
      </c>
      <c r="P175">
        <f t="shared" si="41"/>
        <v>5.4</v>
      </c>
    </row>
    <row r="176" spans="1:16" ht="15">
      <c r="A176" t="str">
        <f t="shared" si="38"/>
        <v>Fam PrivateCounty Court22/04/14 OnwardsNoYes</v>
      </c>
      <c r="B176" t="s">
        <v>88</v>
      </c>
      <c r="C176" t="s">
        <v>134</v>
      </c>
      <c r="D176" t="s">
        <v>22</v>
      </c>
      <c r="E176" t="s">
        <v>355</v>
      </c>
      <c r="F176" t="s">
        <v>82</v>
      </c>
      <c r="G176" t="s">
        <v>81</v>
      </c>
      <c r="H176">
        <f aca="true" t="shared" si="42" ref="H176:P176">H172</f>
        <v>54.9</v>
      </c>
      <c r="I176">
        <f t="shared" si="42"/>
        <v>54.9</v>
      </c>
      <c r="J176">
        <f t="shared" si="42"/>
        <v>56.7</v>
      </c>
      <c r="K176">
        <f t="shared" si="42"/>
        <v>32.4</v>
      </c>
      <c r="L176">
        <f t="shared" si="42"/>
        <v>27.9</v>
      </c>
      <c r="M176">
        <f t="shared" si="42"/>
        <v>27.9</v>
      </c>
      <c r="N176">
        <f t="shared" si="42"/>
        <v>5.4</v>
      </c>
      <c r="O176">
        <f t="shared" si="42"/>
        <v>2.7</v>
      </c>
      <c r="P176">
        <f t="shared" si="42"/>
        <v>5.4</v>
      </c>
    </row>
    <row r="177" spans="1:16" ht="15">
      <c r="A177" t="str">
        <f t="shared" si="38"/>
        <v>Fam PrivateCounty Court22/04/14 OnwardsYesNo</v>
      </c>
      <c r="B177" t="s">
        <v>88</v>
      </c>
      <c r="C177" t="s">
        <v>134</v>
      </c>
      <c r="D177" t="s">
        <v>22</v>
      </c>
      <c r="E177" t="s">
        <v>355</v>
      </c>
      <c r="F177" t="s">
        <v>81</v>
      </c>
      <c r="G177" t="s">
        <v>82</v>
      </c>
      <c r="H177">
        <f aca="true" t="shared" si="43" ref="H177:P177">H173</f>
        <v>59.4</v>
      </c>
      <c r="I177">
        <f t="shared" si="43"/>
        <v>59.4</v>
      </c>
      <c r="J177">
        <f t="shared" si="43"/>
        <v>59.4</v>
      </c>
      <c r="K177">
        <f t="shared" si="43"/>
        <v>32.4</v>
      </c>
      <c r="L177">
        <f t="shared" si="43"/>
        <v>28.8</v>
      </c>
      <c r="M177">
        <f t="shared" si="43"/>
        <v>28.8</v>
      </c>
      <c r="N177">
        <f t="shared" si="43"/>
        <v>5.4</v>
      </c>
      <c r="O177">
        <f t="shared" si="43"/>
        <v>2.7</v>
      </c>
      <c r="P177">
        <f t="shared" si="43"/>
        <v>5.4</v>
      </c>
    </row>
    <row r="178" spans="1:16" ht="15">
      <c r="A178" t="str">
        <f t="shared" si="38"/>
        <v>Fam PrivateCounty Court22/04/14 OnwardsNoNo</v>
      </c>
      <c r="B178" t="s">
        <v>88</v>
      </c>
      <c r="C178" t="s">
        <v>134</v>
      </c>
      <c r="D178" t="s">
        <v>22</v>
      </c>
      <c r="E178" t="s">
        <v>355</v>
      </c>
      <c r="F178" t="s">
        <v>82</v>
      </c>
      <c r="G178" t="s">
        <v>82</v>
      </c>
      <c r="H178">
        <f aca="true" t="shared" si="44" ref="H178:P178">H174</f>
        <v>54.9</v>
      </c>
      <c r="I178">
        <f t="shared" si="44"/>
        <v>54.9</v>
      </c>
      <c r="J178">
        <f t="shared" si="44"/>
        <v>56.7</v>
      </c>
      <c r="K178">
        <f t="shared" si="44"/>
        <v>32.4</v>
      </c>
      <c r="L178">
        <f t="shared" si="44"/>
        <v>27.9</v>
      </c>
      <c r="M178">
        <f t="shared" si="44"/>
        <v>27.9</v>
      </c>
      <c r="N178">
        <f t="shared" si="44"/>
        <v>5.4</v>
      </c>
      <c r="O178">
        <f t="shared" si="44"/>
        <v>2.7</v>
      </c>
      <c r="P178">
        <f t="shared" si="44"/>
        <v>5.4</v>
      </c>
    </row>
    <row r="179" spans="1:16" ht="15">
      <c r="A179" t="str">
        <f t="shared" si="38"/>
        <v>Fam PrivateHigh Court22/04/14 OnwardsYesYes</v>
      </c>
      <c r="B179" t="s">
        <v>88</v>
      </c>
      <c r="C179" t="s">
        <v>134</v>
      </c>
      <c r="D179" t="s">
        <v>21</v>
      </c>
      <c r="E179" t="s">
        <v>355</v>
      </c>
      <c r="F179" t="s">
        <v>81</v>
      </c>
      <c r="G179" t="s">
        <v>81</v>
      </c>
      <c r="H179">
        <v>70.56</v>
      </c>
      <c r="I179">
        <v>70.56</v>
      </c>
      <c r="J179">
        <v>70.56</v>
      </c>
      <c r="K179">
        <v>37.13</v>
      </c>
      <c r="L179">
        <v>32.18</v>
      </c>
      <c r="M179">
        <v>32.18</v>
      </c>
      <c r="N179">
        <v>6.35</v>
      </c>
      <c r="O179">
        <v>3.15</v>
      </c>
      <c r="P179">
        <v>6.35</v>
      </c>
    </row>
    <row r="180" spans="1:16" ht="15">
      <c r="A180" t="str">
        <f t="shared" si="38"/>
        <v>Fam PrivateHigh Court22/04/14 OnwardsNoYes</v>
      </c>
      <c r="B180" t="s">
        <v>88</v>
      </c>
      <c r="C180" t="s">
        <v>134</v>
      </c>
      <c r="D180" t="s">
        <v>21</v>
      </c>
      <c r="E180" t="s">
        <v>355</v>
      </c>
      <c r="F180" t="s">
        <v>82</v>
      </c>
      <c r="G180" t="s">
        <v>81</v>
      </c>
      <c r="H180">
        <v>65.75</v>
      </c>
      <c r="I180">
        <v>65.75</v>
      </c>
      <c r="J180">
        <v>65.75</v>
      </c>
      <c r="K180">
        <v>37.13</v>
      </c>
      <c r="L180">
        <v>32.18</v>
      </c>
      <c r="M180">
        <v>32.18</v>
      </c>
      <c r="N180">
        <v>6.35</v>
      </c>
      <c r="O180">
        <v>3.15</v>
      </c>
      <c r="P180">
        <v>6.35</v>
      </c>
    </row>
    <row r="181" spans="1:16" ht="15">
      <c r="A181" t="str">
        <f t="shared" si="38"/>
        <v>Fam PrivateHigh Court22/04/14 OnwardsYesNo</v>
      </c>
      <c r="B181" t="s">
        <v>88</v>
      </c>
      <c r="C181" t="s">
        <v>134</v>
      </c>
      <c r="D181" t="s">
        <v>21</v>
      </c>
      <c r="E181" t="s">
        <v>355</v>
      </c>
      <c r="F181" t="s">
        <v>81</v>
      </c>
      <c r="G181" t="s">
        <v>82</v>
      </c>
      <c r="H181">
        <f>H179</f>
        <v>70.56</v>
      </c>
      <c r="I181">
        <f aca="true" t="shared" si="45" ref="I181:P181">I179</f>
        <v>70.56</v>
      </c>
      <c r="J181">
        <f t="shared" si="45"/>
        <v>70.56</v>
      </c>
      <c r="K181">
        <f t="shared" si="45"/>
        <v>37.13</v>
      </c>
      <c r="L181">
        <f t="shared" si="45"/>
        <v>32.18</v>
      </c>
      <c r="M181">
        <f t="shared" si="45"/>
        <v>32.18</v>
      </c>
      <c r="N181">
        <f t="shared" si="45"/>
        <v>6.35</v>
      </c>
      <c r="O181">
        <f t="shared" si="45"/>
        <v>3.15</v>
      </c>
      <c r="P181">
        <f t="shared" si="45"/>
        <v>6.35</v>
      </c>
    </row>
    <row r="182" spans="1:16" ht="15">
      <c r="A182" t="str">
        <f t="shared" si="38"/>
        <v>Pub FFMagistrates CourtPre 02/04/01YesYes</v>
      </c>
      <c r="B182" t="s">
        <v>372</v>
      </c>
      <c r="C182" t="s">
        <v>97</v>
      </c>
      <c r="D182" t="s">
        <v>23</v>
      </c>
      <c r="E182" t="s">
        <v>74</v>
      </c>
      <c r="F182" t="s">
        <v>81</v>
      </c>
      <c r="G182" t="s">
        <v>81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5">
      <c r="A183" t="str">
        <f t="shared" si="38"/>
        <v>Pub FFMagistrates Court02/04/01 - 08/05/11YesYes</v>
      </c>
      <c r="B183" t="s">
        <v>372</v>
      </c>
      <c r="C183" t="s">
        <v>27</v>
      </c>
      <c r="D183" t="s">
        <v>23</v>
      </c>
      <c r="E183" t="s">
        <v>24</v>
      </c>
      <c r="F183" t="s">
        <v>81</v>
      </c>
      <c r="G183" t="s">
        <v>81</v>
      </c>
      <c r="H183">
        <v>68.2</v>
      </c>
      <c r="I183">
        <v>68.2</v>
      </c>
      <c r="J183">
        <v>71.5</v>
      </c>
      <c r="K183">
        <v>36.3</v>
      </c>
      <c r="L183">
        <v>32.45</v>
      </c>
      <c r="M183">
        <v>32.45</v>
      </c>
      <c r="N183">
        <v>4.1</v>
      </c>
      <c r="O183">
        <v>2.05</v>
      </c>
      <c r="P183">
        <v>4.1</v>
      </c>
    </row>
    <row r="184" spans="1:16" ht="15">
      <c r="A184" t="str">
        <f t="shared" si="38"/>
        <v>Pub FFMagistrates Court09/05/11 - 31/01/12 YesYes</v>
      </c>
      <c r="B184" t="s">
        <v>372</v>
      </c>
      <c r="C184" t="s">
        <v>105</v>
      </c>
      <c r="D184" t="s">
        <v>23</v>
      </c>
      <c r="E184" t="s">
        <v>289</v>
      </c>
      <c r="F184" t="s">
        <v>81</v>
      </c>
      <c r="G184" t="s">
        <v>81</v>
      </c>
      <c r="H184">
        <v>68.2</v>
      </c>
      <c r="I184">
        <v>68.2</v>
      </c>
      <c r="J184">
        <v>71.5</v>
      </c>
      <c r="K184">
        <v>36.3</v>
      </c>
      <c r="L184">
        <v>32.45</v>
      </c>
      <c r="M184">
        <v>32.45</v>
      </c>
      <c r="N184">
        <v>4.1</v>
      </c>
      <c r="O184">
        <v>2.05</v>
      </c>
      <c r="P184">
        <v>4.1</v>
      </c>
    </row>
    <row r="185" spans="1:16" ht="15">
      <c r="A185" t="str">
        <f t="shared" si="38"/>
        <v>Pub FFMagistrates CourtPre 02/04/01NoYes</v>
      </c>
      <c r="B185" t="s">
        <v>372</v>
      </c>
      <c r="C185" t="s">
        <v>97</v>
      </c>
      <c r="D185" t="s">
        <v>23</v>
      </c>
      <c r="E185" t="s">
        <v>74</v>
      </c>
      <c r="F185" t="s">
        <v>82</v>
      </c>
      <c r="G185" t="s">
        <v>81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5">
      <c r="A186" t="str">
        <f t="shared" si="38"/>
        <v>Pub FFMagistrates Court02/04/01 - 08/05/11NoYes</v>
      </c>
      <c r="B186" t="s">
        <v>372</v>
      </c>
      <c r="C186" t="s">
        <v>27</v>
      </c>
      <c r="D186" t="s">
        <v>23</v>
      </c>
      <c r="E186" t="s">
        <v>24</v>
      </c>
      <c r="F186" t="s">
        <v>82</v>
      </c>
      <c r="G186" t="s">
        <v>81</v>
      </c>
      <c r="H186">
        <v>64.9</v>
      </c>
      <c r="I186">
        <v>64.9</v>
      </c>
      <c r="J186">
        <v>71.5</v>
      </c>
      <c r="K186">
        <v>36.3</v>
      </c>
      <c r="L186">
        <v>32.45</v>
      </c>
      <c r="M186">
        <v>32.45</v>
      </c>
      <c r="N186">
        <v>4.1</v>
      </c>
      <c r="O186">
        <v>2.05</v>
      </c>
      <c r="P186">
        <v>4.1</v>
      </c>
    </row>
    <row r="187" spans="1:16" ht="15">
      <c r="A187" t="str">
        <f t="shared" si="38"/>
        <v>Pub FFMagistrates Court09/05/11 - 31/01/12 NoYes</v>
      </c>
      <c r="B187" t="s">
        <v>372</v>
      </c>
      <c r="C187" t="s">
        <v>105</v>
      </c>
      <c r="D187" t="s">
        <v>23</v>
      </c>
      <c r="E187" t="s">
        <v>289</v>
      </c>
      <c r="F187" t="s">
        <v>82</v>
      </c>
      <c r="G187" t="s">
        <v>81</v>
      </c>
      <c r="H187">
        <v>64.9</v>
      </c>
      <c r="I187">
        <v>64.9</v>
      </c>
      <c r="J187">
        <v>71.5</v>
      </c>
      <c r="K187">
        <v>36.3</v>
      </c>
      <c r="L187">
        <v>32.45</v>
      </c>
      <c r="M187">
        <v>32.45</v>
      </c>
      <c r="N187">
        <v>4.1</v>
      </c>
      <c r="O187">
        <v>2.05</v>
      </c>
      <c r="P187">
        <v>4.1</v>
      </c>
    </row>
    <row r="188" spans="1:16" ht="15">
      <c r="A188" t="str">
        <f t="shared" si="38"/>
        <v>Pub FFMagistrates CourtPre 02/04/01YesNo</v>
      </c>
      <c r="B188" t="s">
        <v>372</v>
      </c>
      <c r="C188" t="s">
        <v>97</v>
      </c>
      <c r="D188" t="s">
        <v>23</v>
      </c>
      <c r="E188" t="s">
        <v>74</v>
      </c>
      <c r="F188" t="s">
        <v>81</v>
      </c>
      <c r="G188" t="s">
        <v>82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5">
      <c r="A189" t="str">
        <f t="shared" si="38"/>
        <v>Pub FFMagistrates Court02/04/01 - 08/05/11YesNo</v>
      </c>
      <c r="B189" t="s">
        <v>372</v>
      </c>
      <c r="C189" t="s">
        <v>27</v>
      </c>
      <c r="D189" t="s">
        <v>23</v>
      </c>
      <c r="E189" t="s">
        <v>24</v>
      </c>
      <c r="F189" t="s">
        <v>81</v>
      </c>
      <c r="G189" t="s">
        <v>82</v>
      </c>
      <c r="H189">
        <v>68.2</v>
      </c>
      <c r="I189">
        <v>68.2</v>
      </c>
      <c r="J189">
        <v>71.5</v>
      </c>
      <c r="K189">
        <v>36.3</v>
      </c>
      <c r="L189">
        <v>32.45</v>
      </c>
      <c r="M189">
        <v>32.45</v>
      </c>
      <c r="N189">
        <v>4.1</v>
      </c>
      <c r="O189">
        <v>2.05</v>
      </c>
      <c r="P189">
        <v>4.1</v>
      </c>
    </row>
    <row r="190" spans="1:16" ht="15">
      <c r="A190" t="str">
        <f t="shared" si="38"/>
        <v>Pub FFMagistrates Court09/05/11 - 31/01/12 YesNo</v>
      </c>
      <c r="B190" t="s">
        <v>372</v>
      </c>
      <c r="C190" t="s">
        <v>105</v>
      </c>
      <c r="D190" t="s">
        <v>23</v>
      </c>
      <c r="E190" t="s">
        <v>289</v>
      </c>
      <c r="F190" t="s">
        <v>81</v>
      </c>
      <c r="G190" t="s">
        <v>82</v>
      </c>
      <c r="H190">
        <v>68.2</v>
      </c>
      <c r="I190">
        <v>68.2</v>
      </c>
      <c r="J190">
        <v>71.5</v>
      </c>
      <c r="K190">
        <v>36.3</v>
      </c>
      <c r="L190">
        <v>32.45</v>
      </c>
      <c r="M190">
        <v>32.45</v>
      </c>
      <c r="N190">
        <v>4.1</v>
      </c>
      <c r="O190">
        <v>2.05</v>
      </c>
      <c r="P190">
        <v>4.1</v>
      </c>
    </row>
    <row r="191" spans="1:16" ht="15">
      <c r="A191" t="str">
        <f t="shared" si="38"/>
        <v>Pub FFMagistrates CourtPre 02/04/01NoNo</v>
      </c>
      <c r="B191" t="s">
        <v>372</v>
      </c>
      <c r="C191" t="s">
        <v>97</v>
      </c>
      <c r="D191" t="s">
        <v>23</v>
      </c>
      <c r="E191" t="s">
        <v>74</v>
      </c>
      <c r="F191" t="s">
        <v>82</v>
      </c>
      <c r="G191" t="s">
        <v>82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5">
      <c r="A192" t="str">
        <f t="shared" si="38"/>
        <v>Pub FFMagistrates Court02/04/01 - 08/05/11NoNo</v>
      </c>
      <c r="B192" t="s">
        <v>372</v>
      </c>
      <c r="C192" t="s">
        <v>27</v>
      </c>
      <c r="D192" t="s">
        <v>23</v>
      </c>
      <c r="E192" t="s">
        <v>24</v>
      </c>
      <c r="F192" t="s">
        <v>82</v>
      </c>
      <c r="G192" t="s">
        <v>82</v>
      </c>
      <c r="H192">
        <v>64.9</v>
      </c>
      <c r="I192">
        <v>64.9</v>
      </c>
      <c r="J192">
        <v>71.5</v>
      </c>
      <c r="K192">
        <v>36.3</v>
      </c>
      <c r="L192">
        <v>32.45</v>
      </c>
      <c r="M192">
        <v>32.45</v>
      </c>
      <c r="N192">
        <v>4.1</v>
      </c>
      <c r="O192">
        <v>2.05</v>
      </c>
      <c r="P192">
        <v>4.1</v>
      </c>
    </row>
    <row r="193" spans="1:16" ht="15">
      <c r="A193" t="str">
        <f t="shared" si="38"/>
        <v>Pub FFMagistrates Court09/05/11 - 31/01/12 NoNo</v>
      </c>
      <c r="B193" t="s">
        <v>372</v>
      </c>
      <c r="C193" t="s">
        <v>105</v>
      </c>
      <c r="D193" t="s">
        <v>23</v>
      </c>
      <c r="E193" t="s">
        <v>289</v>
      </c>
      <c r="F193" t="s">
        <v>82</v>
      </c>
      <c r="G193" t="s">
        <v>82</v>
      </c>
      <c r="H193">
        <v>64.9</v>
      </c>
      <c r="I193">
        <v>64.9</v>
      </c>
      <c r="J193">
        <v>71.5</v>
      </c>
      <c r="K193">
        <v>36.3</v>
      </c>
      <c r="L193">
        <v>32.45</v>
      </c>
      <c r="M193">
        <v>32.45</v>
      </c>
      <c r="N193">
        <v>4.1</v>
      </c>
      <c r="O193">
        <v>2.05</v>
      </c>
      <c r="P193">
        <v>4.1</v>
      </c>
    </row>
    <row r="194" spans="1:16" ht="15">
      <c r="A194" t="str">
        <f t="shared" si="38"/>
        <v>Pub FFCounty CourtPre 02/04/01YesYes</v>
      </c>
      <c r="B194" t="s">
        <v>372</v>
      </c>
      <c r="C194" t="s">
        <v>97</v>
      </c>
      <c r="D194" t="s">
        <v>22</v>
      </c>
      <c r="E194" t="s">
        <v>74</v>
      </c>
      <c r="F194" t="s">
        <v>81</v>
      </c>
      <c r="G194" t="s">
        <v>81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5">
      <c r="A195" t="str">
        <f t="shared" si="38"/>
        <v>Pub FFCounty Court02/04/01 - 08/05/11YesYes</v>
      </c>
      <c r="B195" t="s">
        <v>372</v>
      </c>
      <c r="C195" t="s">
        <v>27</v>
      </c>
      <c r="D195" t="s">
        <v>22</v>
      </c>
      <c r="E195" t="s">
        <v>24</v>
      </c>
      <c r="F195" t="s">
        <v>81</v>
      </c>
      <c r="G195" t="s">
        <v>81</v>
      </c>
      <c r="H195">
        <v>68.2</v>
      </c>
      <c r="I195">
        <v>68.2</v>
      </c>
      <c r="J195">
        <v>71.5</v>
      </c>
      <c r="K195">
        <v>36.3</v>
      </c>
      <c r="L195">
        <v>32.45</v>
      </c>
      <c r="M195">
        <v>32.45</v>
      </c>
      <c r="N195">
        <v>4.1</v>
      </c>
      <c r="O195">
        <v>2.05</v>
      </c>
      <c r="P195">
        <v>4.1</v>
      </c>
    </row>
    <row r="196" spans="1:16" ht="15">
      <c r="A196" t="str">
        <f t="shared" si="38"/>
        <v>Pub FFCounty Court09/05/11 - 31/01/12 YesYes</v>
      </c>
      <c r="B196" t="s">
        <v>372</v>
      </c>
      <c r="C196" t="s">
        <v>105</v>
      </c>
      <c r="D196" t="s">
        <v>22</v>
      </c>
      <c r="E196" t="s">
        <v>289</v>
      </c>
      <c r="F196" t="s">
        <v>81</v>
      </c>
      <c r="G196" t="s">
        <v>81</v>
      </c>
      <c r="H196">
        <v>68.2</v>
      </c>
      <c r="I196">
        <v>68.2</v>
      </c>
      <c r="J196">
        <v>71.5</v>
      </c>
      <c r="K196">
        <v>36.3</v>
      </c>
      <c r="L196">
        <v>32.45</v>
      </c>
      <c r="M196">
        <v>32.45</v>
      </c>
      <c r="N196">
        <v>4.1</v>
      </c>
      <c r="O196">
        <v>2.05</v>
      </c>
      <c r="P196">
        <v>4.1</v>
      </c>
    </row>
    <row r="197" spans="1:16" ht="15">
      <c r="A197" t="str">
        <f t="shared" si="38"/>
        <v>Pub FFCounty CourtPre 02/04/01NoYes</v>
      </c>
      <c r="B197" t="s">
        <v>372</v>
      </c>
      <c r="C197" t="s">
        <v>97</v>
      </c>
      <c r="D197" t="s">
        <v>22</v>
      </c>
      <c r="E197" t="s">
        <v>74</v>
      </c>
      <c r="F197" t="s">
        <v>82</v>
      </c>
      <c r="G197" t="s">
        <v>81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5">
      <c r="A198" t="str">
        <f t="shared" si="38"/>
        <v>Pub FFCounty Court02/04/01 - 08/05/11NoYes</v>
      </c>
      <c r="B198" t="s">
        <v>372</v>
      </c>
      <c r="C198" t="s">
        <v>27</v>
      </c>
      <c r="D198" t="s">
        <v>22</v>
      </c>
      <c r="E198" t="s">
        <v>24</v>
      </c>
      <c r="F198" t="s">
        <v>82</v>
      </c>
      <c r="G198" t="s">
        <v>81</v>
      </c>
      <c r="H198">
        <v>64.9</v>
      </c>
      <c r="I198">
        <v>64.9</v>
      </c>
      <c r="J198">
        <v>71.5</v>
      </c>
      <c r="K198">
        <v>36.3</v>
      </c>
      <c r="L198">
        <v>32.45</v>
      </c>
      <c r="M198">
        <v>32.45</v>
      </c>
      <c r="N198">
        <v>4.1</v>
      </c>
      <c r="O198">
        <v>2.05</v>
      </c>
      <c r="P198">
        <v>4.1</v>
      </c>
    </row>
    <row r="199" spans="1:16" ht="15">
      <c r="A199" t="str">
        <f t="shared" si="38"/>
        <v>Pub FFCounty Court09/05/11 - 31/01/12 NoYes</v>
      </c>
      <c r="B199" t="s">
        <v>372</v>
      </c>
      <c r="C199" t="s">
        <v>105</v>
      </c>
      <c r="D199" t="s">
        <v>22</v>
      </c>
      <c r="E199" t="s">
        <v>289</v>
      </c>
      <c r="F199" t="s">
        <v>82</v>
      </c>
      <c r="G199" t="s">
        <v>81</v>
      </c>
      <c r="H199">
        <v>64.9</v>
      </c>
      <c r="I199">
        <v>64.9</v>
      </c>
      <c r="J199">
        <v>71.5</v>
      </c>
      <c r="K199">
        <v>36.3</v>
      </c>
      <c r="L199">
        <v>32.45</v>
      </c>
      <c r="M199">
        <v>32.45</v>
      </c>
      <c r="N199">
        <v>4.1</v>
      </c>
      <c r="O199">
        <v>2.05</v>
      </c>
      <c r="P199">
        <v>4.1</v>
      </c>
    </row>
    <row r="200" spans="1:16" ht="15">
      <c r="A200" t="str">
        <f t="shared" si="38"/>
        <v>Pub FFCounty CourtPre 02/04/01YesNo</v>
      </c>
      <c r="B200" t="s">
        <v>372</v>
      </c>
      <c r="C200" t="s">
        <v>97</v>
      </c>
      <c r="D200" t="s">
        <v>22</v>
      </c>
      <c r="E200" t="s">
        <v>74</v>
      </c>
      <c r="F200" t="s">
        <v>81</v>
      </c>
      <c r="G200" t="s">
        <v>82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5">
      <c r="A201" t="str">
        <f t="shared" si="38"/>
        <v>Pub FFCounty Court02/04/01 - 08/05/11YesNo</v>
      </c>
      <c r="B201" t="s">
        <v>372</v>
      </c>
      <c r="C201" t="s">
        <v>27</v>
      </c>
      <c r="D201" t="s">
        <v>22</v>
      </c>
      <c r="E201" t="s">
        <v>24</v>
      </c>
      <c r="F201" t="s">
        <v>81</v>
      </c>
      <c r="G201" t="s">
        <v>82</v>
      </c>
      <c r="H201">
        <v>68.2</v>
      </c>
      <c r="I201">
        <v>68.2</v>
      </c>
      <c r="J201">
        <v>71.5</v>
      </c>
      <c r="K201">
        <v>36.3</v>
      </c>
      <c r="L201">
        <v>32.45</v>
      </c>
      <c r="M201">
        <v>32.45</v>
      </c>
      <c r="N201">
        <v>4.1</v>
      </c>
      <c r="O201">
        <v>2.05</v>
      </c>
      <c r="P201">
        <v>4.1</v>
      </c>
    </row>
    <row r="202" spans="1:16" ht="15">
      <c r="A202" t="str">
        <f t="shared" si="38"/>
        <v>Pub FFCounty Court09/05/11 - 31/01/12 YesNo</v>
      </c>
      <c r="B202" t="s">
        <v>372</v>
      </c>
      <c r="C202" t="s">
        <v>105</v>
      </c>
      <c r="D202" t="s">
        <v>22</v>
      </c>
      <c r="E202" t="s">
        <v>289</v>
      </c>
      <c r="F202" t="s">
        <v>81</v>
      </c>
      <c r="G202" t="s">
        <v>82</v>
      </c>
      <c r="H202">
        <v>68.2</v>
      </c>
      <c r="I202">
        <v>68.2</v>
      </c>
      <c r="J202">
        <v>71.5</v>
      </c>
      <c r="K202">
        <v>36.3</v>
      </c>
      <c r="L202">
        <v>32.45</v>
      </c>
      <c r="M202">
        <v>32.45</v>
      </c>
      <c r="N202">
        <v>4.1</v>
      </c>
      <c r="O202">
        <v>2.05</v>
      </c>
      <c r="P202">
        <v>4.1</v>
      </c>
    </row>
    <row r="203" spans="1:16" ht="15">
      <c r="A203" t="str">
        <f t="shared" si="38"/>
        <v>Pub FFCounty CourtPre 02/04/01NoNo</v>
      </c>
      <c r="B203" t="s">
        <v>372</v>
      </c>
      <c r="C203" t="s">
        <v>97</v>
      </c>
      <c r="D203" t="s">
        <v>22</v>
      </c>
      <c r="E203" t="s">
        <v>74</v>
      </c>
      <c r="F203" t="s">
        <v>82</v>
      </c>
      <c r="G203" t="s">
        <v>82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5">
      <c r="A204" t="str">
        <f t="shared" si="38"/>
        <v>Pub FFCounty Court02/04/01 - 08/05/11NoNo</v>
      </c>
      <c r="B204" t="s">
        <v>372</v>
      </c>
      <c r="C204" t="s">
        <v>27</v>
      </c>
      <c r="D204" t="s">
        <v>22</v>
      </c>
      <c r="E204" t="s">
        <v>24</v>
      </c>
      <c r="F204" t="s">
        <v>82</v>
      </c>
      <c r="G204" t="s">
        <v>82</v>
      </c>
      <c r="H204">
        <v>64.9</v>
      </c>
      <c r="I204">
        <v>64.9</v>
      </c>
      <c r="J204">
        <v>71.5</v>
      </c>
      <c r="K204">
        <v>36.3</v>
      </c>
      <c r="L204">
        <v>32.45</v>
      </c>
      <c r="M204">
        <v>32.45</v>
      </c>
      <c r="N204">
        <v>4.1</v>
      </c>
      <c r="O204">
        <v>2.05</v>
      </c>
      <c r="P204">
        <v>4.1</v>
      </c>
    </row>
    <row r="205" spans="1:16" ht="15">
      <c r="A205" t="str">
        <f t="shared" si="38"/>
        <v>Pub FFCounty Court09/05/11 - 31/01/12 NoNo</v>
      </c>
      <c r="B205" t="s">
        <v>372</v>
      </c>
      <c r="C205" t="s">
        <v>105</v>
      </c>
      <c r="D205" t="s">
        <v>22</v>
      </c>
      <c r="E205" t="s">
        <v>289</v>
      </c>
      <c r="F205" t="s">
        <v>82</v>
      </c>
      <c r="G205" t="s">
        <v>82</v>
      </c>
      <c r="H205">
        <v>64.9</v>
      </c>
      <c r="I205">
        <v>64.9</v>
      </c>
      <c r="J205">
        <v>71.5</v>
      </c>
      <c r="K205">
        <v>36.3</v>
      </c>
      <c r="L205">
        <v>32.45</v>
      </c>
      <c r="M205">
        <v>32.45</v>
      </c>
      <c r="N205">
        <v>4.1</v>
      </c>
      <c r="O205">
        <v>2.05</v>
      </c>
      <c r="P205">
        <v>4.1</v>
      </c>
    </row>
    <row r="206" spans="1:16" ht="15">
      <c r="A206" t="str">
        <f t="shared" si="38"/>
        <v>Pub FFHigh CourtPre 02/04/01YesYes</v>
      </c>
      <c r="B206" t="s">
        <v>372</v>
      </c>
      <c r="C206" t="s">
        <v>97</v>
      </c>
      <c r="D206" t="s">
        <v>21</v>
      </c>
      <c r="E206" t="s">
        <v>74</v>
      </c>
      <c r="F206" t="s">
        <v>81</v>
      </c>
      <c r="G206" t="s">
        <v>81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5">
      <c r="A207" t="str">
        <f t="shared" si="38"/>
        <v>Pub FFHigh Court02/04/01 - 08/05/11YesYes</v>
      </c>
      <c r="B207" t="s">
        <v>372</v>
      </c>
      <c r="C207" t="s">
        <v>27</v>
      </c>
      <c r="D207" t="s">
        <v>21</v>
      </c>
      <c r="E207" t="s">
        <v>24</v>
      </c>
      <c r="F207" t="s">
        <v>81</v>
      </c>
      <c r="G207" t="s">
        <v>81</v>
      </c>
      <c r="H207">
        <v>77.85</v>
      </c>
      <c r="I207">
        <v>77.85</v>
      </c>
      <c r="J207">
        <v>77.85</v>
      </c>
      <c r="K207">
        <v>41.25</v>
      </c>
      <c r="L207">
        <v>35.75</v>
      </c>
      <c r="M207">
        <v>35.75</v>
      </c>
      <c r="N207">
        <v>4.7</v>
      </c>
      <c r="O207">
        <v>2.35</v>
      </c>
      <c r="P207">
        <v>4.7</v>
      </c>
    </row>
    <row r="208" spans="1:16" ht="15">
      <c r="A208" t="str">
        <f t="shared" si="38"/>
        <v>Pub FFHigh Court09/05/11 - 31/01/12 YesYes</v>
      </c>
      <c r="B208" t="s">
        <v>372</v>
      </c>
      <c r="C208" t="s">
        <v>105</v>
      </c>
      <c r="D208" t="s">
        <v>21</v>
      </c>
      <c r="E208" t="s">
        <v>289</v>
      </c>
      <c r="F208" t="s">
        <v>81</v>
      </c>
      <c r="G208" t="s">
        <v>81</v>
      </c>
      <c r="H208">
        <v>77.85</v>
      </c>
      <c r="I208">
        <v>77.85</v>
      </c>
      <c r="J208">
        <v>77.85</v>
      </c>
      <c r="K208">
        <v>41.25</v>
      </c>
      <c r="L208">
        <v>35.75</v>
      </c>
      <c r="M208">
        <v>35.75</v>
      </c>
      <c r="N208">
        <v>4.7</v>
      </c>
      <c r="O208">
        <v>2.35</v>
      </c>
      <c r="P208">
        <v>4.7</v>
      </c>
    </row>
    <row r="209" spans="1:16" ht="15">
      <c r="A209" t="str">
        <f t="shared" si="38"/>
        <v>Pub FFHigh CourtPre 02/04/01NoYes</v>
      </c>
      <c r="B209" t="s">
        <v>372</v>
      </c>
      <c r="C209" t="s">
        <v>97</v>
      </c>
      <c r="D209" t="s">
        <v>21</v>
      </c>
      <c r="E209" t="s">
        <v>74</v>
      </c>
      <c r="F209" t="s">
        <v>82</v>
      </c>
      <c r="G209" t="s">
        <v>81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5">
      <c r="A210" t="str">
        <f t="shared" si="38"/>
        <v>Pub FFHigh Court02/04/01 - 08/05/11NoYes</v>
      </c>
      <c r="B210" t="s">
        <v>372</v>
      </c>
      <c r="C210" t="s">
        <v>27</v>
      </c>
      <c r="D210" t="s">
        <v>21</v>
      </c>
      <c r="E210" t="s">
        <v>24</v>
      </c>
      <c r="F210" t="s">
        <v>82</v>
      </c>
      <c r="G210" t="s">
        <v>81</v>
      </c>
      <c r="H210">
        <v>73.15</v>
      </c>
      <c r="I210">
        <v>73.15</v>
      </c>
      <c r="J210">
        <v>73.15</v>
      </c>
      <c r="K210">
        <v>41.25</v>
      </c>
      <c r="L210">
        <v>35.75</v>
      </c>
      <c r="M210">
        <v>35.75</v>
      </c>
      <c r="N210">
        <v>4.7</v>
      </c>
      <c r="O210">
        <v>2.35</v>
      </c>
      <c r="P210">
        <v>4.7</v>
      </c>
    </row>
    <row r="211" spans="1:16" ht="15">
      <c r="A211" t="str">
        <f t="shared" si="38"/>
        <v>Pub FFHigh Court09/05/11 - 31/01/12 NoYes</v>
      </c>
      <c r="B211" t="s">
        <v>372</v>
      </c>
      <c r="C211" t="s">
        <v>105</v>
      </c>
      <c r="D211" t="s">
        <v>21</v>
      </c>
      <c r="E211" t="s">
        <v>289</v>
      </c>
      <c r="F211" t="s">
        <v>82</v>
      </c>
      <c r="G211" t="s">
        <v>81</v>
      </c>
      <c r="H211">
        <v>73.15</v>
      </c>
      <c r="I211">
        <v>73.15</v>
      </c>
      <c r="J211">
        <v>73.15</v>
      </c>
      <c r="K211">
        <v>41.25</v>
      </c>
      <c r="L211">
        <v>35.75</v>
      </c>
      <c r="M211">
        <v>35.75</v>
      </c>
      <c r="N211">
        <v>4.7</v>
      </c>
      <c r="O211">
        <v>2.35</v>
      </c>
      <c r="P211">
        <v>4.7</v>
      </c>
    </row>
    <row r="212" spans="1:16" ht="15">
      <c r="A212" t="str">
        <f t="shared" si="38"/>
        <v>Pub FFHigh CourtPre 02/04/01YesNo</v>
      </c>
      <c r="B212" t="s">
        <v>372</v>
      </c>
      <c r="C212" t="s">
        <v>97</v>
      </c>
      <c r="D212" t="s">
        <v>21</v>
      </c>
      <c r="E212" t="s">
        <v>74</v>
      </c>
      <c r="F212" t="s">
        <v>81</v>
      </c>
      <c r="G212" t="s">
        <v>82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5">
      <c r="A213" t="str">
        <f t="shared" si="38"/>
        <v>Pub FFHigh Court02/04/01 - 08/05/11YesNo</v>
      </c>
      <c r="B213" t="s">
        <v>372</v>
      </c>
      <c r="C213" t="s">
        <v>27</v>
      </c>
      <c r="D213" t="s">
        <v>21</v>
      </c>
      <c r="E213" t="s">
        <v>24</v>
      </c>
      <c r="F213" t="s">
        <v>81</v>
      </c>
      <c r="G213" t="s">
        <v>82</v>
      </c>
      <c r="H213">
        <v>77.85</v>
      </c>
      <c r="I213">
        <v>77.85</v>
      </c>
      <c r="J213">
        <v>77.85</v>
      </c>
      <c r="K213">
        <v>41.25</v>
      </c>
      <c r="L213">
        <v>35.75</v>
      </c>
      <c r="M213">
        <v>35.75</v>
      </c>
      <c r="N213">
        <v>4.7</v>
      </c>
      <c r="O213">
        <v>2.35</v>
      </c>
      <c r="P213">
        <v>4.7</v>
      </c>
    </row>
    <row r="214" spans="1:16" ht="15">
      <c r="A214" t="str">
        <f t="shared" si="38"/>
        <v>Pub FFHigh Court09/05/11 - 31/01/12 YesNo</v>
      </c>
      <c r="B214" t="s">
        <v>372</v>
      </c>
      <c r="C214" t="s">
        <v>105</v>
      </c>
      <c r="D214" t="s">
        <v>21</v>
      </c>
      <c r="E214" t="s">
        <v>289</v>
      </c>
      <c r="F214" t="s">
        <v>81</v>
      </c>
      <c r="G214" t="s">
        <v>82</v>
      </c>
      <c r="H214">
        <v>77.85</v>
      </c>
      <c r="I214">
        <v>77.85</v>
      </c>
      <c r="J214">
        <v>77.85</v>
      </c>
      <c r="K214">
        <v>41.25</v>
      </c>
      <c r="L214">
        <v>35.75</v>
      </c>
      <c r="M214">
        <v>35.75</v>
      </c>
      <c r="N214">
        <v>4.7</v>
      </c>
      <c r="O214">
        <v>2.35</v>
      </c>
      <c r="P214">
        <v>4.7</v>
      </c>
    </row>
    <row r="215" spans="1:16" ht="15">
      <c r="A215" t="str">
        <f t="shared" si="38"/>
        <v>Pub FFHigh CourtPre 02/04/01NoNo</v>
      </c>
      <c r="B215" t="s">
        <v>372</v>
      </c>
      <c r="C215" t="s">
        <v>97</v>
      </c>
      <c r="D215" t="s">
        <v>21</v>
      </c>
      <c r="E215" t="s">
        <v>74</v>
      </c>
      <c r="F215" t="s">
        <v>82</v>
      </c>
      <c r="G215" t="s">
        <v>82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5">
      <c r="A216" t="str">
        <f t="shared" si="38"/>
        <v>Pub FFHigh Court02/04/01 - 08/05/11NoNo</v>
      </c>
      <c r="B216" t="s">
        <v>372</v>
      </c>
      <c r="C216" t="s">
        <v>27</v>
      </c>
      <c r="D216" t="s">
        <v>21</v>
      </c>
      <c r="E216" t="s">
        <v>24</v>
      </c>
      <c r="F216" t="s">
        <v>82</v>
      </c>
      <c r="G216" t="s">
        <v>82</v>
      </c>
      <c r="H216">
        <v>73.15</v>
      </c>
      <c r="I216">
        <v>73.15</v>
      </c>
      <c r="J216">
        <v>73.15</v>
      </c>
      <c r="K216">
        <v>41.25</v>
      </c>
      <c r="L216">
        <v>35.75</v>
      </c>
      <c r="M216">
        <v>35.75</v>
      </c>
      <c r="N216">
        <v>4.7</v>
      </c>
      <c r="O216">
        <v>2.35</v>
      </c>
      <c r="P216">
        <v>4.7</v>
      </c>
    </row>
    <row r="217" spans="1:16" ht="15">
      <c r="A217" t="str">
        <f t="shared" si="38"/>
        <v>Pub FFHigh Court09/05/11 - 31/01/12 NoNo</v>
      </c>
      <c r="B217" t="s">
        <v>372</v>
      </c>
      <c r="C217" t="s">
        <v>105</v>
      </c>
      <c r="D217" t="s">
        <v>21</v>
      </c>
      <c r="E217" t="s">
        <v>289</v>
      </c>
      <c r="F217" t="s">
        <v>82</v>
      </c>
      <c r="G217" t="s">
        <v>82</v>
      </c>
      <c r="H217">
        <v>73.15</v>
      </c>
      <c r="I217">
        <v>73.15</v>
      </c>
      <c r="J217">
        <v>73.15</v>
      </c>
      <c r="K217">
        <v>41.25</v>
      </c>
      <c r="L217">
        <v>35.75</v>
      </c>
      <c r="M217">
        <v>35.75</v>
      </c>
      <c r="N217">
        <v>4.7</v>
      </c>
      <c r="O217">
        <v>2.35</v>
      </c>
      <c r="P217">
        <v>4.7</v>
      </c>
    </row>
    <row r="218" spans="1:16" ht="15">
      <c r="A218" t="str">
        <f t="shared" si="38"/>
        <v>Pub FFMagistrates Court01/02/12 - 21/04/14YesYes</v>
      </c>
      <c r="B218" t="s">
        <v>372</v>
      </c>
      <c r="C218" t="s">
        <v>106</v>
      </c>
      <c r="D218" t="s">
        <v>23</v>
      </c>
      <c r="E218" t="s">
        <v>353</v>
      </c>
      <c r="F218" t="s">
        <v>81</v>
      </c>
      <c r="G218" t="s">
        <v>81</v>
      </c>
      <c r="H218">
        <v>61.38</v>
      </c>
      <c r="I218">
        <v>61.38</v>
      </c>
      <c r="J218">
        <v>64.35</v>
      </c>
      <c r="K218">
        <v>32.67</v>
      </c>
      <c r="L218">
        <v>29.21</v>
      </c>
      <c r="M218">
        <v>29.21</v>
      </c>
      <c r="N218">
        <v>3.69</v>
      </c>
      <c r="O218">
        <v>1.85</v>
      </c>
      <c r="P218">
        <v>3.69</v>
      </c>
    </row>
    <row r="219" spans="1:16" ht="15">
      <c r="A219" t="str">
        <f t="shared" si="38"/>
        <v>Pub FFMagistrates Court01/02/12 - 21/04/14NoYes</v>
      </c>
      <c r="B219" t="s">
        <v>372</v>
      </c>
      <c r="C219" t="s">
        <v>106</v>
      </c>
      <c r="D219" t="s">
        <v>23</v>
      </c>
      <c r="E219" t="s">
        <v>353</v>
      </c>
      <c r="F219" t="s">
        <v>82</v>
      </c>
      <c r="G219" t="s">
        <v>81</v>
      </c>
      <c r="H219">
        <v>58.41</v>
      </c>
      <c r="I219">
        <v>58.41</v>
      </c>
      <c r="J219">
        <v>64.35</v>
      </c>
      <c r="K219">
        <v>32.67</v>
      </c>
      <c r="L219">
        <v>29.21</v>
      </c>
      <c r="M219">
        <v>29.21</v>
      </c>
      <c r="N219">
        <v>3.69</v>
      </c>
      <c r="O219">
        <v>1.85</v>
      </c>
      <c r="P219">
        <v>3.69</v>
      </c>
    </row>
    <row r="220" spans="1:16" ht="15">
      <c r="A220" t="str">
        <f t="shared" si="38"/>
        <v>Pub FFMagistrates Court01/02/12 - 21/04/14YesNo</v>
      </c>
      <c r="B220" t="s">
        <v>372</v>
      </c>
      <c r="C220" t="s">
        <v>106</v>
      </c>
      <c r="D220" t="s">
        <v>23</v>
      </c>
      <c r="E220" t="s">
        <v>353</v>
      </c>
      <c r="F220" t="s">
        <v>81</v>
      </c>
      <c r="G220" t="s">
        <v>82</v>
      </c>
      <c r="H220">
        <v>61.38</v>
      </c>
      <c r="I220">
        <v>61.38</v>
      </c>
      <c r="J220">
        <v>64.35</v>
      </c>
      <c r="K220">
        <v>32.67</v>
      </c>
      <c r="L220">
        <v>29.21</v>
      </c>
      <c r="M220">
        <v>29.21</v>
      </c>
      <c r="N220">
        <v>3.69</v>
      </c>
      <c r="O220">
        <v>1.85</v>
      </c>
      <c r="P220">
        <v>3.69</v>
      </c>
    </row>
    <row r="221" spans="1:16" ht="15">
      <c r="A221" t="str">
        <f t="shared" si="38"/>
        <v>Pub FFMagistrates Court01/02/12 - 21/04/14NoNo</v>
      </c>
      <c r="B221" t="s">
        <v>372</v>
      </c>
      <c r="C221" t="s">
        <v>106</v>
      </c>
      <c r="D221" t="s">
        <v>23</v>
      </c>
      <c r="E221" t="s">
        <v>353</v>
      </c>
      <c r="F221" t="s">
        <v>82</v>
      </c>
      <c r="G221" t="s">
        <v>82</v>
      </c>
      <c r="H221">
        <v>58.41</v>
      </c>
      <c r="I221">
        <v>58.41</v>
      </c>
      <c r="J221">
        <v>64.35</v>
      </c>
      <c r="K221">
        <v>32.67</v>
      </c>
      <c r="L221">
        <v>29.21</v>
      </c>
      <c r="M221">
        <v>29.21</v>
      </c>
      <c r="N221">
        <v>3.69</v>
      </c>
      <c r="O221">
        <v>1.85</v>
      </c>
      <c r="P221">
        <v>3.69</v>
      </c>
    </row>
    <row r="222" spans="1:16" ht="15">
      <c r="A222" t="str">
        <f t="shared" si="38"/>
        <v>Pub FFCounty Court01/02/12 - 21/04/14YesYes</v>
      </c>
      <c r="B222" t="s">
        <v>372</v>
      </c>
      <c r="C222" t="s">
        <v>106</v>
      </c>
      <c r="D222" t="s">
        <v>22</v>
      </c>
      <c r="E222" t="s">
        <v>353</v>
      </c>
      <c r="F222" t="s">
        <v>81</v>
      </c>
      <c r="G222" t="s">
        <v>81</v>
      </c>
      <c r="H222">
        <v>61.38</v>
      </c>
      <c r="I222">
        <v>61.38</v>
      </c>
      <c r="J222">
        <v>64.35</v>
      </c>
      <c r="K222">
        <v>32.67</v>
      </c>
      <c r="L222">
        <v>29.21</v>
      </c>
      <c r="M222">
        <v>29.21</v>
      </c>
      <c r="N222">
        <v>3.69</v>
      </c>
      <c r="O222">
        <v>1.85</v>
      </c>
      <c r="P222">
        <v>3.69</v>
      </c>
    </row>
    <row r="223" spans="1:16" ht="15">
      <c r="A223" t="str">
        <f aca="true" t="shared" si="46" ref="A223:A253">CONCATENATE(B223,D223,E223,F223,G223)</f>
        <v>Pub FFCounty Court01/02/12 - 21/04/14NoYes</v>
      </c>
      <c r="B223" t="s">
        <v>372</v>
      </c>
      <c r="C223" t="s">
        <v>106</v>
      </c>
      <c r="D223" t="s">
        <v>22</v>
      </c>
      <c r="E223" t="s">
        <v>353</v>
      </c>
      <c r="F223" t="s">
        <v>82</v>
      </c>
      <c r="G223" t="s">
        <v>81</v>
      </c>
      <c r="H223">
        <v>58.41</v>
      </c>
      <c r="I223">
        <v>58.41</v>
      </c>
      <c r="J223">
        <v>64.35</v>
      </c>
      <c r="K223">
        <v>32.67</v>
      </c>
      <c r="L223">
        <v>29.21</v>
      </c>
      <c r="M223">
        <v>29.21</v>
      </c>
      <c r="N223">
        <v>3.69</v>
      </c>
      <c r="O223">
        <v>1.85</v>
      </c>
      <c r="P223">
        <v>3.69</v>
      </c>
    </row>
    <row r="224" spans="1:16" ht="15">
      <c r="A224" t="str">
        <f t="shared" si="46"/>
        <v>Pub FFCounty Court01/02/12 - 21/04/14YesNo</v>
      </c>
      <c r="B224" t="s">
        <v>372</v>
      </c>
      <c r="C224" t="s">
        <v>106</v>
      </c>
      <c r="D224" t="s">
        <v>22</v>
      </c>
      <c r="E224" t="s">
        <v>353</v>
      </c>
      <c r="F224" t="s">
        <v>81</v>
      </c>
      <c r="G224" t="s">
        <v>82</v>
      </c>
      <c r="H224">
        <v>61.38</v>
      </c>
      <c r="I224">
        <v>61.38</v>
      </c>
      <c r="J224">
        <v>64.35</v>
      </c>
      <c r="K224">
        <v>32.67</v>
      </c>
      <c r="L224">
        <v>29.21</v>
      </c>
      <c r="M224">
        <v>29.21</v>
      </c>
      <c r="N224">
        <v>3.69</v>
      </c>
      <c r="O224">
        <v>1.85</v>
      </c>
      <c r="P224">
        <v>3.69</v>
      </c>
    </row>
    <row r="225" spans="1:16" ht="15">
      <c r="A225" t="str">
        <f t="shared" si="46"/>
        <v>Pub FFCounty Court01/02/12 - 21/04/14NoNo</v>
      </c>
      <c r="B225" t="s">
        <v>372</v>
      </c>
      <c r="C225" t="s">
        <v>106</v>
      </c>
      <c r="D225" t="s">
        <v>22</v>
      </c>
      <c r="E225" t="s">
        <v>353</v>
      </c>
      <c r="F225" t="s">
        <v>82</v>
      </c>
      <c r="G225" t="s">
        <v>82</v>
      </c>
      <c r="H225">
        <v>58.41</v>
      </c>
      <c r="I225">
        <v>58.41</v>
      </c>
      <c r="J225">
        <v>64.35</v>
      </c>
      <c r="K225">
        <v>32.67</v>
      </c>
      <c r="L225">
        <v>29.21</v>
      </c>
      <c r="M225">
        <v>29.21</v>
      </c>
      <c r="N225">
        <v>3.69</v>
      </c>
      <c r="O225">
        <v>1.85</v>
      </c>
      <c r="P225">
        <v>3.69</v>
      </c>
    </row>
    <row r="226" spans="1:16" ht="15">
      <c r="A226" t="str">
        <f t="shared" si="46"/>
        <v>Pub FFHigh Court01/02/12 - 21/04/14YesYes</v>
      </c>
      <c r="B226" t="s">
        <v>372</v>
      </c>
      <c r="C226" t="s">
        <v>106</v>
      </c>
      <c r="D226" t="s">
        <v>21</v>
      </c>
      <c r="E226" t="s">
        <v>353</v>
      </c>
      <c r="F226" t="s">
        <v>81</v>
      </c>
      <c r="G226" t="s">
        <v>81</v>
      </c>
      <c r="H226">
        <v>70.07</v>
      </c>
      <c r="I226">
        <v>70.07</v>
      </c>
      <c r="J226">
        <v>70.07</v>
      </c>
      <c r="K226">
        <v>37.13</v>
      </c>
      <c r="L226">
        <v>32.18</v>
      </c>
      <c r="M226">
        <v>32.18</v>
      </c>
      <c r="N226">
        <v>4.23</v>
      </c>
      <c r="O226">
        <v>2.12</v>
      </c>
      <c r="P226">
        <v>4.23</v>
      </c>
    </row>
    <row r="227" spans="1:16" ht="15">
      <c r="A227" t="str">
        <f t="shared" si="46"/>
        <v>Pub FFHigh Court01/02/12 - 21/04/14NoYes</v>
      </c>
      <c r="B227" t="s">
        <v>372</v>
      </c>
      <c r="C227" t="s">
        <v>106</v>
      </c>
      <c r="D227" t="s">
        <v>21</v>
      </c>
      <c r="E227" t="s">
        <v>353</v>
      </c>
      <c r="F227" t="s">
        <v>82</v>
      </c>
      <c r="G227" t="s">
        <v>81</v>
      </c>
      <c r="H227">
        <v>65.84</v>
      </c>
      <c r="I227">
        <v>65.84</v>
      </c>
      <c r="J227">
        <v>65.84</v>
      </c>
      <c r="K227">
        <v>37.13</v>
      </c>
      <c r="L227">
        <v>32.18</v>
      </c>
      <c r="M227">
        <v>32.18</v>
      </c>
      <c r="N227">
        <v>4.23</v>
      </c>
      <c r="O227">
        <v>2.12</v>
      </c>
      <c r="P227">
        <v>4.23</v>
      </c>
    </row>
    <row r="228" spans="1:16" ht="15">
      <c r="A228" t="str">
        <f t="shared" si="46"/>
        <v>Pub FFHigh Court01/02/12 - 21/04/14YesNo</v>
      </c>
      <c r="B228" t="s">
        <v>372</v>
      </c>
      <c r="C228" t="s">
        <v>106</v>
      </c>
      <c r="D228" t="s">
        <v>21</v>
      </c>
      <c r="E228" t="s">
        <v>353</v>
      </c>
      <c r="F228" t="s">
        <v>81</v>
      </c>
      <c r="G228" t="s">
        <v>82</v>
      </c>
      <c r="H228">
        <v>70.07</v>
      </c>
      <c r="I228">
        <v>70.07</v>
      </c>
      <c r="J228">
        <v>70.07</v>
      </c>
      <c r="K228">
        <v>37.13</v>
      </c>
      <c r="L228">
        <v>32.18</v>
      </c>
      <c r="M228">
        <v>32.18</v>
      </c>
      <c r="N228">
        <v>4.23</v>
      </c>
      <c r="O228">
        <v>2.12</v>
      </c>
      <c r="P228">
        <v>4.23</v>
      </c>
    </row>
    <row r="229" spans="1:16" ht="15">
      <c r="A229" t="str">
        <f t="shared" si="46"/>
        <v>Pub FFHigh Court01/02/12 - 21/04/14NoNo</v>
      </c>
      <c r="B229" t="s">
        <v>372</v>
      </c>
      <c r="C229" t="s">
        <v>106</v>
      </c>
      <c r="D229" t="s">
        <v>21</v>
      </c>
      <c r="E229" t="s">
        <v>353</v>
      </c>
      <c r="F229" t="s">
        <v>82</v>
      </c>
      <c r="G229" t="s">
        <v>82</v>
      </c>
      <c r="H229">
        <v>65.84</v>
      </c>
      <c r="I229">
        <v>65.84</v>
      </c>
      <c r="J229">
        <v>65.84</v>
      </c>
      <c r="K229">
        <v>37.13</v>
      </c>
      <c r="L229">
        <v>32.18</v>
      </c>
      <c r="M229">
        <v>32.18</v>
      </c>
      <c r="N229">
        <v>4.23</v>
      </c>
      <c r="O229">
        <v>2.12</v>
      </c>
      <c r="P229">
        <v>4.23</v>
      </c>
    </row>
    <row r="230" spans="1:16" ht="15">
      <c r="A230" t="str">
        <f t="shared" si="46"/>
        <v>Pub FFMagistrates Court22/04/14 OnwardsYesYes</v>
      </c>
      <c r="B230" t="s">
        <v>372</v>
      </c>
      <c r="C230" t="s">
        <v>105</v>
      </c>
      <c r="D230" t="s">
        <v>23</v>
      </c>
      <c r="E230" t="s">
        <v>355</v>
      </c>
      <c r="F230" t="s">
        <v>81</v>
      </c>
      <c r="G230" t="s">
        <v>81</v>
      </c>
      <c r="H230">
        <v>55.24</v>
      </c>
      <c r="I230">
        <v>55.24</v>
      </c>
      <c r="J230">
        <v>64.35</v>
      </c>
      <c r="K230">
        <v>29.4</v>
      </c>
      <c r="L230">
        <v>26.29</v>
      </c>
      <c r="M230">
        <v>26.29</v>
      </c>
      <c r="N230">
        <v>3.69</v>
      </c>
      <c r="O230">
        <v>1.85</v>
      </c>
      <c r="P230">
        <v>3.69</v>
      </c>
    </row>
    <row r="231" spans="1:16" ht="15">
      <c r="A231" t="str">
        <f t="shared" si="46"/>
        <v>Pub FFMagistrates Court22/04/14 OnwardsNoYes</v>
      </c>
      <c r="B231" t="s">
        <v>372</v>
      </c>
      <c r="C231" t="s">
        <v>105</v>
      </c>
      <c r="D231" t="s">
        <v>23</v>
      </c>
      <c r="E231" t="s">
        <v>355</v>
      </c>
      <c r="F231" t="s">
        <v>82</v>
      </c>
      <c r="G231" t="s">
        <v>81</v>
      </c>
      <c r="H231">
        <v>52.57</v>
      </c>
      <c r="I231">
        <v>52.57</v>
      </c>
      <c r="J231">
        <v>64.35</v>
      </c>
      <c r="K231">
        <v>29.4</v>
      </c>
      <c r="L231">
        <v>26.29</v>
      </c>
      <c r="M231">
        <v>26.29</v>
      </c>
      <c r="N231">
        <v>3.69</v>
      </c>
      <c r="O231">
        <v>1.85</v>
      </c>
      <c r="P231">
        <v>3.69</v>
      </c>
    </row>
    <row r="232" spans="1:16" ht="15">
      <c r="A232" t="str">
        <f t="shared" si="46"/>
        <v>Pub FFMagistrates Court22/04/14 OnwardsYesNo</v>
      </c>
      <c r="B232" t="s">
        <v>372</v>
      </c>
      <c r="C232" t="s">
        <v>105</v>
      </c>
      <c r="D232" t="s">
        <v>23</v>
      </c>
      <c r="E232" t="s">
        <v>355</v>
      </c>
      <c r="F232" t="s">
        <v>81</v>
      </c>
      <c r="G232" t="s">
        <v>82</v>
      </c>
      <c r="H232">
        <v>55.24</v>
      </c>
      <c r="I232">
        <v>55.24</v>
      </c>
      <c r="J232">
        <v>64.35</v>
      </c>
      <c r="K232">
        <v>29.4</v>
      </c>
      <c r="L232">
        <v>26.29</v>
      </c>
      <c r="M232">
        <v>26.29</v>
      </c>
      <c r="N232">
        <v>3.69</v>
      </c>
      <c r="O232">
        <v>1.85</v>
      </c>
      <c r="P232">
        <v>3.69</v>
      </c>
    </row>
    <row r="233" spans="1:16" ht="15">
      <c r="A233" t="str">
        <f t="shared" si="46"/>
        <v>Pub FFMagistrates Court22/04/14 OnwardsNoNo</v>
      </c>
      <c r="B233" t="s">
        <v>372</v>
      </c>
      <c r="C233" t="s">
        <v>105</v>
      </c>
      <c r="D233" t="s">
        <v>23</v>
      </c>
      <c r="E233" t="s">
        <v>355</v>
      </c>
      <c r="F233" t="s">
        <v>82</v>
      </c>
      <c r="G233" t="s">
        <v>82</v>
      </c>
      <c r="H233">
        <v>52.57</v>
      </c>
      <c r="I233">
        <v>52.57</v>
      </c>
      <c r="J233">
        <v>64.35</v>
      </c>
      <c r="K233">
        <v>29.4</v>
      </c>
      <c r="L233">
        <v>26.29</v>
      </c>
      <c r="M233">
        <v>26.29</v>
      </c>
      <c r="N233">
        <v>3.69</v>
      </c>
      <c r="O233">
        <v>1.85</v>
      </c>
      <c r="P233">
        <v>3.69</v>
      </c>
    </row>
    <row r="234" spans="1:16" ht="15">
      <c r="A234" t="str">
        <f t="shared" si="46"/>
        <v>Pub FFCounty Court22/04/14 OnwardsYesYes</v>
      </c>
      <c r="B234" t="s">
        <v>372</v>
      </c>
      <c r="C234" t="s">
        <v>105</v>
      </c>
      <c r="D234" t="s">
        <v>22</v>
      </c>
      <c r="E234" t="s">
        <v>355</v>
      </c>
      <c r="F234" t="s">
        <v>81</v>
      </c>
      <c r="G234" t="s">
        <v>81</v>
      </c>
      <c r="H234">
        <v>55.24</v>
      </c>
      <c r="I234">
        <v>55.24</v>
      </c>
      <c r="J234">
        <v>64.35</v>
      </c>
      <c r="K234">
        <v>29.4</v>
      </c>
      <c r="L234">
        <v>26.29</v>
      </c>
      <c r="M234">
        <v>26.29</v>
      </c>
      <c r="N234">
        <v>3.69</v>
      </c>
      <c r="O234">
        <v>1.85</v>
      </c>
      <c r="P234">
        <v>3.69</v>
      </c>
    </row>
    <row r="235" spans="1:16" ht="15">
      <c r="A235" t="str">
        <f t="shared" si="46"/>
        <v>Pub FFCounty Court22/04/14 OnwardsNoYes</v>
      </c>
      <c r="B235" t="s">
        <v>372</v>
      </c>
      <c r="C235" t="s">
        <v>105</v>
      </c>
      <c r="D235" t="s">
        <v>22</v>
      </c>
      <c r="E235" t="s">
        <v>355</v>
      </c>
      <c r="F235" t="s">
        <v>82</v>
      </c>
      <c r="G235" t="s">
        <v>81</v>
      </c>
      <c r="H235">
        <v>52.57</v>
      </c>
      <c r="I235">
        <v>52.57</v>
      </c>
      <c r="J235">
        <v>64.35</v>
      </c>
      <c r="K235">
        <v>29.4</v>
      </c>
      <c r="L235">
        <v>26.29</v>
      </c>
      <c r="M235">
        <v>26.29</v>
      </c>
      <c r="N235">
        <v>3.69</v>
      </c>
      <c r="O235">
        <v>1.85</v>
      </c>
      <c r="P235">
        <v>3.69</v>
      </c>
    </row>
    <row r="236" spans="1:16" ht="15">
      <c r="A236" t="str">
        <f t="shared" si="46"/>
        <v>Pub FFCounty Court22/04/14 OnwardsYesNo</v>
      </c>
      <c r="B236" t="s">
        <v>372</v>
      </c>
      <c r="C236" t="s">
        <v>105</v>
      </c>
      <c r="D236" t="s">
        <v>22</v>
      </c>
      <c r="E236" t="s">
        <v>355</v>
      </c>
      <c r="F236" t="s">
        <v>81</v>
      </c>
      <c r="G236" t="s">
        <v>82</v>
      </c>
      <c r="H236">
        <v>55.24</v>
      </c>
      <c r="I236">
        <v>55.24</v>
      </c>
      <c r="J236">
        <v>64.35</v>
      </c>
      <c r="K236">
        <v>29.4</v>
      </c>
      <c r="L236">
        <v>26.29</v>
      </c>
      <c r="M236">
        <v>26.29</v>
      </c>
      <c r="N236">
        <v>3.69</v>
      </c>
      <c r="O236">
        <v>1.85</v>
      </c>
      <c r="P236">
        <v>3.69</v>
      </c>
    </row>
    <row r="237" spans="1:16" ht="15">
      <c r="A237" t="str">
        <f t="shared" si="46"/>
        <v>Pub FFCounty Court22/04/14 OnwardsNoNo</v>
      </c>
      <c r="B237" t="s">
        <v>372</v>
      </c>
      <c r="C237" t="s">
        <v>105</v>
      </c>
      <c r="D237" t="s">
        <v>22</v>
      </c>
      <c r="E237" t="s">
        <v>355</v>
      </c>
      <c r="F237" t="s">
        <v>82</v>
      </c>
      <c r="G237" t="s">
        <v>82</v>
      </c>
      <c r="H237">
        <v>52.57</v>
      </c>
      <c r="I237">
        <v>52.57</v>
      </c>
      <c r="J237">
        <v>64.35</v>
      </c>
      <c r="K237">
        <v>29.4</v>
      </c>
      <c r="L237">
        <v>26.29</v>
      </c>
      <c r="M237">
        <v>26.29</v>
      </c>
      <c r="N237">
        <v>3.69</v>
      </c>
      <c r="O237">
        <v>1.85</v>
      </c>
      <c r="P237">
        <v>3.69</v>
      </c>
    </row>
    <row r="238" spans="1:16" ht="15">
      <c r="A238" t="str">
        <f t="shared" si="46"/>
        <v>Pub FFHigh Court22/04/14 OnwardsYesYes</v>
      </c>
      <c r="B238" t="s">
        <v>372</v>
      </c>
      <c r="C238" t="s">
        <v>105</v>
      </c>
      <c r="D238" t="s">
        <v>21</v>
      </c>
      <c r="E238" t="s">
        <v>355</v>
      </c>
      <c r="F238" t="s">
        <v>81</v>
      </c>
      <c r="G238" t="s">
        <v>81</v>
      </c>
      <c r="H238">
        <v>63.06</v>
      </c>
      <c r="I238">
        <v>63.06</v>
      </c>
      <c r="J238">
        <v>70.07</v>
      </c>
      <c r="K238">
        <v>33.42</v>
      </c>
      <c r="L238">
        <v>28.96</v>
      </c>
      <c r="M238">
        <v>28.96</v>
      </c>
      <c r="N238">
        <v>4.23</v>
      </c>
      <c r="O238">
        <v>2.12</v>
      </c>
      <c r="P238">
        <v>4.23</v>
      </c>
    </row>
    <row r="239" spans="1:16" ht="15">
      <c r="A239" t="str">
        <f t="shared" si="46"/>
        <v>Pub FFHigh Court22/04/14 OnwardsNoYes</v>
      </c>
      <c r="B239" t="s">
        <v>372</v>
      </c>
      <c r="C239" t="s">
        <v>105</v>
      </c>
      <c r="D239" t="s">
        <v>21</v>
      </c>
      <c r="E239" t="s">
        <v>355</v>
      </c>
      <c r="F239" t="s">
        <v>82</v>
      </c>
      <c r="G239" t="s">
        <v>81</v>
      </c>
      <c r="H239">
        <v>59.26</v>
      </c>
      <c r="I239">
        <v>59.26</v>
      </c>
      <c r="J239">
        <v>65.84</v>
      </c>
      <c r="K239">
        <v>33.42</v>
      </c>
      <c r="L239">
        <v>28.96</v>
      </c>
      <c r="M239">
        <v>28.96</v>
      </c>
      <c r="N239">
        <v>4.23</v>
      </c>
      <c r="O239">
        <v>2.12</v>
      </c>
      <c r="P239">
        <v>4.23</v>
      </c>
    </row>
    <row r="240" spans="1:16" ht="15">
      <c r="A240" t="str">
        <f t="shared" si="46"/>
        <v>Pub FFHigh Court22/04/14 OnwardsYesNo</v>
      </c>
      <c r="B240" t="s">
        <v>372</v>
      </c>
      <c r="C240" t="s">
        <v>105</v>
      </c>
      <c r="D240" t="s">
        <v>21</v>
      </c>
      <c r="E240" t="s">
        <v>355</v>
      </c>
      <c r="F240" t="s">
        <v>81</v>
      </c>
      <c r="G240" t="s">
        <v>82</v>
      </c>
      <c r="H240">
        <v>63.06</v>
      </c>
      <c r="I240">
        <v>63.06</v>
      </c>
      <c r="J240">
        <v>70.07</v>
      </c>
      <c r="K240">
        <v>33.42</v>
      </c>
      <c r="L240">
        <v>28.96</v>
      </c>
      <c r="M240">
        <v>28.96</v>
      </c>
      <c r="N240">
        <v>4.23</v>
      </c>
      <c r="O240">
        <v>2.12</v>
      </c>
      <c r="P240">
        <v>4.23</v>
      </c>
    </row>
    <row r="241" spans="1:16" ht="15">
      <c r="A241" t="str">
        <f t="shared" si="46"/>
        <v>Pub FFHigh Court22/04/14 OnwardsNoNo</v>
      </c>
      <c r="B241" t="s">
        <v>372</v>
      </c>
      <c r="C241" t="s">
        <v>105</v>
      </c>
      <c r="D241" t="s">
        <v>21</v>
      </c>
      <c r="E241" t="s">
        <v>355</v>
      </c>
      <c r="F241" t="s">
        <v>82</v>
      </c>
      <c r="G241" t="s">
        <v>82</v>
      </c>
      <c r="H241">
        <v>59.26</v>
      </c>
      <c r="I241">
        <v>59.26</v>
      </c>
      <c r="J241">
        <v>65.84</v>
      </c>
      <c r="K241">
        <v>33.42</v>
      </c>
      <c r="L241">
        <v>28.96</v>
      </c>
      <c r="M241">
        <v>28.96</v>
      </c>
      <c r="N241">
        <v>4.23</v>
      </c>
      <c r="O241">
        <v>2.12</v>
      </c>
      <c r="P241">
        <v>4.23</v>
      </c>
    </row>
    <row r="242" spans="1:16" ht="15">
      <c r="A242" t="str">
        <f t="shared" si="46"/>
        <v>Fam PublicMagistrates Court22/04/14 OnwardsYesYes</v>
      </c>
      <c r="B242" t="s">
        <v>89</v>
      </c>
      <c r="C242" t="s">
        <v>106</v>
      </c>
      <c r="D242" t="s">
        <v>23</v>
      </c>
      <c r="E242" t="s">
        <v>355</v>
      </c>
      <c r="F242" t="s">
        <v>81</v>
      </c>
      <c r="G242" t="s">
        <v>81</v>
      </c>
      <c r="H242">
        <v>61.38</v>
      </c>
      <c r="I242">
        <v>61.38</v>
      </c>
      <c r="J242">
        <v>64.35</v>
      </c>
      <c r="K242">
        <v>32.67</v>
      </c>
      <c r="L242">
        <v>29.21</v>
      </c>
      <c r="M242">
        <v>29.21</v>
      </c>
      <c r="N242">
        <v>3.69</v>
      </c>
      <c r="O242">
        <v>1.85</v>
      </c>
      <c r="P242">
        <v>3.69</v>
      </c>
    </row>
    <row r="243" spans="1:16" ht="15">
      <c r="A243" t="str">
        <f t="shared" si="46"/>
        <v>Fam PublicMagistrates Court22/04/14 OnwardsNoYes</v>
      </c>
      <c r="B243" t="s">
        <v>89</v>
      </c>
      <c r="C243" t="s">
        <v>106</v>
      </c>
      <c r="D243" t="s">
        <v>23</v>
      </c>
      <c r="E243" t="s">
        <v>355</v>
      </c>
      <c r="F243" t="s">
        <v>82</v>
      </c>
      <c r="G243" t="s">
        <v>81</v>
      </c>
      <c r="H243">
        <v>58.41</v>
      </c>
      <c r="I243">
        <v>58.41</v>
      </c>
      <c r="J243">
        <v>64.35</v>
      </c>
      <c r="K243">
        <v>32.67</v>
      </c>
      <c r="L243">
        <v>29.21</v>
      </c>
      <c r="M243">
        <v>29.21</v>
      </c>
      <c r="N243">
        <v>3.69</v>
      </c>
      <c r="O243">
        <v>1.85</v>
      </c>
      <c r="P243">
        <v>3.69</v>
      </c>
    </row>
    <row r="244" spans="1:16" ht="15">
      <c r="A244" t="str">
        <f t="shared" si="46"/>
        <v>Fam PublicMagistrates Court22/04/14 OnwardsYesNo</v>
      </c>
      <c r="B244" t="s">
        <v>89</v>
      </c>
      <c r="C244" t="s">
        <v>106</v>
      </c>
      <c r="D244" t="s">
        <v>23</v>
      </c>
      <c r="E244" t="s">
        <v>355</v>
      </c>
      <c r="F244" t="s">
        <v>81</v>
      </c>
      <c r="G244" t="s">
        <v>82</v>
      </c>
      <c r="H244">
        <v>61.38</v>
      </c>
      <c r="I244">
        <v>61.38</v>
      </c>
      <c r="J244">
        <v>64.35</v>
      </c>
      <c r="K244">
        <v>32.67</v>
      </c>
      <c r="L244">
        <v>29.21</v>
      </c>
      <c r="M244">
        <v>29.21</v>
      </c>
      <c r="N244">
        <v>3.69</v>
      </c>
      <c r="O244">
        <v>1.85</v>
      </c>
      <c r="P244">
        <v>3.69</v>
      </c>
    </row>
    <row r="245" spans="1:16" ht="15">
      <c r="A245" t="str">
        <f t="shared" si="46"/>
        <v>Fam PublicMagistrates Court22/04/14 OnwardsNoNo</v>
      </c>
      <c r="B245" t="s">
        <v>89</v>
      </c>
      <c r="C245" t="s">
        <v>106</v>
      </c>
      <c r="D245" t="s">
        <v>23</v>
      </c>
      <c r="E245" t="s">
        <v>355</v>
      </c>
      <c r="F245" t="s">
        <v>82</v>
      </c>
      <c r="G245" t="s">
        <v>82</v>
      </c>
      <c r="H245">
        <v>58.41</v>
      </c>
      <c r="I245">
        <v>58.41</v>
      </c>
      <c r="J245">
        <v>64.35</v>
      </c>
      <c r="K245">
        <v>32.67</v>
      </c>
      <c r="L245">
        <v>29.21</v>
      </c>
      <c r="M245">
        <v>29.21</v>
      </c>
      <c r="N245">
        <v>3.69</v>
      </c>
      <c r="O245">
        <v>1.85</v>
      </c>
      <c r="P245">
        <v>3.69</v>
      </c>
    </row>
    <row r="246" spans="1:16" ht="15">
      <c r="A246" t="str">
        <f t="shared" si="46"/>
        <v>Fam PublicCounty Court22/04/14 OnwardsYesYes</v>
      </c>
      <c r="B246" t="s">
        <v>89</v>
      </c>
      <c r="C246" t="s">
        <v>106</v>
      </c>
      <c r="D246" t="s">
        <v>22</v>
      </c>
      <c r="E246" t="s">
        <v>355</v>
      </c>
      <c r="F246" t="s">
        <v>81</v>
      </c>
      <c r="G246" t="s">
        <v>81</v>
      </c>
      <c r="H246">
        <f>H242</f>
        <v>61.38</v>
      </c>
      <c r="I246">
        <f aca="true" t="shared" si="47" ref="I246:P246">I242</f>
        <v>61.38</v>
      </c>
      <c r="J246">
        <f t="shared" si="47"/>
        <v>64.35</v>
      </c>
      <c r="K246">
        <f t="shared" si="47"/>
        <v>32.67</v>
      </c>
      <c r="L246">
        <f t="shared" si="47"/>
        <v>29.21</v>
      </c>
      <c r="M246">
        <f t="shared" si="47"/>
        <v>29.21</v>
      </c>
      <c r="N246">
        <f t="shared" si="47"/>
        <v>3.69</v>
      </c>
      <c r="O246">
        <f t="shared" si="47"/>
        <v>1.85</v>
      </c>
      <c r="P246">
        <f t="shared" si="47"/>
        <v>3.69</v>
      </c>
    </row>
    <row r="247" spans="1:16" ht="15">
      <c r="A247" t="str">
        <f t="shared" si="46"/>
        <v>Fam PublicCounty Court22/04/14 OnwardsNoYes</v>
      </c>
      <c r="B247" t="s">
        <v>89</v>
      </c>
      <c r="C247" t="s">
        <v>106</v>
      </c>
      <c r="D247" t="s">
        <v>22</v>
      </c>
      <c r="E247" t="s">
        <v>355</v>
      </c>
      <c r="F247" t="s">
        <v>82</v>
      </c>
      <c r="G247" t="s">
        <v>81</v>
      </c>
      <c r="H247">
        <f aca="true" t="shared" si="48" ref="H247:P247">H243</f>
        <v>58.41</v>
      </c>
      <c r="I247">
        <f t="shared" si="48"/>
        <v>58.41</v>
      </c>
      <c r="J247">
        <f t="shared" si="48"/>
        <v>64.35</v>
      </c>
      <c r="K247">
        <f t="shared" si="48"/>
        <v>32.67</v>
      </c>
      <c r="L247">
        <f t="shared" si="48"/>
        <v>29.21</v>
      </c>
      <c r="M247">
        <f t="shared" si="48"/>
        <v>29.21</v>
      </c>
      <c r="N247">
        <f t="shared" si="48"/>
        <v>3.69</v>
      </c>
      <c r="O247">
        <f t="shared" si="48"/>
        <v>1.85</v>
      </c>
      <c r="P247">
        <f t="shared" si="48"/>
        <v>3.69</v>
      </c>
    </row>
    <row r="248" spans="1:16" ht="15">
      <c r="A248" t="str">
        <f t="shared" si="46"/>
        <v>Fam PublicCounty Court22/04/14 OnwardsYesNo</v>
      </c>
      <c r="B248" t="s">
        <v>89</v>
      </c>
      <c r="C248" t="s">
        <v>106</v>
      </c>
      <c r="D248" t="s">
        <v>22</v>
      </c>
      <c r="E248" t="s">
        <v>355</v>
      </c>
      <c r="F248" t="s">
        <v>81</v>
      </c>
      <c r="G248" t="s">
        <v>82</v>
      </c>
      <c r="H248">
        <f aca="true" t="shared" si="49" ref="H248:P248">H244</f>
        <v>61.38</v>
      </c>
      <c r="I248">
        <f t="shared" si="49"/>
        <v>61.38</v>
      </c>
      <c r="J248">
        <f t="shared" si="49"/>
        <v>64.35</v>
      </c>
      <c r="K248">
        <f t="shared" si="49"/>
        <v>32.67</v>
      </c>
      <c r="L248">
        <f t="shared" si="49"/>
        <v>29.21</v>
      </c>
      <c r="M248">
        <f t="shared" si="49"/>
        <v>29.21</v>
      </c>
      <c r="N248">
        <f t="shared" si="49"/>
        <v>3.69</v>
      </c>
      <c r="O248">
        <f t="shared" si="49"/>
        <v>1.85</v>
      </c>
      <c r="P248">
        <f t="shared" si="49"/>
        <v>3.69</v>
      </c>
    </row>
    <row r="249" spans="1:16" ht="15">
      <c r="A249" t="str">
        <f t="shared" si="46"/>
        <v>Fam PublicCounty Court22/04/14 OnwardsNoNo</v>
      </c>
      <c r="B249" t="s">
        <v>89</v>
      </c>
      <c r="C249" t="s">
        <v>106</v>
      </c>
      <c r="D249" t="s">
        <v>22</v>
      </c>
      <c r="E249" t="s">
        <v>355</v>
      </c>
      <c r="F249" t="s">
        <v>82</v>
      </c>
      <c r="G249" t="s">
        <v>82</v>
      </c>
      <c r="H249">
        <f aca="true" t="shared" si="50" ref="H249:P249">H245</f>
        <v>58.41</v>
      </c>
      <c r="I249">
        <f t="shared" si="50"/>
        <v>58.41</v>
      </c>
      <c r="J249">
        <f t="shared" si="50"/>
        <v>64.35</v>
      </c>
      <c r="K249">
        <f t="shared" si="50"/>
        <v>32.67</v>
      </c>
      <c r="L249">
        <f t="shared" si="50"/>
        <v>29.21</v>
      </c>
      <c r="M249">
        <f t="shared" si="50"/>
        <v>29.21</v>
      </c>
      <c r="N249">
        <f t="shared" si="50"/>
        <v>3.69</v>
      </c>
      <c r="O249">
        <f t="shared" si="50"/>
        <v>1.85</v>
      </c>
      <c r="P249">
        <f t="shared" si="50"/>
        <v>3.69</v>
      </c>
    </row>
    <row r="250" spans="1:16" ht="15">
      <c r="A250" t="str">
        <f t="shared" si="46"/>
        <v>Fam PublicHigh Court22/04/14 OnwardsYesYes</v>
      </c>
      <c r="B250" t="s">
        <v>89</v>
      </c>
      <c r="C250" t="s">
        <v>106</v>
      </c>
      <c r="D250" t="s">
        <v>21</v>
      </c>
      <c r="E250" t="s">
        <v>355</v>
      </c>
      <c r="F250" t="s">
        <v>81</v>
      </c>
      <c r="G250" t="s">
        <v>81</v>
      </c>
      <c r="H250">
        <v>70.07</v>
      </c>
      <c r="I250">
        <v>70.07</v>
      </c>
      <c r="J250">
        <v>70.07</v>
      </c>
      <c r="K250">
        <v>37.13</v>
      </c>
      <c r="L250">
        <v>32.18</v>
      </c>
      <c r="M250">
        <v>32.18</v>
      </c>
      <c r="N250">
        <v>4.23</v>
      </c>
      <c r="O250">
        <v>2.12</v>
      </c>
      <c r="P250">
        <v>4.23</v>
      </c>
    </row>
    <row r="251" spans="1:16" ht="15">
      <c r="A251" t="str">
        <f t="shared" si="46"/>
        <v>Fam PublicHigh Court22/04/14 OnwardsNoYes</v>
      </c>
      <c r="B251" t="s">
        <v>89</v>
      </c>
      <c r="C251" t="s">
        <v>106</v>
      </c>
      <c r="D251" t="s">
        <v>21</v>
      </c>
      <c r="E251" t="s">
        <v>355</v>
      </c>
      <c r="F251" t="s">
        <v>82</v>
      </c>
      <c r="G251" t="s">
        <v>81</v>
      </c>
      <c r="H251">
        <v>65.84</v>
      </c>
      <c r="I251">
        <v>65.84</v>
      </c>
      <c r="J251">
        <v>65.84</v>
      </c>
      <c r="K251">
        <v>37.13</v>
      </c>
      <c r="L251">
        <v>32.18</v>
      </c>
      <c r="M251">
        <v>32.18</v>
      </c>
      <c r="N251">
        <v>4.23</v>
      </c>
      <c r="O251">
        <v>2.12</v>
      </c>
      <c r="P251">
        <v>4.23</v>
      </c>
    </row>
    <row r="252" spans="1:16" ht="15">
      <c r="A252" t="str">
        <f t="shared" si="46"/>
        <v>Fam PublicHigh Court22/04/14 OnwardsYesNo</v>
      </c>
      <c r="B252" t="s">
        <v>89</v>
      </c>
      <c r="C252" t="s">
        <v>106</v>
      </c>
      <c r="D252" t="s">
        <v>21</v>
      </c>
      <c r="E252" t="s">
        <v>355</v>
      </c>
      <c r="F252" t="s">
        <v>81</v>
      </c>
      <c r="G252" t="s">
        <v>82</v>
      </c>
      <c r="H252">
        <v>70.07</v>
      </c>
      <c r="I252">
        <v>70.07</v>
      </c>
      <c r="J252">
        <v>70.07</v>
      </c>
      <c r="K252">
        <v>37.13</v>
      </c>
      <c r="L252">
        <v>32.18</v>
      </c>
      <c r="M252">
        <v>32.18</v>
      </c>
      <c r="N252">
        <v>4.23</v>
      </c>
      <c r="O252">
        <v>2.12</v>
      </c>
      <c r="P252">
        <v>4.23</v>
      </c>
    </row>
    <row r="253" spans="1:16" ht="15">
      <c r="A253" t="str">
        <f t="shared" si="46"/>
        <v>Fam PublicHigh Court22/04/14 OnwardsNoNo</v>
      </c>
      <c r="B253" t="s">
        <v>89</v>
      </c>
      <c r="C253" t="s">
        <v>106</v>
      </c>
      <c r="D253" t="s">
        <v>21</v>
      </c>
      <c r="E253" t="s">
        <v>355</v>
      </c>
      <c r="F253" t="s">
        <v>82</v>
      </c>
      <c r="G253" t="s">
        <v>82</v>
      </c>
      <c r="H253">
        <v>65.84</v>
      </c>
      <c r="I253">
        <v>65.84</v>
      </c>
      <c r="J253">
        <v>65.84</v>
      </c>
      <c r="K253">
        <v>37.13</v>
      </c>
      <c r="L253">
        <v>32.18</v>
      </c>
      <c r="M253">
        <v>32.18</v>
      </c>
      <c r="N253">
        <v>4.23</v>
      </c>
      <c r="O253">
        <v>2.12</v>
      </c>
      <c r="P253">
        <v>4.23</v>
      </c>
    </row>
  </sheetData>
  <sheetProtection password="CFE1" sheet="1"/>
  <autoFilter ref="B2:P25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Z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0" customWidth="1"/>
    <col min="2" max="2" width="12.57421875" style="0" customWidth="1"/>
    <col min="3" max="3" width="11.8515625" style="0" customWidth="1"/>
    <col min="4" max="4" width="13.7109375" style="0" bestFit="1" customWidth="1"/>
    <col min="5" max="10" width="9.140625" style="11" customWidth="1"/>
    <col min="11" max="11" width="9.140625" style="0" customWidth="1"/>
  </cols>
  <sheetData>
    <row r="1" spans="1:11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</row>
    <row r="2" spans="5:26" ht="15">
      <c r="E2" s="11" t="s">
        <v>432</v>
      </c>
      <c r="H2" s="11" t="s">
        <v>433</v>
      </c>
      <c r="M2" s="11"/>
      <c r="N2" s="11"/>
      <c r="O2" s="11"/>
      <c r="P2" s="11"/>
      <c r="Q2" s="11"/>
      <c r="R2" s="11"/>
      <c r="U2" s="11"/>
      <c r="V2" s="11"/>
      <c r="W2" s="11"/>
      <c r="X2" s="11"/>
      <c r="Y2" s="11"/>
      <c r="Z2" s="11"/>
    </row>
    <row r="3" spans="1:26" ht="15">
      <c r="A3" t="s">
        <v>87</v>
      </c>
      <c r="B3" t="s">
        <v>19</v>
      </c>
      <c r="C3" t="s">
        <v>430</v>
      </c>
      <c r="D3" t="s">
        <v>32</v>
      </c>
      <c r="E3" s="11" t="s">
        <v>429</v>
      </c>
      <c r="F3" s="11" t="s">
        <v>264</v>
      </c>
      <c r="G3" s="11" t="s">
        <v>265</v>
      </c>
      <c r="H3" s="11" t="s">
        <v>429</v>
      </c>
      <c r="I3" s="11" t="s">
        <v>264</v>
      </c>
      <c r="J3" s="11" t="s">
        <v>265</v>
      </c>
      <c r="K3" t="s">
        <v>161</v>
      </c>
      <c r="M3" s="11"/>
      <c r="N3" s="11"/>
      <c r="O3" s="11"/>
      <c r="P3" s="11"/>
      <c r="Q3" s="11"/>
      <c r="R3" s="11"/>
      <c r="U3" s="11"/>
      <c r="V3" s="11"/>
      <c r="W3" s="11"/>
      <c r="X3" s="11"/>
      <c r="Y3" s="11"/>
      <c r="Z3" s="11"/>
    </row>
    <row r="4" spans="1:13" ht="15">
      <c r="A4" t="str">
        <f aca="true" t="shared" si="0" ref="A4:A11">CONCATENATE(B4,C4,D4)</f>
        <v>OtherUnder10% reduction</v>
      </c>
      <c r="B4" t="s">
        <v>62</v>
      </c>
      <c r="C4" t="s">
        <v>265</v>
      </c>
      <c r="D4" t="s">
        <v>412</v>
      </c>
      <c r="E4" s="11">
        <v>774</v>
      </c>
      <c r="F4" s="11">
        <v>310.5</v>
      </c>
      <c r="G4" s="11">
        <v>463.5</v>
      </c>
      <c r="H4" s="11">
        <v>0</v>
      </c>
      <c r="I4" s="11">
        <v>0</v>
      </c>
      <c r="J4" s="11">
        <v>0</v>
      </c>
      <c r="K4" t="s">
        <v>428</v>
      </c>
      <c r="M4" s="11"/>
    </row>
    <row r="5" spans="1:13" ht="15">
      <c r="A5" t="str">
        <f t="shared" si="0"/>
        <v>OtherUnderOriginal</v>
      </c>
      <c r="B5" t="s">
        <v>62</v>
      </c>
      <c r="C5" t="s">
        <v>265</v>
      </c>
      <c r="D5" t="s">
        <v>416</v>
      </c>
      <c r="E5" s="11">
        <v>860</v>
      </c>
      <c r="F5" s="11">
        <v>345</v>
      </c>
      <c r="G5" s="11">
        <v>515</v>
      </c>
      <c r="H5" s="11">
        <v>550</v>
      </c>
      <c r="I5" s="11">
        <v>330</v>
      </c>
      <c r="J5" s="11">
        <v>220</v>
      </c>
      <c r="K5" t="s">
        <v>437</v>
      </c>
      <c r="M5" s="11"/>
    </row>
    <row r="6" spans="1:10" ht="15">
      <c r="A6" t="str">
        <f t="shared" si="0"/>
        <v>OtherOver10% reduction</v>
      </c>
      <c r="B6" t="s">
        <v>62</v>
      </c>
      <c r="C6" t="s">
        <v>264</v>
      </c>
      <c r="D6" t="s">
        <v>412</v>
      </c>
      <c r="E6" s="11">
        <v>531</v>
      </c>
      <c r="F6" s="11">
        <v>211.5</v>
      </c>
      <c r="G6" s="11">
        <v>319.5</v>
      </c>
      <c r="H6" s="11">
        <v>981</v>
      </c>
      <c r="I6" s="11">
        <v>589.5</v>
      </c>
      <c r="J6" s="11">
        <v>391.5</v>
      </c>
    </row>
    <row r="7" spans="1:10" ht="15">
      <c r="A7" t="str">
        <f t="shared" si="0"/>
        <v>OtherOverOriginal</v>
      </c>
      <c r="B7" t="s">
        <v>62</v>
      </c>
      <c r="C7" t="s">
        <v>264</v>
      </c>
      <c r="D7" t="s">
        <v>416</v>
      </c>
      <c r="E7" s="11">
        <v>590</v>
      </c>
      <c r="F7" s="11">
        <v>235</v>
      </c>
      <c r="G7" s="11">
        <v>355</v>
      </c>
      <c r="H7" s="11">
        <v>1090</v>
      </c>
      <c r="I7" s="11">
        <v>655</v>
      </c>
      <c r="J7" s="11">
        <v>435</v>
      </c>
    </row>
    <row r="8" spans="1:11" ht="15">
      <c r="A8" t="str">
        <f t="shared" si="0"/>
        <v>HighUnder10% reduction</v>
      </c>
      <c r="B8" t="s">
        <v>10</v>
      </c>
      <c r="C8" t="s">
        <v>265</v>
      </c>
      <c r="D8" t="s">
        <v>412</v>
      </c>
      <c r="E8" s="11">
        <v>1053</v>
      </c>
      <c r="F8" s="11">
        <v>423</v>
      </c>
      <c r="G8" s="11">
        <v>630</v>
      </c>
      <c r="H8" s="11">
        <v>0</v>
      </c>
      <c r="I8" s="11">
        <v>0</v>
      </c>
      <c r="J8" s="11">
        <v>0</v>
      </c>
      <c r="K8" t="s">
        <v>428</v>
      </c>
    </row>
    <row r="9" spans="1:11" ht="15">
      <c r="A9" t="str">
        <f t="shared" si="0"/>
        <v>HighUnderOriginal</v>
      </c>
      <c r="B9" t="s">
        <v>10</v>
      </c>
      <c r="C9" t="s">
        <v>265</v>
      </c>
      <c r="D9" t="s">
        <v>416</v>
      </c>
      <c r="E9" s="11">
        <v>1170</v>
      </c>
      <c r="F9" s="11">
        <v>470</v>
      </c>
      <c r="G9" s="11">
        <v>700</v>
      </c>
      <c r="H9" s="11">
        <v>690</v>
      </c>
      <c r="I9" s="11">
        <v>415</v>
      </c>
      <c r="J9" s="11">
        <v>275</v>
      </c>
      <c r="K9" t="s">
        <v>437</v>
      </c>
    </row>
    <row r="10" spans="1:10" ht="15">
      <c r="A10" t="str">
        <f t="shared" si="0"/>
        <v>HighOver10% reduction</v>
      </c>
      <c r="B10" t="s">
        <v>10</v>
      </c>
      <c r="C10" t="s">
        <v>264</v>
      </c>
      <c r="D10" t="s">
        <v>412</v>
      </c>
      <c r="E10" s="11">
        <v>801</v>
      </c>
      <c r="F10" s="11">
        <v>319.5</v>
      </c>
      <c r="G10" s="11">
        <v>481.5</v>
      </c>
      <c r="H10" s="11">
        <v>1026</v>
      </c>
      <c r="I10" s="11">
        <v>616.5</v>
      </c>
      <c r="J10" s="11">
        <v>409.5</v>
      </c>
    </row>
    <row r="11" spans="1:10" ht="15">
      <c r="A11" t="str">
        <f t="shared" si="0"/>
        <v>HighOverOriginal</v>
      </c>
      <c r="B11" t="s">
        <v>10</v>
      </c>
      <c r="C11" t="s">
        <v>264</v>
      </c>
      <c r="D11" t="s">
        <v>416</v>
      </c>
      <c r="E11" s="11">
        <v>890</v>
      </c>
      <c r="F11" s="11">
        <v>355</v>
      </c>
      <c r="G11" s="11">
        <v>535</v>
      </c>
      <c r="H11" s="11">
        <v>1140</v>
      </c>
      <c r="I11" s="11">
        <v>685</v>
      </c>
      <c r="J11" s="11">
        <v>455</v>
      </c>
    </row>
    <row r="13" spans="1:19" ht="15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G13">
        <v>7</v>
      </c>
      <c r="H13">
        <v>8</v>
      </c>
      <c r="I13">
        <v>9</v>
      </c>
      <c r="J13">
        <v>10</v>
      </c>
      <c r="K13">
        <v>11</v>
      </c>
      <c r="L13">
        <v>12</v>
      </c>
      <c r="M13">
        <v>13</v>
      </c>
      <c r="N13">
        <v>14</v>
      </c>
      <c r="O13">
        <v>15</v>
      </c>
      <c r="P13">
        <v>16</v>
      </c>
      <c r="Q13">
        <v>17</v>
      </c>
      <c r="R13">
        <v>18</v>
      </c>
      <c r="S13">
        <v>19</v>
      </c>
    </row>
    <row r="14" spans="5:16" ht="15">
      <c r="E14" s="11" t="s">
        <v>436</v>
      </c>
      <c r="L14" t="s">
        <v>435</v>
      </c>
      <c r="P14" t="s">
        <v>434</v>
      </c>
    </row>
    <row r="15" spans="5:18" ht="15">
      <c r="E15" s="11" t="s">
        <v>432</v>
      </c>
      <c r="H15" s="11" t="s">
        <v>433</v>
      </c>
      <c r="L15" s="11" t="s">
        <v>432</v>
      </c>
      <c r="M15" s="11"/>
      <c r="N15" s="11"/>
      <c r="P15" s="11" t="s">
        <v>432</v>
      </c>
      <c r="Q15" s="11"/>
      <c r="R15" s="11"/>
    </row>
    <row r="16" spans="2:19" ht="15">
      <c r="B16" t="s">
        <v>431</v>
      </c>
      <c r="C16" t="s">
        <v>19</v>
      </c>
      <c r="D16" t="s">
        <v>430</v>
      </c>
      <c r="E16" s="11" t="s">
        <v>429</v>
      </c>
      <c r="F16" s="11" t="s">
        <v>264</v>
      </c>
      <c r="G16" s="11" t="s">
        <v>265</v>
      </c>
      <c r="H16" s="11" t="s">
        <v>429</v>
      </c>
      <c r="I16" s="11" t="s">
        <v>264</v>
      </c>
      <c r="J16" s="11" t="s">
        <v>265</v>
      </c>
      <c r="K16" t="s">
        <v>161</v>
      </c>
      <c r="L16" s="11" t="s">
        <v>429</v>
      </c>
      <c r="M16" s="11" t="s">
        <v>264</v>
      </c>
      <c r="N16" s="11" t="s">
        <v>265</v>
      </c>
      <c r="O16" s="11" t="s">
        <v>429</v>
      </c>
      <c r="P16" t="s">
        <v>161</v>
      </c>
      <c r="Q16" s="11" t="s">
        <v>264</v>
      </c>
      <c r="R16" s="11" t="s">
        <v>265</v>
      </c>
      <c r="S16" t="s">
        <v>161</v>
      </c>
    </row>
    <row r="17" spans="1:19" ht="15">
      <c r="A17" t="str">
        <f>CONCATENATE(B17,C17,D17)</f>
        <v>FALSEOtherUnder</v>
      </c>
      <c r="B17" t="b">
        <v>0</v>
      </c>
      <c r="C17" t="s">
        <v>62</v>
      </c>
      <c r="D17" t="s">
        <v>265</v>
      </c>
      <c r="E17" s="11">
        <v>707</v>
      </c>
      <c r="F17" s="11">
        <v>285</v>
      </c>
      <c r="G17" s="11">
        <v>425</v>
      </c>
      <c r="H17" s="11">
        <v>0</v>
      </c>
      <c r="I17" s="11">
        <v>0</v>
      </c>
      <c r="J17" s="11">
        <v>0</v>
      </c>
      <c r="K17" s="11" t="s">
        <v>428</v>
      </c>
      <c r="L17" s="11">
        <v>1157</v>
      </c>
      <c r="M17" s="11">
        <v>465</v>
      </c>
      <c r="N17" s="11">
        <v>695</v>
      </c>
      <c r="O17" s="11">
        <v>707</v>
      </c>
      <c r="P17" s="242" t="s">
        <v>427</v>
      </c>
      <c r="Q17" s="11">
        <v>0</v>
      </c>
      <c r="R17" s="11">
        <v>285</v>
      </c>
      <c r="S17" s="242" t="s">
        <v>426</v>
      </c>
    </row>
    <row r="18" spans="1:19" ht="15">
      <c r="A18" t="str">
        <f>CONCATENATE(B18,C18,D18)</f>
        <v>FALSEOtherOver</v>
      </c>
      <c r="B18" t="b">
        <v>0</v>
      </c>
      <c r="C18" t="s">
        <v>62</v>
      </c>
      <c r="D18" t="s">
        <v>264</v>
      </c>
      <c r="E18" s="11">
        <v>504</v>
      </c>
      <c r="F18" s="11">
        <v>200</v>
      </c>
      <c r="G18" s="11">
        <v>305</v>
      </c>
      <c r="H18" s="11">
        <v>981</v>
      </c>
      <c r="I18" s="11">
        <v>589.5</v>
      </c>
      <c r="J18" s="11">
        <v>391.5</v>
      </c>
      <c r="K18" s="11"/>
      <c r="L18" s="11">
        <v>1157</v>
      </c>
      <c r="M18" s="11">
        <v>465</v>
      </c>
      <c r="N18" s="11">
        <v>695</v>
      </c>
      <c r="O18" s="11">
        <v>707</v>
      </c>
      <c r="P18" s="242" t="s">
        <v>427</v>
      </c>
      <c r="Q18" s="11">
        <v>0</v>
      </c>
      <c r="R18" s="11">
        <v>285</v>
      </c>
      <c r="S18" s="242" t="s">
        <v>426</v>
      </c>
    </row>
    <row r="19" spans="1:19" ht="15">
      <c r="A19" t="str">
        <f>CONCATENATE(B19,C19,D19)</f>
        <v>FALSEHighUnder</v>
      </c>
      <c r="B19" t="b">
        <v>0</v>
      </c>
      <c r="C19" t="s">
        <v>10</v>
      </c>
      <c r="D19" t="s">
        <v>265</v>
      </c>
      <c r="E19" s="11">
        <v>961</v>
      </c>
      <c r="F19" s="11">
        <v>385</v>
      </c>
      <c r="G19" s="11">
        <v>575</v>
      </c>
      <c r="H19" s="11">
        <v>0</v>
      </c>
      <c r="I19" s="11">
        <v>0</v>
      </c>
      <c r="J19" s="11">
        <v>0</v>
      </c>
      <c r="K19" s="11" t="s">
        <v>428</v>
      </c>
      <c r="L19" s="11">
        <v>1157</v>
      </c>
      <c r="M19" s="11">
        <v>530</v>
      </c>
      <c r="N19" s="11">
        <v>795</v>
      </c>
      <c r="O19" s="11">
        <v>707</v>
      </c>
      <c r="P19" s="242" t="s">
        <v>427</v>
      </c>
      <c r="Q19" s="11">
        <v>0</v>
      </c>
      <c r="R19" s="11">
        <v>385</v>
      </c>
      <c r="S19" s="242" t="s">
        <v>426</v>
      </c>
    </row>
    <row r="20" spans="1:19" ht="15">
      <c r="A20" t="str">
        <f>CONCATENATE(B20,C20,D20)</f>
        <v>FALSEHighOver</v>
      </c>
      <c r="B20" t="b">
        <v>0</v>
      </c>
      <c r="C20" t="s">
        <v>10</v>
      </c>
      <c r="D20" t="s">
        <v>264</v>
      </c>
      <c r="E20" s="11">
        <v>760</v>
      </c>
      <c r="F20" s="11">
        <v>305</v>
      </c>
      <c r="G20" s="11">
        <v>455</v>
      </c>
      <c r="H20" s="11">
        <v>1026</v>
      </c>
      <c r="I20" s="11">
        <v>616.5</v>
      </c>
      <c r="J20" s="11">
        <v>409.5</v>
      </c>
      <c r="K20" s="11"/>
      <c r="L20" s="11">
        <v>1157</v>
      </c>
      <c r="M20" s="11">
        <v>530</v>
      </c>
      <c r="N20" s="11">
        <v>795</v>
      </c>
      <c r="O20" s="11">
        <v>707</v>
      </c>
      <c r="P20" s="242" t="s">
        <v>427</v>
      </c>
      <c r="Q20" s="11">
        <v>0</v>
      </c>
      <c r="R20" s="11">
        <v>385</v>
      </c>
      <c r="S20" s="242" t="s">
        <v>426</v>
      </c>
    </row>
    <row r="24" spans="2:5" ht="45">
      <c r="B24" s="241" t="s">
        <v>425</v>
      </c>
      <c r="C24" s="241" t="s">
        <v>424</v>
      </c>
      <c r="D24" s="240" t="s">
        <v>423</v>
      </c>
      <c r="E24" s="239"/>
    </row>
    <row r="25" spans="2:5" ht="15">
      <c r="B25" s="238" t="s">
        <v>420</v>
      </c>
      <c r="C25" s="238" t="s">
        <v>420</v>
      </c>
      <c r="D25" s="238" t="s">
        <v>416</v>
      </c>
      <c r="E25" s="238"/>
    </row>
    <row r="26" spans="1:5" ht="15">
      <c r="A26" t="s">
        <v>422</v>
      </c>
      <c r="B26" s="238" t="s">
        <v>420</v>
      </c>
      <c r="C26" s="238" t="s">
        <v>417</v>
      </c>
      <c r="D26" s="238" t="s">
        <v>416</v>
      </c>
      <c r="E26" s="238"/>
    </row>
    <row r="27" spans="1:5" ht="15">
      <c r="A27" t="s">
        <v>421</v>
      </c>
      <c r="B27" s="238" t="s">
        <v>420</v>
      </c>
      <c r="C27" s="238" t="s">
        <v>413</v>
      </c>
      <c r="D27" s="238" t="s">
        <v>416</v>
      </c>
      <c r="E27" s="238"/>
    </row>
    <row r="28" spans="2:5" ht="15">
      <c r="B28" s="238" t="s">
        <v>414</v>
      </c>
      <c r="C28" s="238" t="s">
        <v>420</v>
      </c>
      <c r="D28" s="238" t="s">
        <v>419</v>
      </c>
      <c r="E28" s="238"/>
    </row>
    <row r="29" spans="1:5" ht="15">
      <c r="A29" t="s">
        <v>418</v>
      </c>
      <c r="B29" s="238" t="s">
        <v>414</v>
      </c>
      <c r="C29" s="238" t="s">
        <v>417</v>
      </c>
      <c r="D29" s="238" t="s">
        <v>416</v>
      </c>
      <c r="E29" s="238"/>
    </row>
    <row r="30" spans="1:5" ht="15">
      <c r="A30" t="s">
        <v>415</v>
      </c>
      <c r="B30" s="238" t="s">
        <v>414</v>
      </c>
      <c r="C30" s="238" t="s">
        <v>413</v>
      </c>
      <c r="D30" s="238" t="s">
        <v>412</v>
      </c>
      <c r="E30" s="238"/>
    </row>
  </sheetData>
  <sheetProtection password="CFE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S65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2.7109375" style="0" customWidth="1"/>
    <col min="2" max="2" width="13.7109375" style="0" customWidth="1"/>
    <col min="3" max="3" width="12.421875" style="0" customWidth="1"/>
    <col min="4" max="4" width="15.57421875" style="0" customWidth="1"/>
    <col min="5" max="5" width="10.140625" style="0" bestFit="1" customWidth="1"/>
    <col min="6" max="6" width="12.57421875" style="0" customWidth="1"/>
    <col min="7" max="7" width="16.57421875" style="0" customWidth="1"/>
    <col min="8" max="8" width="3.421875" style="0" customWidth="1"/>
    <col min="9" max="9" width="11.28125" style="0" customWidth="1"/>
    <col min="10" max="10" width="11.57421875" style="0" customWidth="1"/>
    <col min="11" max="11" width="12.57421875" style="0" customWidth="1"/>
    <col min="12" max="12" width="15.8515625" style="0" customWidth="1"/>
    <col min="13" max="13" width="8.57421875" style="0" customWidth="1"/>
    <col min="14" max="14" width="16.57421875" style="0" customWidth="1"/>
    <col min="15" max="15" width="10.140625" style="0" customWidth="1"/>
    <col min="16" max="16" width="8.57421875" style="0" customWidth="1"/>
    <col min="17" max="17" width="16.57421875" style="0" hidden="1" customWidth="1"/>
    <col min="18" max="18" width="12.421875" style="0" hidden="1" customWidth="1"/>
    <col min="19" max="29" width="9.140625" style="0" hidden="1" customWidth="1"/>
    <col min="30" max="30" width="20.7109375" style="0" hidden="1" customWidth="1"/>
    <col min="31" max="40" width="9.140625" style="0" hidden="1" customWidth="1"/>
    <col min="41" max="41" width="9.140625" style="0" customWidth="1"/>
  </cols>
  <sheetData>
    <row r="1" spans="21:40" ht="15.75" thickBot="1">
      <c r="U1">
        <v>1</v>
      </c>
      <c r="V1">
        <v>2</v>
      </c>
      <c r="W1">
        <v>3</v>
      </c>
      <c r="X1">
        <v>4</v>
      </c>
      <c r="Y1">
        <v>5</v>
      </c>
      <c r="Z1">
        <v>6</v>
      </c>
      <c r="AA1">
        <v>7</v>
      </c>
      <c r="AB1">
        <v>8</v>
      </c>
      <c r="AC1">
        <v>9</v>
      </c>
      <c r="AD1">
        <v>1</v>
      </c>
      <c r="AE1">
        <v>2</v>
      </c>
      <c r="AF1">
        <v>3</v>
      </c>
      <c r="AG1">
        <v>4</v>
      </c>
      <c r="AH1">
        <v>5</v>
      </c>
      <c r="AI1">
        <v>6</v>
      </c>
      <c r="AJ1">
        <v>7</v>
      </c>
      <c r="AK1">
        <v>8</v>
      </c>
      <c r="AL1">
        <v>9</v>
      </c>
      <c r="AM1">
        <v>10</v>
      </c>
      <c r="AN1">
        <v>11</v>
      </c>
    </row>
    <row r="2" spans="2:45" ht="15.75" customHeight="1" thickBot="1">
      <c r="B2" s="410" t="s">
        <v>104</v>
      </c>
      <c r="C2" s="411"/>
      <c r="D2" s="411"/>
      <c r="E2" s="411"/>
      <c r="F2" s="411"/>
      <c r="G2" s="412"/>
      <c r="I2" s="418" t="s">
        <v>397</v>
      </c>
      <c r="J2" s="419"/>
      <c r="K2" s="419"/>
      <c r="L2" s="419"/>
      <c r="M2" s="419"/>
      <c r="N2" s="420"/>
      <c r="Q2" t="str">
        <f>CONCATENATE(B4,B5,T6,T5)</f>
        <v>ParentMidlands1Other</v>
      </c>
      <c r="S2" t="e">
        <f>VLOOKUP(Q2,U:AC,T2,0)</f>
        <v>#REF!</v>
      </c>
      <c r="T2" t="e">
        <f>VLOOKUP(Main!F6,Q5:R8,2,0)</f>
        <v>#N/A</v>
      </c>
      <c r="U2" t="s">
        <v>87</v>
      </c>
      <c r="V2" t="s">
        <v>56</v>
      </c>
      <c r="W2" t="s">
        <v>98</v>
      </c>
      <c r="X2" t="s">
        <v>99</v>
      </c>
      <c r="Y2" t="s">
        <v>19</v>
      </c>
      <c r="Z2" t="s">
        <v>101</v>
      </c>
      <c r="AA2" t="s">
        <v>102</v>
      </c>
      <c r="AB2" t="s">
        <v>103</v>
      </c>
      <c r="AC2" t="s">
        <v>373</v>
      </c>
      <c r="AE2" t="s">
        <v>114</v>
      </c>
      <c r="AF2" t="s">
        <v>115</v>
      </c>
      <c r="AG2" t="s">
        <v>10</v>
      </c>
      <c r="AH2" t="s">
        <v>116</v>
      </c>
      <c r="AI2" t="s">
        <v>117</v>
      </c>
      <c r="AJ2" t="s">
        <v>73</v>
      </c>
      <c r="AK2" t="s">
        <v>118</v>
      </c>
      <c r="AL2" t="s">
        <v>119</v>
      </c>
      <c r="AM2" t="s">
        <v>120</v>
      </c>
      <c r="AN2" t="s">
        <v>36</v>
      </c>
      <c r="AQ2" s="75"/>
      <c r="AR2" s="229"/>
      <c r="AS2" s="229"/>
    </row>
    <row r="3" spans="2:45" ht="15" customHeight="1">
      <c r="B3" s="56"/>
      <c r="C3" s="57"/>
      <c r="D3" s="57"/>
      <c r="E3" s="57"/>
      <c r="F3" s="57"/>
      <c r="G3" s="73"/>
      <c r="I3" s="415" t="s">
        <v>387</v>
      </c>
      <c r="J3" s="416"/>
      <c r="K3" s="416" t="s">
        <v>388</v>
      </c>
      <c r="L3" s="416"/>
      <c r="M3" s="416" t="s">
        <v>390</v>
      </c>
      <c r="N3" s="427"/>
      <c r="Q3" s="96">
        <v>41750</v>
      </c>
      <c r="U3" t="str">
        <f>CONCATENATE(V3,W3,X3,Y3)</f>
        <v>ChildMidlands1Other</v>
      </c>
      <c r="V3" s="78" t="s">
        <v>61</v>
      </c>
      <c r="W3" t="s">
        <v>57</v>
      </c>
      <c r="X3" s="79">
        <v>1</v>
      </c>
      <c r="Y3" s="78" t="s">
        <v>62</v>
      </c>
      <c r="Z3" s="80">
        <v>2405</v>
      </c>
      <c r="AA3">
        <v>2165</v>
      </c>
      <c r="AB3" s="80">
        <v>1949</v>
      </c>
      <c r="AC3" s="80">
        <v>1754</v>
      </c>
      <c r="AD3" t="s">
        <v>112</v>
      </c>
      <c r="AE3" s="11" t="e">
        <f>IF($T$2&gt;7,AE11/100*90,AE11)</f>
        <v>#N/A</v>
      </c>
      <c r="AF3" s="11" t="e">
        <f aca="true" t="shared" si="0" ref="AF3:AN3">IF($T$2&gt;7,AF11/100*90,AF11)</f>
        <v>#N/A</v>
      </c>
      <c r="AG3" s="11" t="e">
        <f t="shared" si="0"/>
        <v>#N/A</v>
      </c>
      <c r="AH3" s="11">
        <f>AH11</f>
        <v>0</v>
      </c>
      <c r="AI3" s="11">
        <f>AI11</f>
        <v>0</v>
      </c>
      <c r="AJ3" s="11">
        <f>AJ11</f>
        <v>0</v>
      </c>
      <c r="AK3" s="11" t="e">
        <f t="shared" si="0"/>
        <v>#N/A</v>
      </c>
      <c r="AL3" s="11" t="e">
        <f t="shared" si="0"/>
        <v>#N/A</v>
      </c>
      <c r="AM3" s="11" t="e">
        <f t="shared" si="0"/>
        <v>#N/A</v>
      </c>
      <c r="AN3" s="11" t="e">
        <f t="shared" si="0"/>
        <v>#N/A</v>
      </c>
      <c r="AQ3" s="75"/>
      <c r="AR3" s="75"/>
      <c r="AS3" s="75"/>
    </row>
    <row r="4" spans="2:45" ht="15.75" thickBot="1">
      <c r="B4" s="95" t="s">
        <v>54</v>
      </c>
      <c r="C4" s="41"/>
      <c r="D4" s="41"/>
      <c r="E4" s="41"/>
      <c r="F4" s="52" t="s">
        <v>55</v>
      </c>
      <c r="G4" s="50"/>
      <c r="I4" s="415"/>
      <c r="J4" s="416"/>
      <c r="K4" s="416"/>
      <c r="L4" s="416"/>
      <c r="M4" s="416"/>
      <c r="N4" s="427"/>
      <c r="U4" t="str">
        <f aca="true" t="shared" si="1" ref="U4:U50">CONCATENATE(V4,W4,X4,Y4)</f>
        <v>ChildMidlands2Other</v>
      </c>
      <c r="V4" s="78" t="s">
        <v>61</v>
      </c>
      <c r="W4" t="s">
        <v>57</v>
      </c>
      <c r="X4" s="79">
        <v>2</v>
      </c>
      <c r="Y4" s="78" t="s">
        <v>62</v>
      </c>
      <c r="Z4" s="80">
        <v>3608</v>
      </c>
      <c r="AA4">
        <v>3247</v>
      </c>
      <c r="AB4" s="80">
        <v>2922</v>
      </c>
      <c r="AC4" s="80">
        <v>2630</v>
      </c>
      <c r="AD4" t="s">
        <v>113</v>
      </c>
      <c r="AE4" s="11" t="e">
        <f aca="true" t="shared" si="2" ref="AE4:AN8">IF($T$2&gt;7,AE12/100*90,AE12)</f>
        <v>#N/A</v>
      </c>
      <c r="AF4" s="11" t="e">
        <f t="shared" si="2"/>
        <v>#N/A</v>
      </c>
      <c r="AG4" s="11" t="e">
        <f t="shared" si="2"/>
        <v>#N/A</v>
      </c>
      <c r="AH4" s="11">
        <f aca="true" t="shared" si="3" ref="AH4:AJ8">AH12</f>
        <v>0</v>
      </c>
      <c r="AI4" s="11">
        <f t="shared" si="3"/>
        <v>0</v>
      </c>
      <c r="AJ4" s="11">
        <f t="shared" si="3"/>
        <v>0</v>
      </c>
      <c r="AK4" s="11" t="e">
        <f t="shared" si="2"/>
        <v>#N/A</v>
      </c>
      <c r="AL4" s="11" t="e">
        <f t="shared" si="2"/>
        <v>#N/A</v>
      </c>
      <c r="AM4" s="11" t="e">
        <f t="shared" si="2"/>
        <v>#N/A</v>
      </c>
      <c r="AN4" s="11" t="e">
        <f t="shared" si="2"/>
        <v>#N/A</v>
      </c>
      <c r="AQ4" s="225"/>
      <c r="AR4" s="225"/>
      <c r="AS4" s="225"/>
    </row>
    <row r="5" spans="2:45" ht="15.75" thickBot="1">
      <c r="B5" s="95" t="s">
        <v>57</v>
      </c>
      <c r="C5" s="41"/>
      <c r="D5" s="53" t="s">
        <v>296</v>
      </c>
      <c r="E5" s="54" t="e">
        <f>IF(S7=TRUE,S2/2,S2)</f>
        <v>#REF!</v>
      </c>
      <c r="F5" s="54" t="e">
        <f>E5*0.175</f>
        <v>#REF!</v>
      </c>
      <c r="G5" s="55" t="s">
        <v>63</v>
      </c>
      <c r="I5" s="423" t="s">
        <v>389</v>
      </c>
      <c r="J5" s="417"/>
      <c r="K5" s="417" t="s">
        <v>389</v>
      </c>
      <c r="L5" s="417"/>
      <c r="M5" s="417" t="s">
        <v>389</v>
      </c>
      <c r="N5" s="430"/>
      <c r="O5" s="10"/>
      <c r="P5" s="10"/>
      <c r="Q5" t="s">
        <v>24</v>
      </c>
      <c r="R5">
        <v>6</v>
      </c>
      <c r="S5" s="9" t="b">
        <v>0</v>
      </c>
      <c r="T5" t="str">
        <f>IF(S5=TRUE,"High","Other")</f>
        <v>Other</v>
      </c>
      <c r="U5" t="str">
        <f t="shared" si="1"/>
        <v>ChildMidlands1High</v>
      </c>
      <c r="V5" s="78" t="s">
        <v>61</v>
      </c>
      <c r="W5" t="s">
        <v>57</v>
      </c>
      <c r="X5" s="79">
        <v>1</v>
      </c>
      <c r="Y5" s="78" t="s">
        <v>10</v>
      </c>
      <c r="Z5" s="80">
        <v>3199</v>
      </c>
      <c r="AA5">
        <v>2879</v>
      </c>
      <c r="AB5" s="80">
        <v>2591</v>
      </c>
      <c r="AC5" s="80">
        <v>2332</v>
      </c>
      <c r="AD5" t="s">
        <v>108</v>
      </c>
      <c r="AE5" s="11" t="e">
        <f t="shared" si="2"/>
        <v>#N/A</v>
      </c>
      <c r="AF5" s="11" t="e">
        <f t="shared" si="2"/>
        <v>#N/A</v>
      </c>
      <c r="AG5" s="11" t="e">
        <f t="shared" si="2"/>
        <v>#N/A</v>
      </c>
      <c r="AH5" s="11">
        <f t="shared" si="3"/>
        <v>0</v>
      </c>
      <c r="AI5" s="11">
        <f t="shared" si="3"/>
        <v>0</v>
      </c>
      <c r="AJ5" s="11">
        <f t="shared" si="3"/>
        <v>0</v>
      </c>
      <c r="AK5" s="11" t="e">
        <f t="shared" si="2"/>
        <v>#N/A</v>
      </c>
      <c r="AL5" s="11" t="e">
        <f t="shared" si="2"/>
        <v>#N/A</v>
      </c>
      <c r="AM5" s="11" t="e">
        <f t="shared" si="2"/>
        <v>#N/A</v>
      </c>
      <c r="AN5" s="11" t="e">
        <f t="shared" si="2"/>
        <v>#N/A</v>
      </c>
      <c r="AQ5" s="225"/>
      <c r="AR5" s="225"/>
      <c r="AS5" s="225"/>
    </row>
    <row r="6" spans="2:45" ht="15.75" thickBot="1">
      <c r="B6" s="51" t="s">
        <v>65</v>
      </c>
      <c r="C6" s="41"/>
      <c r="D6" s="41"/>
      <c r="E6" s="41"/>
      <c r="F6" s="54" t="e">
        <f>E5*0.2</f>
        <v>#REF!</v>
      </c>
      <c r="G6" s="55" t="s">
        <v>66</v>
      </c>
      <c r="I6" s="424"/>
      <c r="J6" s="425"/>
      <c r="K6" s="426"/>
      <c r="L6" s="426"/>
      <c r="M6" s="428"/>
      <c r="N6" s="429"/>
      <c r="Q6" t="s">
        <v>289</v>
      </c>
      <c r="R6">
        <v>7</v>
      </c>
      <c r="S6" s="9" t="b">
        <v>0</v>
      </c>
      <c r="T6">
        <f>IF(S6=TRUE,2,1)</f>
        <v>1</v>
      </c>
      <c r="U6" t="str">
        <f t="shared" si="1"/>
        <v>ChildMidlands2High</v>
      </c>
      <c r="V6" s="78" t="s">
        <v>61</v>
      </c>
      <c r="W6" t="s">
        <v>57</v>
      </c>
      <c r="X6" s="79">
        <v>2</v>
      </c>
      <c r="Y6" s="78" t="s">
        <v>10</v>
      </c>
      <c r="Z6" s="80">
        <v>4799</v>
      </c>
      <c r="AA6">
        <v>4319</v>
      </c>
      <c r="AB6" s="80">
        <v>3887</v>
      </c>
      <c r="AC6" s="80">
        <v>3498</v>
      </c>
      <c r="AD6" t="s">
        <v>109</v>
      </c>
      <c r="AE6" s="11" t="e">
        <f t="shared" si="2"/>
        <v>#N/A</v>
      </c>
      <c r="AF6" s="11" t="e">
        <f t="shared" si="2"/>
        <v>#N/A</v>
      </c>
      <c r="AG6" s="11" t="e">
        <f t="shared" si="2"/>
        <v>#N/A</v>
      </c>
      <c r="AH6" s="11">
        <f t="shared" si="3"/>
        <v>0</v>
      </c>
      <c r="AI6" s="11">
        <f t="shared" si="3"/>
        <v>0</v>
      </c>
      <c r="AJ6" s="11">
        <f t="shared" si="3"/>
        <v>0</v>
      </c>
      <c r="AK6" s="11" t="e">
        <f t="shared" si="2"/>
        <v>#N/A</v>
      </c>
      <c r="AL6" s="11" t="e">
        <f t="shared" si="2"/>
        <v>#N/A</v>
      </c>
      <c r="AM6" s="11" t="e">
        <f t="shared" si="2"/>
        <v>#N/A</v>
      </c>
      <c r="AN6" s="11" t="e">
        <f t="shared" si="2"/>
        <v>#N/A</v>
      </c>
      <c r="AQ6" s="75"/>
      <c r="AR6" s="75"/>
      <c r="AS6" s="75"/>
    </row>
    <row r="7" spans="2:45" ht="15" customHeight="1">
      <c r="B7" s="51" t="s">
        <v>21</v>
      </c>
      <c r="C7" s="41"/>
      <c r="D7" s="41"/>
      <c r="E7" s="41"/>
      <c r="F7" s="41"/>
      <c r="G7" s="50"/>
      <c r="I7" s="413" t="s">
        <v>393</v>
      </c>
      <c r="J7" s="414"/>
      <c r="K7" s="414"/>
      <c r="L7" s="421">
        <f>IF(K6="","",(K6-I6-M6)*1440)</f>
      </c>
      <c r="M7" s="421"/>
      <c r="N7" s="422"/>
      <c r="Q7" t="s">
        <v>353</v>
      </c>
      <c r="R7">
        <v>8</v>
      </c>
      <c r="S7" s="9" t="b">
        <v>0</v>
      </c>
      <c r="U7" t="str">
        <f t="shared" si="1"/>
        <v>Joined PartyMidlands1Other</v>
      </c>
      <c r="V7" s="78" t="s">
        <v>64</v>
      </c>
      <c r="W7" t="s">
        <v>57</v>
      </c>
      <c r="X7" s="79">
        <v>1</v>
      </c>
      <c r="Y7" s="78" t="s">
        <v>62</v>
      </c>
      <c r="Z7" s="80">
        <v>1276</v>
      </c>
      <c r="AA7">
        <v>1148</v>
      </c>
      <c r="AB7" s="80">
        <v>1033</v>
      </c>
      <c r="AC7" s="80">
        <v>930</v>
      </c>
      <c r="AD7" t="s">
        <v>110</v>
      </c>
      <c r="AE7" s="11" t="e">
        <f t="shared" si="2"/>
        <v>#N/A</v>
      </c>
      <c r="AF7" s="11" t="e">
        <f t="shared" si="2"/>
        <v>#N/A</v>
      </c>
      <c r="AG7" s="11" t="e">
        <f t="shared" si="2"/>
        <v>#N/A</v>
      </c>
      <c r="AH7" s="11">
        <f t="shared" si="3"/>
        <v>0</v>
      </c>
      <c r="AI7" s="11">
        <f t="shared" si="3"/>
        <v>0</v>
      </c>
      <c r="AJ7" s="11">
        <f t="shared" si="3"/>
        <v>0</v>
      </c>
      <c r="AK7" s="11" t="e">
        <f t="shared" si="2"/>
        <v>#N/A</v>
      </c>
      <c r="AL7" s="11" t="e">
        <f t="shared" si="2"/>
        <v>#N/A</v>
      </c>
      <c r="AM7" s="11" t="e">
        <f t="shared" si="2"/>
        <v>#N/A</v>
      </c>
      <c r="AN7" s="11" t="e">
        <f t="shared" si="2"/>
        <v>#N/A</v>
      </c>
      <c r="AQ7" s="75"/>
      <c r="AR7" s="75"/>
      <c r="AS7" s="75"/>
    </row>
    <row r="8" spans="2:45" ht="24.75" customHeight="1">
      <c r="B8" s="51"/>
      <c r="C8" s="41"/>
      <c r="D8" s="158" t="s">
        <v>287</v>
      </c>
      <c r="E8" s="159" t="e">
        <f>S2*2</f>
        <v>#REF!</v>
      </c>
      <c r="F8" s="41"/>
      <c r="G8" s="50"/>
      <c r="I8" s="413" t="s">
        <v>391</v>
      </c>
      <c r="J8" s="414"/>
      <c r="K8" s="414"/>
      <c r="L8" s="421">
        <f>IF(L7="","",IF(L7&gt;60,"Interim Hearing Unit 2","Interim Hearing Unit 1"))</f>
      </c>
      <c r="M8" s="421"/>
      <c r="N8" s="422"/>
      <c r="Q8" t="s">
        <v>355</v>
      </c>
      <c r="R8">
        <v>9</v>
      </c>
      <c r="U8" t="str">
        <f t="shared" si="1"/>
        <v>Joined PartyMidlands1High</v>
      </c>
      <c r="V8" s="78" t="s">
        <v>64</v>
      </c>
      <c r="W8" t="s">
        <v>57</v>
      </c>
      <c r="X8" s="79">
        <v>1</v>
      </c>
      <c r="Y8" s="78" t="s">
        <v>10</v>
      </c>
      <c r="Z8" s="80">
        <v>1697</v>
      </c>
      <c r="AA8">
        <v>1527</v>
      </c>
      <c r="AB8" s="80">
        <v>1374</v>
      </c>
      <c r="AC8" s="80">
        <v>1237</v>
      </c>
      <c r="AD8" t="s">
        <v>111</v>
      </c>
      <c r="AE8" s="11" t="e">
        <f t="shared" si="2"/>
        <v>#N/A</v>
      </c>
      <c r="AF8" s="11" t="e">
        <f t="shared" si="2"/>
        <v>#N/A</v>
      </c>
      <c r="AG8" s="11" t="e">
        <f t="shared" si="2"/>
        <v>#N/A</v>
      </c>
      <c r="AH8" s="11">
        <f t="shared" si="3"/>
        <v>0</v>
      </c>
      <c r="AI8" s="11">
        <f t="shared" si="3"/>
        <v>0</v>
      </c>
      <c r="AJ8" s="11">
        <f t="shared" si="3"/>
        <v>0</v>
      </c>
      <c r="AK8" s="11" t="e">
        <f t="shared" si="2"/>
        <v>#N/A</v>
      </c>
      <c r="AL8" s="11" t="e">
        <f t="shared" si="2"/>
        <v>#N/A</v>
      </c>
      <c r="AM8" s="11" t="e">
        <f t="shared" si="2"/>
        <v>#N/A</v>
      </c>
      <c r="AN8" s="11" t="e">
        <f t="shared" si="2"/>
        <v>#N/A</v>
      </c>
      <c r="AQ8" s="226"/>
      <c r="AR8" s="226"/>
      <c r="AS8" s="226"/>
    </row>
    <row r="9" spans="2:45" ht="14.25" customHeight="1">
      <c r="B9" s="51"/>
      <c r="C9" s="41"/>
      <c r="D9" s="41"/>
      <c r="E9" s="41"/>
      <c r="F9" s="41"/>
      <c r="G9" s="50"/>
      <c r="I9" s="413" t="s">
        <v>392</v>
      </c>
      <c r="J9" s="414"/>
      <c r="K9" s="414"/>
      <c r="L9" s="421">
        <f>IF(L7="","",IF(L7&gt;600,5,IF(L7&gt;450,4,IF(L7&gt;300,3,IF(L7&gt;150,2,1)))))</f>
      </c>
      <c r="M9" s="421"/>
      <c r="N9" s="422"/>
      <c r="S9" s="78" t="s">
        <v>54</v>
      </c>
      <c r="T9" t="s">
        <v>57</v>
      </c>
      <c r="U9" t="str">
        <f t="shared" si="1"/>
        <v>ParentMidlands1Other</v>
      </c>
      <c r="V9" s="78" t="s">
        <v>54</v>
      </c>
      <c r="W9" t="s">
        <v>57</v>
      </c>
      <c r="X9" s="79">
        <v>1</v>
      </c>
      <c r="Y9" s="78" t="s">
        <v>62</v>
      </c>
      <c r="Z9" s="80">
        <v>3156</v>
      </c>
      <c r="AA9">
        <v>2840</v>
      </c>
      <c r="AB9" s="80">
        <v>2556</v>
      </c>
      <c r="AC9" s="80">
        <v>2300</v>
      </c>
      <c r="AD9" s="76"/>
      <c r="AE9" s="76"/>
      <c r="AQ9" s="75"/>
      <c r="AR9" s="227"/>
      <c r="AS9" s="75"/>
    </row>
    <row r="10" spans="2:45" ht="15.75" customHeight="1" thickBot="1">
      <c r="B10" s="51"/>
      <c r="C10" s="41"/>
      <c r="D10" s="81" t="s">
        <v>100</v>
      </c>
      <c r="E10" s="41"/>
      <c r="F10" s="41"/>
      <c r="G10" s="50"/>
      <c r="I10" s="219"/>
      <c r="J10" s="230"/>
      <c r="K10" s="230"/>
      <c r="L10" s="230"/>
      <c r="M10" s="230"/>
      <c r="N10" s="231"/>
      <c r="S10" s="78" t="s">
        <v>61</v>
      </c>
      <c r="T10" t="s">
        <v>58</v>
      </c>
      <c r="U10" t="str">
        <f t="shared" si="1"/>
        <v>ParentMidlands2Other</v>
      </c>
      <c r="V10" s="78" t="s">
        <v>54</v>
      </c>
      <c r="W10" t="s">
        <v>57</v>
      </c>
      <c r="X10" s="79">
        <v>2</v>
      </c>
      <c r="Y10" s="78" t="s">
        <v>62</v>
      </c>
      <c r="Z10" s="80">
        <v>3945</v>
      </c>
      <c r="AA10">
        <v>3551</v>
      </c>
      <c r="AB10" s="80">
        <v>3196</v>
      </c>
      <c r="AC10" s="80">
        <v>2876</v>
      </c>
      <c r="AE10" t="s">
        <v>114</v>
      </c>
      <c r="AF10" t="s">
        <v>115</v>
      </c>
      <c r="AG10" t="s">
        <v>10</v>
      </c>
      <c r="AH10" t="s">
        <v>116</v>
      </c>
      <c r="AI10" t="s">
        <v>117</v>
      </c>
      <c r="AJ10" t="s">
        <v>73</v>
      </c>
      <c r="AK10" t="s">
        <v>118</v>
      </c>
      <c r="AL10" t="s">
        <v>119</v>
      </c>
      <c r="AM10" t="s">
        <v>120</v>
      </c>
      <c r="AN10" t="s">
        <v>36</v>
      </c>
      <c r="AQ10" s="75"/>
      <c r="AR10" s="226"/>
      <c r="AS10" s="226"/>
    </row>
    <row r="11" spans="2:45" ht="15.75" thickBot="1">
      <c r="B11" s="61"/>
      <c r="C11" s="64"/>
      <c r="D11" s="64"/>
      <c r="E11" s="64"/>
      <c r="F11" s="64"/>
      <c r="G11" s="74"/>
      <c r="Q11" t="s">
        <v>128</v>
      </c>
      <c r="S11" s="78" t="s">
        <v>64</v>
      </c>
      <c r="T11" t="s">
        <v>59</v>
      </c>
      <c r="U11" t="str">
        <f t="shared" si="1"/>
        <v>ParentMidlands1High</v>
      </c>
      <c r="V11" s="78" t="s">
        <v>54</v>
      </c>
      <c r="W11" t="s">
        <v>57</v>
      </c>
      <c r="X11" s="79">
        <v>1</v>
      </c>
      <c r="Y11" s="78" t="s">
        <v>10</v>
      </c>
      <c r="Z11" s="80">
        <v>4197</v>
      </c>
      <c r="AA11">
        <v>3777</v>
      </c>
      <c r="AB11" s="80">
        <v>3399</v>
      </c>
      <c r="AC11" s="80">
        <v>3059</v>
      </c>
      <c r="AE11">
        <v>96.35</v>
      </c>
      <c r="AF11">
        <v>106</v>
      </c>
      <c r="AG11">
        <v>127.2</v>
      </c>
      <c r="AH11" s="201">
        <f>IF($T$26=TRUE,25,0)</f>
        <v>0</v>
      </c>
      <c r="AI11" s="201">
        <f>IF($T$27=TRUE,25,0)</f>
        <v>0</v>
      </c>
      <c r="AJ11" s="201">
        <f>IF($T$28=TRUE,25,0)</f>
        <v>0</v>
      </c>
      <c r="AK11">
        <v>66</v>
      </c>
      <c r="AL11">
        <v>99</v>
      </c>
      <c r="AM11">
        <v>0</v>
      </c>
      <c r="AN11">
        <v>35.6</v>
      </c>
      <c r="AQ11" s="75"/>
      <c r="AR11" s="75"/>
      <c r="AS11" s="228"/>
    </row>
    <row r="12" spans="1:45" ht="15.75" thickBot="1">
      <c r="A12" s="75"/>
      <c r="B12" s="75"/>
      <c r="C12" s="75"/>
      <c r="D12" s="75"/>
      <c r="E12" s="75"/>
      <c r="F12" s="75"/>
      <c r="G12" s="75"/>
      <c r="H12" s="75"/>
      <c r="I12" s="401" t="s">
        <v>135</v>
      </c>
      <c r="J12" s="402"/>
      <c r="K12" s="402"/>
      <c r="L12" s="402"/>
      <c r="M12" s="402"/>
      <c r="N12" s="403"/>
      <c r="Q12" s="9" t="b">
        <v>0</v>
      </c>
      <c r="T12" t="s">
        <v>60</v>
      </c>
      <c r="U12" t="str">
        <f t="shared" si="1"/>
        <v>ParentMidlands2High</v>
      </c>
      <c r="V12" s="78" t="s">
        <v>54</v>
      </c>
      <c r="W12" t="s">
        <v>57</v>
      </c>
      <c r="X12" s="79">
        <v>2</v>
      </c>
      <c r="Y12" s="78" t="s">
        <v>10</v>
      </c>
      <c r="Z12" s="80">
        <v>5246</v>
      </c>
      <c r="AA12">
        <v>4721</v>
      </c>
      <c r="AB12" s="80">
        <v>4249</v>
      </c>
      <c r="AC12" s="80">
        <v>3824</v>
      </c>
      <c r="AE12">
        <v>240.9</v>
      </c>
      <c r="AF12">
        <v>264.95</v>
      </c>
      <c r="AG12">
        <v>317.95</v>
      </c>
      <c r="AH12" s="201">
        <f>IF($T$26=TRUE,25,0)</f>
        <v>0</v>
      </c>
      <c r="AI12" s="201">
        <f>IF($T$27=TRUE,25,0)</f>
        <v>0</v>
      </c>
      <c r="AJ12" s="201">
        <f>IF($T$28=TRUE,25,0)</f>
        <v>0</v>
      </c>
      <c r="AK12">
        <v>66</v>
      </c>
      <c r="AL12">
        <v>99</v>
      </c>
      <c r="AM12">
        <v>0</v>
      </c>
      <c r="AN12">
        <v>35.6</v>
      </c>
      <c r="AQ12" s="75"/>
      <c r="AR12" s="226"/>
      <c r="AS12" s="226"/>
    </row>
    <row r="13" spans="2:45" ht="15.75" thickBot="1">
      <c r="B13" s="410" t="s">
        <v>107</v>
      </c>
      <c r="C13" s="411"/>
      <c r="D13" s="411"/>
      <c r="E13" s="411"/>
      <c r="F13" s="411"/>
      <c r="G13" s="412"/>
      <c r="I13" s="404"/>
      <c r="J13" s="405"/>
      <c r="K13" s="405"/>
      <c r="L13" s="405"/>
      <c r="M13" s="405"/>
      <c r="N13" s="406"/>
      <c r="U13" t="str">
        <f t="shared" si="1"/>
        <v>ChildNorth1Other</v>
      </c>
      <c r="V13" s="78" t="s">
        <v>61</v>
      </c>
      <c r="W13" s="77" t="s">
        <v>58</v>
      </c>
      <c r="X13" s="79">
        <v>1</v>
      </c>
      <c r="Y13" s="78" t="s">
        <v>62</v>
      </c>
      <c r="Z13" s="80">
        <v>1972</v>
      </c>
      <c r="AA13">
        <v>1775</v>
      </c>
      <c r="AB13" s="80">
        <v>1598</v>
      </c>
      <c r="AC13" s="80">
        <v>1438</v>
      </c>
      <c r="AE13" s="76">
        <v>142.4</v>
      </c>
      <c r="AF13">
        <v>156.65</v>
      </c>
      <c r="AG13">
        <v>188</v>
      </c>
      <c r="AH13" s="201">
        <f>IF($T$26=TRUE,25,0)</f>
        <v>0</v>
      </c>
      <c r="AI13" s="201">
        <f>IF($T$27=TRUE,25,0)</f>
        <v>0</v>
      </c>
      <c r="AJ13" s="201">
        <f>IF($T$28=TRUE,25,0)</f>
        <v>0</v>
      </c>
      <c r="AK13">
        <v>0</v>
      </c>
      <c r="AL13">
        <v>0</v>
      </c>
      <c r="AM13">
        <v>0</v>
      </c>
      <c r="AN13">
        <v>35.6</v>
      </c>
      <c r="AQ13" s="75"/>
      <c r="AR13" s="75"/>
      <c r="AS13" s="228"/>
    </row>
    <row r="14" spans="2:45" ht="15.75" thickBot="1">
      <c r="B14" s="56"/>
      <c r="C14" s="57" t="s">
        <v>29</v>
      </c>
      <c r="D14" s="57" t="s">
        <v>30</v>
      </c>
      <c r="E14" s="132" t="s">
        <v>31</v>
      </c>
      <c r="F14" s="133" t="s">
        <v>32</v>
      </c>
      <c r="G14" s="58"/>
      <c r="I14" s="56"/>
      <c r="J14" s="57"/>
      <c r="K14" s="57"/>
      <c r="L14" s="57"/>
      <c r="M14" s="57"/>
      <c r="N14" s="73"/>
      <c r="R14" t="s">
        <v>129</v>
      </c>
      <c r="U14" t="str">
        <f t="shared" si="1"/>
        <v>ChildNorth2Other</v>
      </c>
      <c r="V14" s="78" t="s">
        <v>61</v>
      </c>
      <c r="W14" s="77" t="s">
        <v>58</v>
      </c>
      <c r="X14" s="79">
        <v>2</v>
      </c>
      <c r="Y14" s="78" t="s">
        <v>62</v>
      </c>
      <c r="Z14" s="80">
        <v>2958</v>
      </c>
      <c r="AA14">
        <v>2662</v>
      </c>
      <c r="AB14" s="80">
        <v>2396</v>
      </c>
      <c r="AC14" s="80">
        <v>2156</v>
      </c>
      <c r="AE14" s="76">
        <v>562.5</v>
      </c>
      <c r="AF14">
        <v>618.75</v>
      </c>
      <c r="AG14">
        <v>742.5</v>
      </c>
      <c r="AH14" s="201">
        <f>IF($T$26=TRUE,25,0)</f>
        <v>0</v>
      </c>
      <c r="AI14" s="201">
        <f>IF($T$27=TRUE,25,0)</f>
        <v>0</v>
      </c>
      <c r="AJ14" s="201">
        <f>IF($T$28=TRUE,25,0)</f>
        <v>0</v>
      </c>
      <c r="AK14">
        <v>177</v>
      </c>
      <c r="AL14">
        <v>266</v>
      </c>
      <c r="AM14">
        <v>354</v>
      </c>
      <c r="AN14">
        <v>35.6</v>
      </c>
      <c r="AQ14" s="75"/>
      <c r="AR14" s="226"/>
      <c r="AS14" s="226"/>
    </row>
    <row r="15" spans="2:40" ht="15">
      <c r="B15" s="59" t="s">
        <v>0</v>
      </c>
      <c r="C15" s="12"/>
      <c r="D15" s="13"/>
      <c r="E15" s="43" t="e">
        <f>IF(Q12=TRUE,(F15/60*((C15*60)+D15))*1.15,F15/60*((C15*60)+D15))</f>
        <v>#N/A</v>
      </c>
      <c r="F15" s="41" t="e">
        <f>IF($T$2=6,Main!D16,0)</f>
        <v>#N/A</v>
      </c>
      <c r="G15" s="72"/>
      <c r="I15" s="390" t="s">
        <v>374</v>
      </c>
      <c r="J15" s="391"/>
      <c r="K15" s="397"/>
      <c r="L15" s="398"/>
      <c r="M15" s="41"/>
      <c r="N15" s="50"/>
      <c r="Q15" t="s">
        <v>112</v>
      </c>
      <c r="R15" s="87">
        <f aca="true" t="shared" si="4" ref="R15:R20">SUM(AH3:AJ3)</f>
        <v>0</v>
      </c>
      <c r="S15" s="11" t="e">
        <f aca="true" t="shared" si="5" ref="S15:S20">$I$26*R15/100</f>
        <v>#N/A</v>
      </c>
      <c r="U15" t="str">
        <f t="shared" si="1"/>
        <v>ChildNorth1High</v>
      </c>
      <c r="V15" s="78" t="s">
        <v>61</v>
      </c>
      <c r="W15" s="77" t="s">
        <v>58</v>
      </c>
      <c r="X15" s="79">
        <v>1</v>
      </c>
      <c r="Y15" s="78" t="s">
        <v>10</v>
      </c>
      <c r="Z15" s="80">
        <v>2623</v>
      </c>
      <c r="AA15">
        <v>2361</v>
      </c>
      <c r="AB15" s="80">
        <v>2125</v>
      </c>
      <c r="AC15" s="80">
        <v>1913</v>
      </c>
      <c r="AE15" s="76">
        <v>141.9</v>
      </c>
      <c r="AF15">
        <v>141.9</v>
      </c>
      <c r="AG15">
        <v>141.9</v>
      </c>
      <c r="AH15" s="201">
        <v>0</v>
      </c>
      <c r="AI15" s="201">
        <v>0</v>
      </c>
      <c r="AJ15" s="201">
        <v>0</v>
      </c>
      <c r="AK15">
        <v>0</v>
      </c>
      <c r="AL15">
        <v>0</v>
      </c>
      <c r="AM15">
        <v>0</v>
      </c>
      <c r="AN15">
        <v>35.6</v>
      </c>
    </row>
    <row r="16" spans="2:40" ht="15">
      <c r="B16" s="59" t="s">
        <v>34</v>
      </c>
      <c r="C16" s="14"/>
      <c r="D16" s="15"/>
      <c r="E16" s="43" t="e">
        <f>IF(Q12=TRUE,(F16/60*((C16*60)+D16))*1.15,F16/60*((C16*60)+D16))</f>
        <v>#N/A</v>
      </c>
      <c r="F16" s="41" t="e">
        <f>IF($T$2=6,Main!D17,0)</f>
        <v>#N/A</v>
      </c>
      <c r="G16" s="72"/>
      <c r="I16" s="51"/>
      <c r="J16" s="41"/>
      <c r="K16" s="41"/>
      <c r="L16" s="41"/>
      <c r="M16" s="41"/>
      <c r="N16" s="50"/>
      <c r="Q16" t="s">
        <v>113</v>
      </c>
      <c r="R16" s="87">
        <f t="shared" si="4"/>
        <v>0</v>
      </c>
      <c r="S16" s="11" t="e">
        <f t="shared" si="5"/>
        <v>#N/A</v>
      </c>
      <c r="U16" t="str">
        <f t="shared" si="1"/>
        <v>ChildNorth2High</v>
      </c>
      <c r="V16" s="78" t="s">
        <v>61</v>
      </c>
      <c r="W16" s="77" t="s">
        <v>58</v>
      </c>
      <c r="X16" s="79">
        <v>2</v>
      </c>
      <c r="Y16" s="78" t="s">
        <v>10</v>
      </c>
      <c r="Z16" s="80">
        <v>3935</v>
      </c>
      <c r="AA16">
        <v>3542</v>
      </c>
      <c r="AB16" s="80">
        <v>3188</v>
      </c>
      <c r="AC16" s="80">
        <v>2869</v>
      </c>
      <c r="AD16" s="76"/>
      <c r="AE16" s="76">
        <v>117.4</v>
      </c>
      <c r="AF16">
        <v>117.4</v>
      </c>
      <c r="AG16">
        <v>117.4</v>
      </c>
      <c r="AH16" s="201">
        <v>0</v>
      </c>
      <c r="AI16" s="201">
        <v>0</v>
      </c>
      <c r="AJ16" s="201">
        <v>0</v>
      </c>
      <c r="AK16">
        <v>0</v>
      </c>
      <c r="AL16">
        <v>0</v>
      </c>
      <c r="AM16">
        <v>0</v>
      </c>
      <c r="AN16">
        <v>0</v>
      </c>
    </row>
    <row r="17" spans="2:31" ht="15">
      <c r="B17" s="59" t="s">
        <v>35</v>
      </c>
      <c r="C17" s="14"/>
      <c r="D17" s="15"/>
      <c r="E17" s="43" t="e">
        <f>IF(Q12=TRUE,(F17/60*((C17*60)+D17))*1.15,F17/60*((C17*60)+D17))</f>
        <v>#N/A</v>
      </c>
      <c r="F17" s="41" t="e">
        <f>IF($T$2=6,Main!D18,0)</f>
        <v>#N/A</v>
      </c>
      <c r="G17" s="72"/>
      <c r="I17" s="390" t="s">
        <v>121</v>
      </c>
      <c r="J17" s="391"/>
      <c r="K17" s="391" t="s">
        <v>375</v>
      </c>
      <c r="L17" s="391"/>
      <c r="M17" s="391" t="s">
        <v>122</v>
      </c>
      <c r="N17" s="409"/>
      <c r="Q17" t="s">
        <v>108</v>
      </c>
      <c r="R17" s="87">
        <f t="shared" si="4"/>
        <v>0</v>
      </c>
      <c r="S17" s="11" t="e">
        <f t="shared" si="5"/>
        <v>#N/A</v>
      </c>
      <c r="U17" t="str">
        <f t="shared" si="1"/>
        <v>Joined PartyNorth1Other</v>
      </c>
      <c r="V17" s="78" t="s">
        <v>64</v>
      </c>
      <c r="W17" s="77" t="s">
        <v>58</v>
      </c>
      <c r="X17" s="79">
        <v>1</v>
      </c>
      <c r="Y17" s="78" t="s">
        <v>62</v>
      </c>
      <c r="Z17" s="80">
        <v>986</v>
      </c>
      <c r="AA17">
        <v>887</v>
      </c>
      <c r="AB17" s="80">
        <v>798</v>
      </c>
      <c r="AC17" s="80">
        <v>718</v>
      </c>
      <c r="AD17" s="76"/>
      <c r="AE17" s="76"/>
    </row>
    <row r="18" spans="2:30" ht="15">
      <c r="B18" s="59" t="s">
        <v>36</v>
      </c>
      <c r="C18" s="14"/>
      <c r="D18" s="15"/>
      <c r="E18" s="43" t="e">
        <f>IF(Q12=TRUE,(F18/60*((C18*60)+D18))*1.15,F18/60*((C18*60)+D18))</f>
        <v>#N/A</v>
      </c>
      <c r="F18" s="41" t="e">
        <f>IF($T$2=6,Main!D20,0)</f>
        <v>#N/A</v>
      </c>
      <c r="G18" s="72"/>
      <c r="I18" s="393"/>
      <c r="J18" s="394"/>
      <c r="K18" s="399"/>
      <c r="L18" s="394"/>
      <c r="M18" s="399"/>
      <c r="N18" s="400"/>
      <c r="Q18" t="s">
        <v>109</v>
      </c>
      <c r="R18" s="87">
        <f t="shared" si="4"/>
        <v>0</v>
      </c>
      <c r="S18" s="11" t="e">
        <f t="shared" si="5"/>
        <v>#N/A</v>
      </c>
      <c r="U18" t="str">
        <f t="shared" si="1"/>
        <v>Joined PartyNorth1High</v>
      </c>
      <c r="V18" s="78" t="s">
        <v>64</v>
      </c>
      <c r="W18" s="77" t="s">
        <v>58</v>
      </c>
      <c r="X18" s="79">
        <v>1</v>
      </c>
      <c r="Y18" s="78" t="s">
        <v>10</v>
      </c>
      <c r="Z18" s="80">
        <v>1311</v>
      </c>
      <c r="AA18">
        <v>1180</v>
      </c>
      <c r="AB18" s="80">
        <v>1062</v>
      </c>
      <c r="AC18" s="80">
        <v>956</v>
      </c>
      <c r="AD18" s="76"/>
    </row>
    <row r="19" spans="2:31" ht="15.75" thickBot="1">
      <c r="B19" s="59" t="s">
        <v>37</v>
      </c>
      <c r="C19" s="16"/>
      <c r="D19" s="17"/>
      <c r="E19" s="43" t="e">
        <f>IF(Q12=TRUE,(F19/60*((C19*60)+D19))*1.15,F19/60*((C19*60)+D19))</f>
        <v>#N/A</v>
      </c>
      <c r="F19" s="41" t="e">
        <f>IF($T$2=6,Main!D21,0)</f>
        <v>#N/A</v>
      </c>
      <c r="G19" s="72"/>
      <c r="I19" s="51"/>
      <c r="J19" s="41"/>
      <c r="K19" s="41"/>
      <c r="L19" s="41"/>
      <c r="M19" s="41"/>
      <c r="N19" s="50"/>
      <c r="Q19" t="s">
        <v>110</v>
      </c>
      <c r="R19" s="87">
        <f t="shared" si="4"/>
        <v>0</v>
      </c>
      <c r="S19" s="11" t="e">
        <f t="shared" si="5"/>
        <v>#N/A</v>
      </c>
      <c r="U19" t="str">
        <f t="shared" si="1"/>
        <v>ParentNorth1Other</v>
      </c>
      <c r="V19" s="78" t="s">
        <v>54</v>
      </c>
      <c r="W19" s="77" t="s">
        <v>58</v>
      </c>
      <c r="X19" s="79">
        <v>1</v>
      </c>
      <c r="Y19" s="78" t="s">
        <v>62</v>
      </c>
      <c r="Z19" s="80">
        <v>2621</v>
      </c>
      <c r="AA19">
        <v>2359</v>
      </c>
      <c r="AB19" s="80">
        <v>2123</v>
      </c>
      <c r="AC19" s="80">
        <v>1911</v>
      </c>
      <c r="AD19" s="76"/>
      <c r="AE19" s="76"/>
    </row>
    <row r="20" spans="2:31" ht="15.75" thickBot="1">
      <c r="B20" s="60"/>
      <c r="C20" s="62"/>
      <c r="D20" s="62"/>
      <c r="E20" s="43"/>
      <c r="F20" s="41"/>
      <c r="G20" s="50"/>
      <c r="I20" s="390" t="s">
        <v>123</v>
      </c>
      <c r="J20" s="391"/>
      <c r="K20" s="41"/>
      <c r="L20" s="407" t="s">
        <v>403</v>
      </c>
      <c r="M20" s="408"/>
      <c r="N20" s="234"/>
      <c r="Q20" t="s">
        <v>111</v>
      </c>
      <c r="R20" s="87">
        <f t="shared" si="4"/>
        <v>0</v>
      </c>
      <c r="S20" s="11" t="e">
        <f t="shared" si="5"/>
        <v>#N/A</v>
      </c>
      <c r="U20" t="str">
        <f t="shared" si="1"/>
        <v>ParentNorth2Other</v>
      </c>
      <c r="V20" s="78" t="s">
        <v>54</v>
      </c>
      <c r="W20" s="77" t="s">
        <v>58</v>
      </c>
      <c r="X20" s="79">
        <v>2</v>
      </c>
      <c r="Y20" s="78" t="s">
        <v>62</v>
      </c>
      <c r="Z20" s="80">
        <v>3276</v>
      </c>
      <c r="AA20">
        <v>2948</v>
      </c>
      <c r="AB20" s="80">
        <v>2653</v>
      </c>
      <c r="AC20" s="80">
        <v>2388</v>
      </c>
      <c r="AD20" s="76"/>
      <c r="AE20" s="76"/>
    </row>
    <row r="21" spans="2:30" ht="15.75" thickBot="1">
      <c r="B21" s="60" t="s">
        <v>62</v>
      </c>
      <c r="C21" s="41"/>
      <c r="D21" s="18"/>
      <c r="E21" s="71">
        <f>D21</f>
        <v>0</v>
      </c>
      <c r="F21" s="41"/>
      <c r="G21" s="50"/>
      <c r="I21" s="390" t="s">
        <v>116</v>
      </c>
      <c r="J21" s="391"/>
      <c r="K21" s="41"/>
      <c r="L21" s="41"/>
      <c r="M21" s="41"/>
      <c r="N21" s="86">
        <f>IF(N20=0,0,VLOOKUP(I18,AD2:AN8,S31,0))</f>
        <v>0</v>
      </c>
      <c r="U21" t="str">
        <f t="shared" si="1"/>
        <v>ParentNorth1High</v>
      </c>
      <c r="V21" s="78" t="s">
        <v>54</v>
      </c>
      <c r="W21" s="77" t="s">
        <v>58</v>
      </c>
      <c r="X21" s="79">
        <v>1</v>
      </c>
      <c r="Y21" s="78" t="s">
        <v>10</v>
      </c>
      <c r="Z21" s="80">
        <v>3486</v>
      </c>
      <c r="AA21">
        <v>3137</v>
      </c>
      <c r="AB21" s="80">
        <v>2823</v>
      </c>
      <c r="AC21" s="80">
        <v>2541</v>
      </c>
      <c r="AD21" s="76"/>
    </row>
    <row r="22" spans="2:31" ht="16.5" customHeight="1">
      <c r="B22" s="51"/>
      <c r="C22" s="41"/>
      <c r="D22" s="52" t="s">
        <v>55</v>
      </c>
      <c r="E22" s="41"/>
      <c r="F22" s="41"/>
      <c r="G22" s="65" t="s">
        <v>68</v>
      </c>
      <c r="I22" s="390" t="s">
        <v>117</v>
      </c>
      <c r="J22" s="391"/>
      <c r="K22" s="41"/>
      <c r="L22" s="235"/>
      <c r="M22" s="236" t="s">
        <v>402</v>
      </c>
      <c r="N22" s="208"/>
      <c r="Q22" t="str">
        <f aca="true" t="shared" si="6" ref="Q22:Q29">IF($K$15&gt;$Q$3,Q39,Q47)</f>
        <v>FPC</v>
      </c>
      <c r="R22">
        <v>2</v>
      </c>
      <c r="S22" t="e">
        <f>VLOOKUP(K18,Q39:S49,3,0)</f>
        <v>#N/A</v>
      </c>
      <c r="U22" t="str">
        <f t="shared" si="1"/>
        <v>ParentNorth2High</v>
      </c>
      <c r="V22" s="78" t="s">
        <v>54</v>
      </c>
      <c r="W22" s="77" t="s">
        <v>58</v>
      </c>
      <c r="X22" s="79">
        <v>2</v>
      </c>
      <c r="Y22" s="78" t="s">
        <v>10</v>
      </c>
      <c r="Z22" s="80">
        <v>4358</v>
      </c>
      <c r="AA22">
        <v>3922</v>
      </c>
      <c r="AB22" s="80">
        <v>3530</v>
      </c>
      <c r="AC22" s="80">
        <v>3177</v>
      </c>
      <c r="AD22" s="76"/>
      <c r="AE22" s="76"/>
    </row>
    <row r="23" spans="2:31" ht="15">
      <c r="B23" s="59" t="s">
        <v>295</v>
      </c>
      <c r="C23" s="63" t="e">
        <f>SUM(E15:E21)</f>
        <v>#N/A</v>
      </c>
      <c r="D23" s="66" t="e">
        <f>C23*0.175</f>
        <v>#N/A</v>
      </c>
      <c r="E23" s="67" t="s">
        <v>63</v>
      </c>
      <c r="F23" s="41"/>
      <c r="G23" s="50"/>
      <c r="I23" s="390" t="s">
        <v>73</v>
      </c>
      <c r="J23" s="391"/>
      <c r="K23" s="41"/>
      <c r="L23" s="41"/>
      <c r="M23" s="41"/>
      <c r="N23" s="50"/>
      <c r="Q23" t="str">
        <f t="shared" si="6"/>
        <v>County</v>
      </c>
      <c r="R23">
        <v>3</v>
      </c>
      <c r="U23" t="str">
        <f t="shared" si="1"/>
        <v>ChildSouth1Other</v>
      </c>
      <c r="V23" s="78" t="s">
        <v>61</v>
      </c>
      <c r="W23" s="19" t="s">
        <v>59</v>
      </c>
      <c r="X23" s="79">
        <v>1</v>
      </c>
      <c r="Y23" s="78" t="s">
        <v>62</v>
      </c>
      <c r="Z23" s="80">
        <v>2761</v>
      </c>
      <c r="AA23">
        <v>2485</v>
      </c>
      <c r="AB23" s="80">
        <v>2237</v>
      </c>
      <c r="AC23" s="80">
        <v>2013</v>
      </c>
      <c r="AD23" s="76"/>
      <c r="AE23" s="76"/>
    </row>
    <row r="24" spans="2:31" ht="30" customHeight="1" thickBot="1">
      <c r="B24" s="61"/>
      <c r="C24" s="64"/>
      <c r="D24" s="68" t="e">
        <f>C23*0.2</f>
        <v>#N/A</v>
      </c>
      <c r="E24" s="69" t="s">
        <v>66</v>
      </c>
      <c r="F24" s="64"/>
      <c r="G24" s="70" t="s">
        <v>69</v>
      </c>
      <c r="I24" s="395" t="s">
        <v>36</v>
      </c>
      <c r="J24" s="396"/>
      <c r="K24" s="237">
        <f>IF(R34=FALSE,0,IF(R52=TRUE,VLOOKUP(I18,AD2:AN8,11,0)*N22,VLOOKUP(I18,AD2:AN8,11,0)))</f>
        <v>0</v>
      </c>
      <c r="L24" s="41"/>
      <c r="M24" s="41"/>
      <c r="N24" s="50"/>
      <c r="Q24" t="str">
        <f t="shared" si="6"/>
        <v>High</v>
      </c>
      <c r="R24">
        <v>4</v>
      </c>
      <c r="U24" t="str">
        <f t="shared" si="1"/>
        <v>ChildSouth2Other</v>
      </c>
      <c r="V24" s="78" t="s">
        <v>61</v>
      </c>
      <c r="W24" s="19" t="s">
        <v>59</v>
      </c>
      <c r="X24" s="79">
        <v>2</v>
      </c>
      <c r="Y24" s="78" t="s">
        <v>62</v>
      </c>
      <c r="Z24" s="80">
        <v>4142</v>
      </c>
      <c r="AA24">
        <v>3728</v>
      </c>
      <c r="AB24" s="80">
        <v>3355</v>
      </c>
      <c r="AC24" s="80">
        <v>3020</v>
      </c>
      <c r="AD24" s="76"/>
      <c r="AE24" s="76"/>
    </row>
    <row r="25" spans="1:31" ht="15">
      <c r="A25" s="75"/>
      <c r="B25" s="75"/>
      <c r="C25" s="75"/>
      <c r="D25" s="128"/>
      <c r="E25" s="129"/>
      <c r="F25" s="75"/>
      <c r="G25" s="130"/>
      <c r="H25" s="75"/>
      <c r="I25" s="390" t="s">
        <v>125</v>
      </c>
      <c r="J25" s="391"/>
      <c r="K25" s="207" t="s">
        <v>127</v>
      </c>
      <c r="L25" s="391" t="s">
        <v>126</v>
      </c>
      <c r="M25" s="391"/>
      <c r="N25" s="211" t="s">
        <v>127</v>
      </c>
      <c r="Q25" t="str">
        <f t="shared" si="6"/>
        <v> </v>
      </c>
      <c r="U25" t="str">
        <f t="shared" si="1"/>
        <v>ChildSouth1High</v>
      </c>
      <c r="V25" s="78" t="s">
        <v>61</v>
      </c>
      <c r="W25" s="19" t="s">
        <v>59</v>
      </c>
      <c r="X25" s="79">
        <v>1</v>
      </c>
      <c r="Y25" s="78" t="s">
        <v>10</v>
      </c>
      <c r="Z25" s="80">
        <v>3672</v>
      </c>
      <c r="AA25">
        <v>3305</v>
      </c>
      <c r="AB25" s="80">
        <v>2975</v>
      </c>
      <c r="AC25" s="80">
        <v>2678</v>
      </c>
      <c r="AD25" s="76"/>
      <c r="AE25" s="76"/>
    </row>
    <row r="26" spans="2:31" ht="15">
      <c r="B26" s="131"/>
      <c r="C26" s="131"/>
      <c r="D26" s="131"/>
      <c r="E26" s="131"/>
      <c r="F26" s="131"/>
      <c r="G26" s="131"/>
      <c r="I26" s="388" t="e">
        <f>M18*VLOOKUP(I18,AD2:AG8,S22,0)</f>
        <v>#N/A</v>
      </c>
      <c r="J26" s="389"/>
      <c r="K26" s="210" t="e">
        <f>I26*0.2</f>
        <v>#N/A</v>
      </c>
      <c r="L26" s="389" t="e">
        <f>VLOOKUP(I18,Q15:S20,3,0)+N21+K24</f>
        <v>#N/A</v>
      </c>
      <c r="M26" s="389"/>
      <c r="N26" s="86" t="e">
        <f>L26*0.2</f>
        <v>#N/A</v>
      </c>
      <c r="Q26" t="str">
        <f t="shared" si="6"/>
        <v> </v>
      </c>
      <c r="S26" t="s">
        <v>116</v>
      </c>
      <c r="T26" s="9" t="b">
        <v>0</v>
      </c>
      <c r="U26" t="str">
        <f t="shared" si="1"/>
        <v>ChildSouth2High</v>
      </c>
      <c r="V26" s="78" t="s">
        <v>61</v>
      </c>
      <c r="W26" s="19" t="s">
        <v>59</v>
      </c>
      <c r="X26" s="79">
        <v>2</v>
      </c>
      <c r="Y26" s="78" t="s">
        <v>10</v>
      </c>
      <c r="Z26" s="80">
        <v>5508</v>
      </c>
      <c r="AA26">
        <v>4957</v>
      </c>
      <c r="AB26" s="80">
        <v>4461</v>
      </c>
      <c r="AC26" s="80">
        <v>4015</v>
      </c>
      <c r="AD26" s="76"/>
      <c r="AE26" s="76"/>
    </row>
    <row r="27" spans="9:31" ht="15">
      <c r="I27" s="51"/>
      <c r="J27" s="41"/>
      <c r="K27" s="52"/>
      <c r="L27" s="41"/>
      <c r="M27" s="41"/>
      <c r="N27" s="50"/>
      <c r="Q27" t="str">
        <f t="shared" si="6"/>
        <v>Interim Hearing Unit 1</v>
      </c>
      <c r="S27" t="s">
        <v>117</v>
      </c>
      <c r="T27" s="9" t="b">
        <v>0</v>
      </c>
      <c r="U27" t="str">
        <f t="shared" si="1"/>
        <v>Joined PartySouth1Other</v>
      </c>
      <c r="V27" s="78" t="s">
        <v>64</v>
      </c>
      <c r="W27" s="19" t="s">
        <v>59</v>
      </c>
      <c r="X27" s="79">
        <v>1</v>
      </c>
      <c r="Y27" s="78" t="s">
        <v>62</v>
      </c>
      <c r="Z27" s="80">
        <v>1482</v>
      </c>
      <c r="AA27">
        <v>1334</v>
      </c>
      <c r="AB27" s="80">
        <v>1201</v>
      </c>
      <c r="AC27" s="80">
        <v>1081</v>
      </c>
      <c r="AD27" s="76"/>
      <c r="AE27" s="76"/>
    </row>
    <row r="28" spans="9:31" ht="15">
      <c r="I28" s="390" t="s">
        <v>31</v>
      </c>
      <c r="J28" s="391"/>
      <c r="K28" s="207" t="s">
        <v>127</v>
      </c>
      <c r="L28" s="391" t="s">
        <v>294</v>
      </c>
      <c r="M28" s="391"/>
      <c r="N28" s="50"/>
      <c r="Q28" t="str">
        <f t="shared" si="6"/>
        <v>Interim Hearing Unit 2</v>
      </c>
      <c r="S28" t="s">
        <v>73</v>
      </c>
      <c r="T28" s="9" t="b">
        <v>0</v>
      </c>
      <c r="U28" t="str">
        <f t="shared" si="1"/>
        <v>Joined PartySouth1High</v>
      </c>
      <c r="V28" s="78" t="s">
        <v>64</v>
      </c>
      <c r="W28" s="19" t="s">
        <v>59</v>
      </c>
      <c r="X28" s="79">
        <v>1</v>
      </c>
      <c r="Y28" s="78" t="s">
        <v>10</v>
      </c>
      <c r="Z28" s="80">
        <v>1971</v>
      </c>
      <c r="AA28">
        <v>1774</v>
      </c>
      <c r="AB28" s="80">
        <v>1597</v>
      </c>
      <c r="AC28" s="80">
        <v>1437</v>
      </c>
      <c r="AD28" s="76"/>
      <c r="AE28" s="76"/>
    </row>
    <row r="29" spans="9:31" ht="15.75" thickBot="1">
      <c r="I29" s="392" t="e">
        <f>I26+L26</f>
        <v>#N/A</v>
      </c>
      <c r="J29" s="387"/>
      <c r="K29" s="209" t="e">
        <f>I29*0.2</f>
        <v>#N/A</v>
      </c>
      <c r="L29" s="387" t="e">
        <f>I29+K29</f>
        <v>#N/A</v>
      </c>
      <c r="M29" s="387"/>
      <c r="N29" s="74"/>
      <c r="Q29" t="str">
        <f t="shared" si="6"/>
        <v> </v>
      </c>
      <c r="U29" t="str">
        <f t="shared" si="1"/>
        <v>ParentSouth1Other</v>
      </c>
      <c r="V29" s="78" t="s">
        <v>54</v>
      </c>
      <c r="W29" s="19" t="s">
        <v>59</v>
      </c>
      <c r="X29" s="79">
        <v>1</v>
      </c>
      <c r="Y29" s="78" t="s">
        <v>62</v>
      </c>
      <c r="Z29" s="80">
        <v>3589</v>
      </c>
      <c r="AA29">
        <v>3230</v>
      </c>
      <c r="AB29" s="80">
        <v>2907</v>
      </c>
      <c r="AC29" s="80">
        <v>2616</v>
      </c>
      <c r="AD29" s="76"/>
      <c r="AE29" s="76"/>
    </row>
    <row r="30" spans="19:31" ht="15">
      <c r="S30" t="e">
        <f>VLOOKUP(N20,Q31:R33,2,0)</f>
        <v>#N/A</v>
      </c>
      <c r="U30" t="str">
        <f t="shared" si="1"/>
        <v>ParentSouth2Other</v>
      </c>
      <c r="V30" s="78" t="s">
        <v>54</v>
      </c>
      <c r="W30" s="19" t="s">
        <v>59</v>
      </c>
      <c r="X30" s="79">
        <v>2</v>
      </c>
      <c r="Y30" s="78" t="s">
        <v>62</v>
      </c>
      <c r="Z30" s="80">
        <v>4486</v>
      </c>
      <c r="AA30">
        <v>4037</v>
      </c>
      <c r="AB30" s="80">
        <v>3633</v>
      </c>
      <c r="AC30" s="80">
        <v>3270</v>
      </c>
      <c r="AD30" s="76"/>
      <c r="AE30" s="76"/>
    </row>
    <row r="31" spans="17:31" ht="15">
      <c r="Q31" t="s">
        <v>118</v>
      </c>
      <c r="R31">
        <v>8</v>
      </c>
      <c r="S31" t="e">
        <f>S30</f>
        <v>#N/A</v>
      </c>
      <c r="U31" t="str">
        <f t="shared" si="1"/>
        <v>ParentSouth1High</v>
      </c>
      <c r="V31" s="78" t="s">
        <v>54</v>
      </c>
      <c r="W31" s="19" t="s">
        <v>59</v>
      </c>
      <c r="X31" s="79">
        <v>1</v>
      </c>
      <c r="Y31" s="78" t="s">
        <v>10</v>
      </c>
      <c r="Z31" s="80">
        <v>4773</v>
      </c>
      <c r="AA31">
        <v>4296</v>
      </c>
      <c r="AB31" s="80">
        <v>3866</v>
      </c>
      <c r="AC31" s="80">
        <v>3479</v>
      </c>
      <c r="AD31" s="76"/>
      <c r="AE31" s="76"/>
    </row>
    <row r="32" spans="17:29" ht="15">
      <c r="Q32" t="s">
        <v>119</v>
      </c>
      <c r="R32">
        <v>9</v>
      </c>
      <c r="U32" t="str">
        <f t="shared" si="1"/>
        <v>ParentSouth2High</v>
      </c>
      <c r="V32" s="78" t="s">
        <v>54</v>
      </c>
      <c r="W32" s="19" t="s">
        <v>59</v>
      </c>
      <c r="X32" s="79">
        <v>2</v>
      </c>
      <c r="Y32" s="78" t="s">
        <v>10</v>
      </c>
      <c r="Z32" s="80">
        <v>5966</v>
      </c>
      <c r="AA32">
        <v>5369</v>
      </c>
      <c r="AB32" s="80">
        <v>4832</v>
      </c>
      <c r="AC32" s="80">
        <v>4349</v>
      </c>
    </row>
    <row r="33" spans="17:29" ht="15">
      <c r="Q33" t="s">
        <v>120</v>
      </c>
      <c r="R33">
        <v>10</v>
      </c>
      <c r="U33" t="str">
        <f t="shared" si="1"/>
        <v>ChildWales1Other</v>
      </c>
      <c r="V33" s="78" t="s">
        <v>61</v>
      </c>
      <c r="W33" s="19" t="s">
        <v>60</v>
      </c>
      <c r="X33" s="79">
        <v>1</v>
      </c>
      <c r="Y33" s="78" t="s">
        <v>62</v>
      </c>
      <c r="Z33" s="80">
        <v>2695</v>
      </c>
      <c r="AA33">
        <v>2426</v>
      </c>
      <c r="AB33" s="80">
        <v>2183</v>
      </c>
      <c r="AC33" s="80">
        <v>1965</v>
      </c>
    </row>
    <row r="34" spans="18:29" ht="15">
      <c r="R34" s="9" t="b">
        <v>0</v>
      </c>
      <c r="U34" t="str">
        <f t="shared" si="1"/>
        <v>ChildWales2Other</v>
      </c>
      <c r="V34" s="78" t="s">
        <v>61</v>
      </c>
      <c r="W34" s="19" t="s">
        <v>60</v>
      </c>
      <c r="X34" s="79">
        <v>2</v>
      </c>
      <c r="Y34" s="78" t="s">
        <v>62</v>
      </c>
      <c r="Z34" s="80">
        <v>4043</v>
      </c>
      <c r="AA34">
        <v>3639</v>
      </c>
      <c r="AB34" s="80">
        <v>3275</v>
      </c>
      <c r="AC34" s="80">
        <v>2948</v>
      </c>
    </row>
    <row r="35" spans="17:29" ht="15">
      <c r="Q35" t="s">
        <v>84</v>
      </c>
      <c r="U35" t="str">
        <f t="shared" si="1"/>
        <v>ChildWales1High</v>
      </c>
      <c r="V35" s="78" t="s">
        <v>61</v>
      </c>
      <c r="W35" s="19" t="s">
        <v>60</v>
      </c>
      <c r="X35" s="79">
        <v>1</v>
      </c>
      <c r="Y35" s="78" t="s">
        <v>10</v>
      </c>
      <c r="Z35" s="80">
        <v>3584</v>
      </c>
      <c r="AA35">
        <v>3226</v>
      </c>
      <c r="AB35" s="80">
        <v>2903</v>
      </c>
      <c r="AC35" s="80">
        <v>2613</v>
      </c>
    </row>
    <row r="36" spans="21:29" ht="15">
      <c r="U36" t="str">
        <f t="shared" si="1"/>
        <v>ChildWales2High</v>
      </c>
      <c r="V36" s="78" t="s">
        <v>61</v>
      </c>
      <c r="W36" s="19" t="s">
        <v>60</v>
      </c>
      <c r="X36" s="79">
        <v>2</v>
      </c>
      <c r="Y36" s="78" t="s">
        <v>10</v>
      </c>
      <c r="Z36" s="80">
        <v>5376</v>
      </c>
      <c r="AA36">
        <v>4838</v>
      </c>
      <c r="AB36" s="80">
        <v>4354</v>
      </c>
      <c r="AC36" s="80">
        <v>3919</v>
      </c>
    </row>
    <row r="37" spans="21:29" ht="15">
      <c r="U37" t="str">
        <f t="shared" si="1"/>
        <v>Joined PartyWales1Other</v>
      </c>
      <c r="V37" s="78" t="s">
        <v>64</v>
      </c>
      <c r="W37" s="19" t="s">
        <v>60</v>
      </c>
      <c r="X37" s="79">
        <v>1</v>
      </c>
      <c r="Y37" s="78" t="s">
        <v>62</v>
      </c>
      <c r="Z37" s="80">
        <v>1606</v>
      </c>
      <c r="AA37">
        <v>1445</v>
      </c>
      <c r="AB37" s="80">
        <v>1301</v>
      </c>
      <c r="AC37" s="80">
        <v>1171</v>
      </c>
    </row>
    <row r="38" spans="21:29" ht="15">
      <c r="U38" t="str">
        <f t="shared" si="1"/>
        <v>Joined PartyWales1High</v>
      </c>
      <c r="V38" s="78" t="s">
        <v>64</v>
      </c>
      <c r="W38" s="19" t="s">
        <v>60</v>
      </c>
      <c r="X38" s="79">
        <v>1</v>
      </c>
      <c r="Y38" s="78" t="s">
        <v>10</v>
      </c>
      <c r="Z38" s="80">
        <v>2136</v>
      </c>
      <c r="AA38">
        <v>1922</v>
      </c>
      <c r="AB38" s="80">
        <v>1730</v>
      </c>
      <c r="AC38" s="80">
        <v>1557</v>
      </c>
    </row>
    <row r="39" spans="17:29" ht="15">
      <c r="Q39" t="s">
        <v>362</v>
      </c>
      <c r="R39" t="s">
        <v>23</v>
      </c>
      <c r="S39">
        <v>2</v>
      </c>
      <c r="U39" t="str">
        <f t="shared" si="1"/>
        <v>ParentWales1Other</v>
      </c>
      <c r="V39" s="78" t="s">
        <v>54</v>
      </c>
      <c r="W39" s="19" t="s">
        <v>60</v>
      </c>
      <c r="X39" s="79">
        <v>1</v>
      </c>
      <c r="Y39" s="78" t="s">
        <v>62</v>
      </c>
      <c r="Z39" s="80">
        <v>3250</v>
      </c>
      <c r="AA39">
        <v>2925</v>
      </c>
      <c r="AB39" s="80">
        <v>2633</v>
      </c>
      <c r="AC39" s="80">
        <v>2370</v>
      </c>
    </row>
    <row r="40" spans="17:29" ht="15">
      <c r="Q40" t="s">
        <v>363</v>
      </c>
      <c r="R40" t="s">
        <v>23</v>
      </c>
      <c r="S40">
        <v>2</v>
      </c>
      <c r="U40" t="str">
        <f t="shared" si="1"/>
        <v>ParentWales2Other</v>
      </c>
      <c r="V40" s="78" t="s">
        <v>54</v>
      </c>
      <c r="W40" s="19" t="s">
        <v>60</v>
      </c>
      <c r="X40" s="79">
        <v>2</v>
      </c>
      <c r="Y40" s="78" t="s">
        <v>62</v>
      </c>
      <c r="Z40" s="80">
        <v>4063</v>
      </c>
      <c r="AA40">
        <v>3657</v>
      </c>
      <c r="AB40" s="80">
        <v>3291</v>
      </c>
      <c r="AC40" s="80">
        <v>2962</v>
      </c>
    </row>
    <row r="41" spans="17:29" ht="15">
      <c r="Q41" t="s">
        <v>364</v>
      </c>
      <c r="R41" t="s">
        <v>23</v>
      </c>
      <c r="S41">
        <v>2</v>
      </c>
      <c r="U41" t="str">
        <f t="shared" si="1"/>
        <v>ParentWales1High</v>
      </c>
      <c r="V41" s="78" t="s">
        <v>54</v>
      </c>
      <c r="W41" s="19" t="s">
        <v>60</v>
      </c>
      <c r="X41" s="79">
        <v>1</v>
      </c>
      <c r="Y41" s="78" t="s">
        <v>10</v>
      </c>
      <c r="Z41" s="80">
        <v>4323</v>
      </c>
      <c r="AA41">
        <v>3891</v>
      </c>
      <c r="AB41" s="80">
        <v>3502</v>
      </c>
      <c r="AC41" s="80">
        <v>3152</v>
      </c>
    </row>
    <row r="42" spans="17:29" ht="15">
      <c r="Q42" t="s">
        <v>365</v>
      </c>
      <c r="R42" t="s">
        <v>22</v>
      </c>
      <c r="S42">
        <v>3</v>
      </c>
      <c r="U42" t="str">
        <f t="shared" si="1"/>
        <v>ParentWales2High</v>
      </c>
      <c r="V42" s="78" t="s">
        <v>54</v>
      </c>
      <c r="W42" s="19" t="s">
        <v>60</v>
      </c>
      <c r="X42" s="79">
        <v>2</v>
      </c>
      <c r="Y42" s="78" t="s">
        <v>10</v>
      </c>
      <c r="Z42" s="80">
        <v>5404</v>
      </c>
      <c r="AA42">
        <v>4864</v>
      </c>
      <c r="AB42" s="80">
        <v>4378</v>
      </c>
      <c r="AC42" s="80">
        <v>3940</v>
      </c>
    </row>
    <row r="43" spans="17:29" ht="15">
      <c r="Q43" t="s">
        <v>366</v>
      </c>
      <c r="R43" t="s">
        <v>22</v>
      </c>
      <c r="S43">
        <v>3</v>
      </c>
      <c r="U43" t="str">
        <f t="shared" si="1"/>
        <v>Joined PartyMidlands2Other</v>
      </c>
      <c r="V43" s="78" t="s">
        <v>64</v>
      </c>
      <c r="W43" t="s">
        <v>57</v>
      </c>
      <c r="X43" s="79">
        <v>2</v>
      </c>
      <c r="Y43" s="78" t="s">
        <v>62</v>
      </c>
      <c r="Z43" s="80">
        <v>1276</v>
      </c>
      <c r="AA43">
        <v>1148</v>
      </c>
      <c r="AB43" s="80">
        <v>1033</v>
      </c>
      <c r="AC43" s="80">
        <v>930</v>
      </c>
    </row>
    <row r="44" spans="17:29" ht="15">
      <c r="Q44" t="s">
        <v>367</v>
      </c>
      <c r="R44" t="s">
        <v>22</v>
      </c>
      <c r="S44">
        <v>3</v>
      </c>
      <c r="U44" t="str">
        <f t="shared" si="1"/>
        <v>Joined PartyMidlands2High</v>
      </c>
      <c r="V44" s="78" t="s">
        <v>64</v>
      </c>
      <c r="W44" t="s">
        <v>57</v>
      </c>
      <c r="X44" s="79">
        <v>2</v>
      </c>
      <c r="Y44" s="78" t="s">
        <v>10</v>
      </c>
      <c r="Z44" s="80">
        <v>1697</v>
      </c>
      <c r="AA44">
        <v>1527</v>
      </c>
      <c r="AB44" s="80">
        <v>1374</v>
      </c>
      <c r="AC44" s="80">
        <v>1237</v>
      </c>
    </row>
    <row r="45" spans="17:29" ht="15">
      <c r="Q45" t="s">
        <v>368</v>
      </c>
      <c r="R45" t="s">
        <v>21</v>
      </c>
      <c r="S45">
        <v>4</v>
      </c>
      <c r="U45" t="str">
        <f t="shared" si="1"/>
        <v>Joined PartyNorth2Other</v>
      </c>
      <c r="V45" s="78" t="s">
        <v>64</v>
      </c>
      <c r="W45" s="77" t="s">
        <v>58</v>
      </c>
      <c r="X45" s="79">
        <v>2</v>
      </c>
      <c r="Y45" s="78" t="s">
        <v>62</v>
      </c>
      <c r="Z45" s="80">
        <v>986</v>
      </c>
      <c r="AA45">
        <v>887</v>
      </c>
      <c r="AB45" s="80">
        <v>798</v>
      </c>
      <c r="AC45" s="80">
        <v>718</v>
      </c>
    </row>
    <row r="46" spans="17:29" ht="15">
      <c r="Q46" t="s">
        <v>369</v>
      </c>
      <c r="R46" t="s">
        <v>21</v>
      </c>
      <c r="S46">
        <v>4</v>
      </c>
      <c r="U46" t="str">
        <f t="shared" si="1"/>
        <v>Joined PartyNorth2High</v>
      </c>
      <c r="V46" s="78" t="s">
        <v>64</v>
      </c>
      <c r="W46" s="77" t="s">
        <v>58</v>
      </c>
      <c r="X46" s="79">
        <v>2</v>
      </c>
      <c r="Y46" s="78" t="s">
        <v>10</v>
      </c>
      <c r="Z46" s="80">
        <v>1311</v>
      </c>
      <c r="AA46">
        <v>1180</v>
      </c>
      <c r="AB46" s="80">
        <v>1062</v>
      </c>
      <c r="AC46" s="80">
        <v>956</v>
      </c>
    </row>
    <row r="47" spans="17:29" ht="15">
      <c r="Q47" t="s">
        <v>114</v>
      </c>
      <c r="R47" t="s">
        <v>23</v>
      </c>
      <c r="S47">
        <v>2</v>
      </c>
      <c r="U47" t="str">
        <f t="shared" si="1"/>
        <v>Joined PartySouth2Other</v>
      </c>
      <c r="V47" s="78" t="s">
        <v>64</v>
      </c>
      <c r="W47" s="19" t="s">
        <v>59</v>
      </c>
      <c r="X47" s="79">
        <v>2</v>
      </c>
      <c r="Y47" s="78" t="s">
        <v>62</v>
      </c>
      <c r="Z47" s="80">
        <v>1482</v>
      </c>
      <c r="AA47">
        <v>1334</v>
      </c>
      <c r="AB47" s="80">
        <v>1201</v>
      </c>
      <c r="AC47" s="80">
        <v>1081</v>
      </c>
    </row>
    <row r="48" spans="17:29" ht="15">
      <c r="Q48" t="s">
        <v>115</v>
      </c>
      <c r="R48" t="s">
        <v>22</v>
      </c>
      <c r="S48">
        <v>3</v>
      </c>
      <c r="U48" t="str">
        <f t="shared" si="1"/>
        <v>Joined PartySouth2High</v>
      </c>
      <c r="V48" s="78" t="s">
        <v>64</v>
      </c>
      <c r="W48" s="19" t="s">
        <v>59</v>
      </c>
      <c r="X48" s="79">
        <v>2</v>
      </c>
      <c r="Y48" s="78" t="s">
        <v>10</v>
      </c>
      <c r="Z48" s="80">
        <v>1971</v>
      </c>
      <c r="AA48">
        <v>1774</v>
      </c>
      <c r="AB48" s="80">
        <v>1597</v>
      </c>
      <c r="AC48" s="80">
        <v>1437</v>
      </c>
    </row>
    <row r="49" spans="17:29" ht="15">
      <c r="Q49" t="s">
        <v>10</v>
      </c>
      <c r="R49" t="s">
        <v>21</v>
      </c>
      <c r="S49">
        <v>4</v>
      </c>
      <c r="U49" t="str">
        <f t="shared" si="1"/>
        <v>Joined PartyWales2Other</v>
      </c>
      <c r="V49" s="78" t="s">
        <v>64</v>
      </c>
      <c r="W49" s="19" t="s">
        <v>60</v>
      </c>
      <c r="X49" s="79">
        <v>2</v>
      </c>
      <c r="Y49" s="78" t="s">
        <v>62</v>
      </c>
      <c r="Z49" s="80">
        <v>1606</v>
      </c>
      <c r="AA49">
        <v>1445</v>
      </c>
      <c r="AB49" s="80">
        <v>1301</v>
      </c>
      <c r="AC49" s="80">
        <v>1171</v>
      </c>
    </row>
    <row r="50" spans="17:29" ht="15">
      <c r="Q50" t="s">
        <v>76</v>
      </c>
      <c r="U50" t="str">
        <f t="shared" si="1"/>
        <v>Joined PartyWales2High</v>
      </c>
      <c r="V50" s="78" t="s">
        <v>64</v>
      </c>
      <c r="W50" s="19" t="s">
        <v>60</v>
      </c>
      <c r="X50" s="79">
        <v>2</v>
      </c>
      <c r="Y50" s="78" t="s">
        <v>10</v>
      </c>
      <c r="Z50" s="80">
        <v>2136</v>
      </c>
      <c r="AA50">
        <v>1922</v>
      </c>
      <c r="AB50" s="80">
        <v>1730</v>
      </c>
      <c r="AC50" s="80">
        <v>1557</v>
      </c>
    </row>
    <row r="51" ht="15">
      <c r="Q51" t="s">
        <v>76</v>
      </c>
    </row>
    <row r="52" spans="17:18" ht="15">
      <c r="Q52" t="s">
        <v>112</v>
      </c>
      <c r="R52" t="b">
        <f>OR(I18=Q52,I18=Q53)</f>
        <v>0</v>
      </c>
    </row>
    <row r="53" ht="15">
      <c r="Q53" t="s">
        <v>113</v>
      </c>
    </row>
    <row r="54" ht="15">
      <c r="Q54" t="s">
        <v>76</v>
      </c>
    </row>
    <row r="55" ht="15">
      <c r="Q55" t="s">
        <v>112</v>
      </c>
    </row>
    <row r="56" ht="15">
      <c r="Q56" t="s">
        <v>113</v>
      </c>
    </row>
    <row r="57" ht="15">
      <c r="Q57" t="s">
        <v>108</v>
      </c>
    </row>
    <row r="58" ht="15">
      <c r="Q58" t="s">
        <v>109</v>
      </c>
    </row>
    <row r="59" ht="15">
      <c r="Q59" t="s">
        <v>110</v>
      </c>
    </row>
    <row r="60" ht="15">
      <c r="Q60" t="s">
        <v>111</v>
      </c>
    </row>
    <row r="61" ht="15">
      <c r="Q61" t="s">
        <v>114</v>
      </c>
    </row>
    <row r="62" ht="15">
      <c r="Q62" t="s">
        <v>115</v>
      </c>
    </row>
    <row r="63" ht="15">
      <c r="Q63" t="s">
        <v>10</v>
      </c>
    </row>
    <row r="64" ht="15">
      <c r="Q64" t="s">
        <v>112</v>
      </c>
    </row>
    <row r="65" ht="15">
      <c r="Q65" t="s">
        <v>113</v>
      </c>
    </row>
  </sheetData>
  <sheetProtection password="CFE1" sheet="1"/>
  <mergeCells count="41">
    <mergeCell ref="I5:J5"/>
    <mergeCell ref="I6:J6"/>
    <mergeCell ref="K6:L6"/>
    <mergeCell ref="L8:N8"/>
    <mergeCell ref="K3:L4"/>
    <mergeCell ref="M3:N4"/>
    <mergeCell ref="L7:N7"/>
    <mergeCell ref="M6:N6"/>
    <mergeCell ref="M5:N5"/>
    <mergeCell ref="B2:G2"/>
    <mergeCell ref="I17:J17"/>
    <mergeCell ref="B13:G13"/>
    <mergeCell ref="I7:K7"/>
    <mergeCell ref="I8:K8"/>
    <mergeCell ref="I9:K9"/>
    <mergeCell ref="I3:J4"/>
    <mergeCell ref="K5:L5"/>
    <mergeCell ref="I2:N2"/>
    <mergeCell ref="L9:N9"/>
    <mergeCell ref="I15:J15"/>
    <mergeCell ref="K15:L15"/>
    <mergeCell ref="I20:J20"/>
    <mergeCell ref="M18:N18"/>
    <mergeCell ref="I12:N13"/>
    <mergeCell ref="L20:M20"/>
    <mergeCell ref="M17:N17"/>
    <mergeCell ref="K17:L17"/>
    <mergeCell ref="K18:L18"/>
    <mergeCell ref="I23:J23"/>
    <mergeCell ref="I18:J18"/>
    <mergeCell ref="I22:J22"/>
    <mergeCell ref="I24:J24"/>
    <mergeCell ref="L28:M28"/>
    <mergeCell ref="I25:J25"/>
    <mergeCell ref="I21:J21"/>
    <mergeCell ref="L29:M29"/>
    <mergeCell ref="I26:J26"/>
    <mergeCell ref="I28:J28"/>
    <mergeCell ref="I29:J29"/>
    <mergeCell ref="L25:M25"/>
    <mergeCell ref="L26:M26"/>
  </mergeCells>
  <conditionalFormatting sqref="K24 N21">
    <cfRule type="cellIs" priority="2" dxfId="16" operator="equal">
      <formula>0</formula>
    </cfRule>
  </conditionalFormatting>
  <dataValidations count="5">
    <dataValidation type="list" allowBlank="1" showInputMessage="1" showErrorMessage="1" sqref="N20">
      <formula1>$Q$30:$Q$33</formula1>
    </dataValidation>
    <dataValidation type="list" allowBlank="1" showInputMessage="1" showErrorMessage="1" sqref="K18:L18">
      <formula1>Level</formula1>
    </dataValidation>
    <dataValidation type="list" allowBlank="1" showInputMessage="1" showErrorMessage="1" sqref="B5">
      <formula1>$T$9:$T$12</formula1>
    </dataValidation>
    <dataValidation type="list" allowBlank="1" showInputMessage="1" showErrorMessage="1" sqref="B4">
      <formula1>$S$9:$S$11</formula1>
    </dataValidation>
    <dataValidation type="list" allowBlank="1" showInputMessage="1" showErrorMessage="1" sqref="I18:J18">
      <formula1>HearType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R19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G171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2.8515625" style="0" customWidth="1"/>
    <col min="2" max="2" width="13.7109375" style="0" customWidth="1"/>
    <col min="3" max="3" width="9.28125" style="0" customWidth="1"/>
    <col min="4" max="4" width="16.28125" style="0" customWidth="1"/>
    <col min="5" max="5" width="10.7109375" style="0" customWidth="1"/>
    <col min="6" max="6" width="13.57421875" style="0" customWidth="1"/>
    <col min="7" max="7" width="16.57421875" style="0" customWidth="1"/>
    <col min="8" max="8" width="2.7109375" style="0" customWidth="1"/>
    <col min="9" max="9" width="13.7109375" style="0" customWidth="1"/>
    <col min="10" max="10" width="9.28125" style="0" customWidth="1"/>
    <col min="11" max="11" width="16.28125" style="0" customWidth="1"/>
    <col min="12" max="12" width="10.7109375" style="0" customWidth="1"/>
    <col min="13" max="13" width="15.8515625" style="0" customWidth="1"/>
    <col min="14" max="14" width="16.57421875" style="0" customWidth="1"/>
    <col min="16" max="18" width="9.140625" style="0" hidden="1" customWidth="1"/>
    <col min="19" max="19" width="11.140625" style="0" hidden="1" customWidth="1"/>
    <col min="20" max="21" width="9.140625" style="0" hidden="1" customWidth="1"/>
    <col min="22" max="22" width="7.140625" style="0" hidden="1" customWidth="1"/>
    <col min="23" max="23" width="9.140625" style="0" hidden="1" customWidth="1"/>
    <col min="24" max="24" width="23.8515625" style="0" hidden="1" customWidth="1"/>
    <col min="25" max="25" width="9.140625" style="0" hidden="1" customWidth="1"/>
    <col min="26" max="26" width="13.140625" style="0" hidden="1" customWidth="1"/>
    <col min="27" max="30" width="9.140625" style="0" hidden="1" customWidth="1"/>
    <col min="31" max="34" width="9.140625" style="0" customWidth="1"/>
  </cols>
  <sheetData>
    <row r="1" spans="2:30" ht="15.75" thickBot="1">
      <c r="B1">
        <f>IF(L27="","",IF(L27&gt;600,"5 x HU2",IF(L27&gt;450,"4 x HU2",IF(L27&gt;300,"3 x HU2",IF(L27&gt;150,"2 x HU2",IF(L27&gt;60,"HU2","HU1"))))))</f>
      </c>
      <c r="V1">
        <v>1</v>
      </c>
      <c r="W1">
        <v>2</v>
      </c>
      <c r="X1">
        <v>3</v>
      </c>
      <c r="Y1">
        <v>4</v>
      </c>
      <c r="Z1">
        <v>5</v>
      </c>
      <c r="AA1">
        <v>6</v>
      </c>
      <c r="AB1">
        <v>7</v>
      </c>
      <c r="AC1">
        <v>8</v>
      </c>
      <c r="AD1">
        <v>9</v>
      </c>
    </row>
    <row r="2" spans="2:30" ht="15.75" thickBot="1">
      <c r="B2" s="444" t="s">
        <v>149</v>
      </c>
      <c r="C2" s="445"/>
      <c r="D2" s="445"/>
      <c r="E2" s="445"/>
      <c r="F2" s="445"/>
      <c r="G2" s="446"/>
      <c r="I2" s="435" t="s">
        <v>156</v>
      </c>
      <c r="J2" s="436"/>
      <c r="K2" s="436"/>
      <c r="L2" s="436"/>
      <c r="M2" s="436"/>
      <c r="N2" s="437"/>
      <c r="P2" t="s">
        <v>136</v>
      </c>
      <c r="Q2" t="s">
        <v>140</v>
      </c>
      <c r="R2" t="s">
        <v>19</v>
      </c>
      <c r="S2" t="s">
        <v>78</v>
      </c>
      <c r="V2" t="s">
        <v>87</v>
      </c>
      <c r="W2" t="s">
        <v>142</v>
      </c>
      <c r="X2" t="s">
        <v>79</v>
      </c>
      <c r="Y2" t="s">
        <v>19</v>
      </c>
      <c r="Z2" t="s">
        <v>78</v>
      </c>
      <c r="AA2" t="s">
        <v>143</v>
      </c>
      <c r="AB2" t="s">
        <v>144</v>
      </c>
      <c r="AC2" t="s">
        <v>145</v>
      </c>
      <c r="AD2" t="s">
        <v>146</v>
      </c>
    </row>
    <row r="3" spans="2:30" ht="15">
      <c r="B3" s="98" t="s">
        <v>136</v>
      </c>
      <c r="C3" s="99"/>
      <c r="D3" s="99" t="s">
        <v>19</v>
      </c>
      <c r="E3" s="57"/>
      <c r="F3" s="57"/>
      <c r="G3" s="73"/>
      <c r="I3" s="204"/>
      <c r="J3" s="205"/>
      <c r="K3" s="57"/>
      <c r="L3" s="57"/>
      <c r="M3" s="57"/>
      <c r="N3" s="73"/>
      <c r="P3" t="s">
        <v>137</v>
      </c>
      <c r="Q3" t="s">
        <v>79</v>
      </c>
      <c r="R3" t="s">
        <v>62</v>
      </c>
      <c r="S3" t="s">
        <v>288</v>
      </c>
      <c r="V3" t="str">
        <f>CONCATENATE(W3,X3,Y3,Z3)</f>
        <v>ChildrenYesOther09/05/11 - 31/01/12</v>
      </c>
      <c r="W3" t="s">
        <v>137</v>
      </c>
      <c r="X3" t="s">
        <v>81</v>
      </c>
      <c r="Y3" t="s">
        <v>62</v>
      </c>
      <c r="Z3" t="s">
        <v>288</v>
      </c>
      <c r="AA3">
        <v>471</v>
      </c>
      <c r="AB3">
        <v>0</v>
      </c>
      <c r="AC3">
        <v>335</v>
      </c>
      <c r="AD3">
        <v>167.5</v>
      </c>
    </row>
    <row r="4" spans="2:30" ht="15">
      <c r="B4" s="95" t="s">
        <v>137</v>
      </c>
      <c r="C4" s="41"/>
      <c r="D4" s="94" t="s">
        <v>62</v>
      </c>
      <c r="E4" s="41"/>
      <c r="F4" s="81" t="s">
        <v>9</v>
      </c>
      <c r="G4" s="50"/>
      <c r="I4" s="431" t="s">
        <v>374</v>
      </c>
      <c r="J4" s="432"/>
      <c r="K4" s="206"/>
      <c r="L4" s="41"/>
      <c r="M4" s="41"/>
      <c r="N4" s="50"/>
      <c r="P4" t="s">
        <v>138</v>
      </c>
      <c r="Q4" t="s">
        <v>141</v>
      </c>
      <c r="R4" t="s">
        <v>10</v>
      </c>
      <c r="S4" t="s">
        <v>353</v>
      </c>
      <c r="V4" t="str">
        <f aca="true" t="shared" si="0" ref="V4:V38">CONCATENATE(W4,X4,Y4,Z4)</f>
        <v>ChildrenYesHigh09/05/11 - 31/01/12</v>
      </c>
      <c r="W4" t="s">
        <v>137</v>
      </c>
      <c r="X4" t="s">
        <v>81</v>
      </c>
      <c r="Y4" t="s">
        <v>10</v>
      </c>
      <c r="Z4" t="s">
        <v>288</v>
      </c>
      <c r="AA4">
        <v>565</v>
      </c>
      <c r="AB4">
        <v>0</v>
      </c>
      <c r="AC4">
        <v>402</v>
      </c>
      <c r="AD4">
        <v>201</v>
      </c>
    </row>
    <row r="5" spans="2:30" ht="15">
      <c r="B5" s="51"/>
      <c r="C5" s="41"/>
      <c r="D5" s="41"/>
      <c r="E5" s="41"/>
      <c r="F5" s="41"/>
      <c r="G5" s="50"/>
      <c r="I5" s="202"/>
      <c r="J5" s="203"/>
      <c r="K5" s="41"/>
      <c r="L5" s="41"/>
      <c r="M5" s="41"/>
      <c r="N5" s="50"/>
      <c r="P5" t="s">
        <v>139</v>
      </c>
      <c r="S5" t="s">
        <v>355</v>
      </c>
      <c r="V5" t="str">
        <f t="shared" si="0"/>
        <v>ChildrenNoOther09/05/11 - 31/01/12</v>
      </c>
      <c r="W5" t="s">
        <v>137</v>
      </c>
      <c r="X5" t="s">
        <v>82</v>
      </c>
      <c r="Y5" t="s">
        <v>62</v>
      </c>
      <c r="Z5" t="s">
        <v>288</v>
      </c>
      <c r="AA5">
        <v>392</v>
      </c>
      <c r="AB5">
        <v>0</v>
      </c>
      <c r="AC5">
        <v>279</v>
      </c>
      <c r="AD5">
        <v>139.5</v>
      </c>
    </row>
    <row r="6" spans="2:30" ht="15">
      <c r="B6" s="82" t="s">
        <v>143</v>
      </c>
      <c r="C6" s="41"/>
      <c r="D6" s="81" t="s">
        <v>147</v>
      </c>
      <c r="E6" s="41"/>
      <c r="F6" s="81" t="s">
        <v>67</v>
      </c>
      <c r="G6" s="97">
        <f>(C11-E7)*3</f>
        <v>0</v>
      </c>
      <c r="I6" s="390" t="s">
        <v>121</v>
      </c>
      <c r="J6" s="391"/>
      <c r="K6" s="391" t="s">
        <v>375</v>
      </c>
      <c r="L6" s="391"/>
      <c r="M6" s="391" t="s">
        <v>122</v>
      </c>
      <c r="N6" s="409"/>
      <c r="S6" s="96" t="str">
        <f>Main!F6</f>
        <v>Click Here</v>
      </c>
      <c r="V6" t="str">
        <f t="shared" si="0"/>
        <v>ChildrenNoHigh09/05/11 - 31/01/12</v>
      </c>
      <c r="W6" t="s">
        <v>137</v>
      </c>
      <c r="X6" t="s">
        <v>82</v>
      </c>
      <c r="Y6" t="s">
        <v>10</v>
      </c>
      <c r="Z6" t="s">
        <v>288</v>
      </c>
      <c r="AA6">
        <v>471</v>
      </c>
      <c r="AB6">
        <v>0</v>
      </c>
      <c r="AC6">
        <v>335</v>
      </c>
      <c r="AD6">
        <v>167.5</v>
      </c>
    </row>
    <row r="7" spans="2:30" ht="15">
      <c r="B7" s="82"/>
      <c r="C7" s="103">
        <f>R13</f>
        <v>0</v>
      </c>
      <c r="D7" s="100"/>
      <c r="E7" s="103">
        <f>R14</f>
        <v>0</v>
      </c>
      <c r="F7" s="81" t="s">
        <v>158</v>
      </c>
      <c r="G7" s="50"/>
      <c r="I7" s="438"/>
      <c r="J7" s="439"/>
      <c r="K7" s="439"/>
      <c r="L7" s="439"/>
      <c r="M7" s="439"/>
      <c r="N7" s="429"/>
      <c r="P7" t="s">
        <v>9</v>
      </c>
      <c r="V7" t="str">
        <f t="shared" si="0"/>
        <v>FinanceYesOther09/05/11 - 31/01/12</v>
      </c>
      <c r="W7" t="s">
        <v>138</v>
      </c>
      <c r="X7" t="s">
        <v>81</v>
      </c>
      <c r="Y7" t="s">
        <v>62</v>
      </c>
      <c r="Z7" t="s">
        <v>288</v>
      </c>
      <c r="AA7">
        <v>523</v>
      </c>
      <c r="AB7">
        <v>105</v>
      </c>
      <c r="AC7">
        <v>416</v>
      </c>
      <c r="AD7">
        <v>208</v>
      </c>
    </row>
    <row r="8" spans="2:30" ht="15">
      <c r="B8" s="82" t="s">
        <v>145</v>
      </c>
      <c r="C8" s="43"/>
      <c r="D8" s="100" t="s">
        <v>148</v>
      </c>
      <c r="E8" s="43"/>
      <c r="F8" s="81" t="s">
        <v>159</v>
      </c>
      <c r="G8" s="97">
        <f>((C11-E7)/2)+E7</f>
        <v>0</v>
      </c>
      <c r="I8" s="51"/>
      <c r="J8" s="41"/>
      <c r="K8" s="41"/>
      <c r="L8" s="41"/>
      <c r="M8" s="41"/>
      <c r="N8" s="50"/>
      <c r="P8" s="9" t="b">
        <v>0</v>
      </c>
      <c r="S8">
        <f>IF(S3=S6,0,1)</f>
        <v>1</v>
      </c>
      <c r="V8" t="str">
        <f t="shared" si="0"/>
        <v>FinanceYesHigh09/05/11 - 31/01/12</v>
      </c>
      <c r="W8" t="s">
        <v>138</v>
      </c>
      <c r="X8" t="s">
        <v>81</v>
      </c>
      <c r="Y8" t="s">
        <v>10</v>
      </c>
      <c r="Z8" t="s">
        <v>288</v>
      </c>
      <c r="AA8">
        <v>628</v>
      </c>
      <c r="AB8">
        <v>125</v>
      </c>
      <c r="AC8">
        <v>499</v>
      </c>
      <c r="AD8">
        <v>249.5</v>
      </c>
    </row>
    <row r="9" spans="2:30" ht="15">
      <c r="B9" s="51"/>
      <c r="C9" s="103">
        <f>R15</f>
        <v>0</v>
      </c>
      <c r="D9" s="43"/>
      <c r="E9" s="103">
        <f>R16</f>
        <v>0</v>
      </c>
      <c r="F9" s="41"/>
      <c r="G9" s="50"/>
      <c r="I9" s="390" t="s">
        <v>123</v>
      </c>
      <c r="J9" s="391"/>
      <c r="K9" s="41"/>
      <c r="L9" s="41"/>
      <c r="M9" s="81" t="s">
        <v>124</v>
      </c>
      <c r="N9" s="50"/>
      <c r="P9" t="str">
        <f>IF(P8=TRUE,"Yes","No")</f>
        <v>No</v>
      </c>
      <c r="V9" t="str">
        <f t="shared" si="0"/>
        <v>FinanceNoOther09/05/11 - 31/01/12</v>
      </c>
      <c r="W9" t="s">
        <v>138</v>
      </c>
      <c r="X9" t="s">
        <v>82</v>
      </c>
      <c r="Y9" t="s">
        <v>62</v>
      </c>
      <c r="Z9" t="s">
        <v>288</v>
      </c>
      <c r="AA9">
        <v>436</v>
      </c>
      <c r="AB9">
        <v>87</v>
      </c>
      <c r="AC9">
        <v>346</v>
      </c>
      <c r="AD9">
        <v>173</v>
      </c>
    </row>
    <row r="10" spans="2:30" ht="15">
      <c r="B10" s="51"/>
      <c r="C10" s="43"/>
      <c r="D10" s="43"/>
      <c r="E10" s="43"/>
      <c r="F10" s="41"/>
      <c r="G10" s="50"/>
      <c r="I10" s="390" t="s">
        <v>116</v>
      </c>
      <c r="J10" s="391"/>
      <c r="K10" s="41"/>
      <c r="L10" s="41"/>
      <c r="M10" s="94"/>
      <c r="N10" s="86">
        <f>IF(M10=0,0,VLOOKUP(S18,V:AG,T31,0))</f>
        <v>0</v>
      </c>
      <c r="V10" t="str">
        <f t="shared" si="0"/>
        <v>FinanceNoHigh09/05/11 - 31/01/12</v>
      </c>
      <c r="W10" t="s">
        <v>138</v>
      </c>
      <c r="X10" t="s">
        <v>82</v>
      </c>
      <c r="Y10" t="s">
        <v>10</v>
      </c>
      <c r="Z10" t="s">
        <v>288</v>
      </c>
      <c r="AA10">
        <v>523</v>
      </c>
      <c r="AB10">
        <v>105</v>
      </c>
      <c r="AC10">
        <v>416</v>
      </c>
      <c r="AD10">
        <v>208</v>
      </c>
    </row>
    <row r="11" spans="2:30" ht="15.75" thickBot="1">
      <c r="B11" s="101" t="s">
        <v>31</v>
      </c>
      <c r="C11" s="161">
        <f>SUM(R13:R16)</f>
        <v>0</v>
      </c>
      <c r="D11" s="102" t="s">
        <v>127</v>
      </c>
      <c r="E11" s="160">
        <f>C11*0.2</f>
        <v>0</v>
      </c>
      <c r="F11" s="162" t="s">
        <v>294</v>
      </c>
      <c r="G11" s="163">
        <f>E11+C11</f>
        <v>0</v>
      </c>
      <c r="I11" s="390" t="s">
        <v>73</v>
      </c>
      <c r="J11" s="391"/>
      <c r="K11" s="41"/>
      <c r="L11" s="440" t="s">
        <v>406</v>
      </c>
      <c r="M11" s="440"/>
      <c r="N11" s="50"/>
      <c r="P11" t="str">
        <f>CONCATENATE(B4,P9,D4,S6)</f>
        <v>ChildrenNoOtherClick Here</v>
      </c>
      <c r="V11" t="str">
        <f t="shared" si="0"/>
        <v>Dom AbuseYesOther09/05/11 - 31/01/12</v>
      </c>
      <c r="W11" t="s">
        <v>139</v>
      </c>
      <c r="X11" t="s">
        <v>81</v>
      </c>
      <c r="Y11" t="s">
        <v>62</v>
      </c>
      <c r="Z11" t="s">
        <v>288</v>
      </c>
      <c r="AA11">
        <v>0</v>
      </c>
      <c r="AB11">
        <v>0</v>
      </c>
      <c r="AC11">
        <v>675</v>
      </c>
      <c r="AD11">
        <v>675</v>
      </c>
    </row>
    <row r="12" spans="9:30" ht="15.75" thickBot="1">
      <c r="I12" s="390" t="s">
        <v>157</v>
      </c>
      <c r="J12" s="391"/>
      <c r="K12" s="85">
        <f>R28</f>
        <v>0</v>
      </c>
      <c r="L12" s="440"/>
      <c r="M12" s="440"/>
      <c r="N12" s="50"/>
      <c r="V12" t="str">
        <f t="shared" si="0"/>
        <v>Dom AbuseYesHigh09/05/11 - 31/01/12</v>
      </c>
      <c r="W12" t="s">
        <v>139</v>
      </c>
      <c r="X12" t="s">
        <v>81</v>
      </c>
      <c r="Y12" t="s">
        <v>10</v>
      </c>
      <c r="Z12" t="s">
        <v>288</v>
      </c>
      <c r="AA12">
        <v>0</v>
      </c>
      <c r="AB12">
        <v>0</v>
      </c>
      <c r="AC12">
        <v>810</v>
      </c>
      <c r="AD12">
        <v>810</v>
      </c>
    </row>
    <row r="13" spans="2:30" ht="15" customHeight="1">
      <c r="B13" s="418" t="s">
        <v>398</v>
      </c>
      <c r="C13" s="419"/>
      <c r="D13" s="419"/>
      <c r="E13" s="419"/>
      <c r="F13" s="420"/>
      <c r="I13" s="390" t="s">
        <v>36</v>
      </c>
      <c r="J13" s="391"/>
      <c r="K13" s="213">
        <f>IF(Q41=TRUE,N13*U22,U22)</f>
        <v>0</v>
      </c>
      <c r="L13" s="440"/>
      <c r="M13" s="440"/>
      <c r="N13" s="214"/>
      <c r="P13" t="s">
        <v>143</v>
      </c>
      <c r="Q13" s="9" t="b">
        <v>0</v>
      </c>
      <c r="R13">
        <f>IF(Q13=FALSE,0,VLOOKUP($P$11,V:AD,6,0))</f>
        <v>0</v>
      </c>
      <c r="V13" t="str">
        <f t="shared" si="0"/>
        <v>Dom AbuseNoOther09/05/11 - 31/01/12</v>
      </c>
      <c r="W13" t="s">
        <v>139</v>
      </c>
      <c r="X13" t="s">
        <v>82</v>
      </c>
      <c r="Y13" t="s">
        <v>62</v>
      </c>
      <c r="Z13" t="s">
        <v>288</v>
      </c>
      <c r="AA13">
        <v>0</v>
      </c>
      <c r="AB13">
        <v>0</v>
      </c>
      <c r="AC13">
        <v>563</v>
      </c>
      <c r="AD13">
        <v>563</v>
      </c>
    </row>
    <row r="14" spans="2:30" ht="15" customHeight="1">
      <c r="B14" s="441"/>
      <c r="C14" s="442"/>
      <c r="D14" s="442"/>
      <c r="E14" s="442"/>
      <c r="F14" s="443"/>
      <c r="I14" s="51"/>
      <c r="J14" s="41"/>
      <c r="K14" s="41"/>
      <c r="L14" s="41"/>
      <c r="M14" s="41"/>
      <c r="N14" s="50"/>
      <c r="P14" t="s">
        <v>147</v>
      </c>
      <c r="Q14" s="9" t="b">
        <v>0</v>
      </c>
      <c r="R14">
        <f>IF(Q14=FALSE,0,VLOOKUP($P$11,V:AD,7,0))</f>
        <v>0</v>
      </c>
      <c r="V14" t="str">
        <f t="shared" si="0"/>
        <v>Dom AbuseNoHigh09/05/11 - 31/01/12</v>
      </c>
      <c r="W14" t="s">
        <v>139</v>
      </c>
      <c r="X14" t="s">
        <v>82</v>
      </c>
      <c r="Y14" t="s">
        <v>10</v>
      </c>
      <c r="Z14" t="s">
        <v>288</v>
      </c>
      <c r="AA14">
        <v>0</v>
      </c>
      <c r="AB14">
        <v>0</v>
      </c>
      <c r="AC14">
        <v>675</v>
      </c>
      <c r="AD14">
        <v>675</v>
      </c>
    </row>
    <row r="15" spans="2:30" ht="15" customHeight="1">
      <c r="B15" s="441"/>
      <c r="C15" s="442"/>
      <c r="D15" s="442"/>
      <c r="E15" s="442"/>
      <c r="F15" s="443"/>
      <c r="I15" s="390" t="s">
        <v>125</v>
      </c>
      <c r="J15" s="391"/>
      <c r="K15" s="83" t="s">
        <v>127</v>
      </c>
      <c r="L15" s="391" t="s">
        <v>126</v>
      </c>
      <c r="M15" s="391"/>
      <c r="N15" s="84" t="s">
        <v>127</v>
      </c>
      <c r="P15" t="s">
        <v>145</v>
      </c>
      <c r="Q15" s="9" t="b">
        <v>0</v>
      </c>
      <c r="R15">
        <f>IF(Q15=FALSE,0,VLOOKUP($P$11,V:AD,8,0))</f>
        <v>0</v>
      </c>
      <c r="V15" t="str">
        <f t="shared" si="0"/>
        <v>ChildrenYesOther01/02/12 - 21/04/14</v>
      </c>
      <c r="W15" t="s">
        <v>137</v>
      </c>
      <c r="X15" t="s">
        <v>81</v>
      </c>
      <c r="Y15" t="s">
        <v>62</v>
      </c>
      <c r="Z15" t="s">
        <v>353</v>
      </c>
      <c r="AA15">
        <v>424</v>
      </c>
      <c r="AB15">
        <v>0</v>
      </c>
      <c r="AC15">
        <v>302</v>
      </c>
      <c r="AD15">
        <v>151</v>
      </c>
    </row>
    <row r="16" spans="2:30" ht="15">
      <c r="B16" s="415" t="s">
        <v>387</v>
      </c>
      <c r="C16" s="416"/>
      <c r="D16" s="416" t="s">
        <v>388</v>
      </c>
      <c r="E16" s="416" t="s">
        <v>390</v>
      </c>
      <c r="F16" s="427"/>
      <c r="I16" s="388" t="e">
        <f>M7*VLOOKUP(S18,V:Z,5,0)</f>
        <v>#N/A</v>
      </c>
      <c r="J16" s="389"/>
      <c r="K16" s="213" t="e">
        <f>I16*0.2</f>
        <v>#N/A</v>
      </c>
      <c r="L16" s="389" t="e">
        <f>(I16*S27/100)+N10+K13+K12</f>
        <v>#N/A</v>
      </c>
      <c r="M16" s="389"/>
      <c r="N16" s="86" t="e">
        <f>L16*0.2</f>
        <v>#N/A</v>
      </c>
      <c r="P16" t="s">
        <v>148</v>
      </c>
      <c r="Q16" s="9" t="b">
        <v>0</v>
      </c>
      <c r="R16">
        <f>IF(Q16=FALSE,0,VLOOKUP($P$11,V:AD,9,0))</f>
        <v>0</v>
      </c>
      <c r="V16" t="str">
        <f t="shared" si="0"/>
        <v>ChildrenYesHigh01/02/12 - 21/04/14</v>
      </c>
      <c r="W16" t="s">
        <v>137</v>
      </c>
      <c r="X16" t="s">
        <v>81</v>
      </c>
      <c r="Y16" t="s">
        <v>10</v>
      </c>
      <c r="Z16" t="s">
        <v>353</v>
      </c>
      <c r="AA16">
        <v>509</v>
      </c>
      <c r="AB16">
        <v>0</v>
      </c>
      <c r="AC16">
        <v>362</v>
      </c>
      <c r="AD16">
        <v>181</v>
      </c>
    </row>
    <row r="17" spans="2:30" ht="15">
      <c r="B17" s="415"/>
      <c r="C17" s="416"/>
      <c r="D17" s="416"/>
      <c r="E17" s="416"/>
      <c r="F17" s="427"/>
      <c r="I17" s="51"/>
      <c r="J17" s="41"/>
      <c r="K17" s="52"/>
      <c r="L17" s="41"/>
      <c r="M17" s="41"/>
      <c r="N17" s="50"/>
      <c r="V17" t="str">
        <f t="shared" si="0"/>
        <v>ChildrenNoOther01/02/12 - 21/04/14</v>
      </c>
      <c r="W17" t="s">
        <v>137</v>
      </c>
      <c r="X17" t="s">
        <v>82</v>
      </c>
      <c r="Y17" t="s">
        <v>62</v>
      </c>
      <c r="Z17" t="s">
        <v>353</v>
      </c>
      <c r="AA17">
        <v>353</v>
      </c>
      <c r="AB17">
        <v>0</v>
      </c>
      <c r="AC17">
        <v>251</v>
      </c>
      <c r="AD17">
        <v>125.5</v>
      </c>
    </row>
    <row r="18" spans="2:30" ht="15">
      <c r="B18" s="415"/>
      <c r="C18" s="416"/>
      <c r="D18" s="416"/>
      <c r="E18" s="416"/>
      <c r="F18" s="427"/>
      <c r="I18" s="390" t="s">
        <v>31</v>
      </c>
      <c r="J18" s="391"/>
      <c r="K18" s="212" t="s">
        <v>127</v>
      </c>
      <c r="L18" s="391" t="s">
        <v>294</v>
      </c>
      <c r="M18" s="391"/>
      <c r="N18" s="50"/>
      <c r="P18" t="s">
        <v>112</v>
      </c>
      <c r="S18" t="e">
        <f>CONCATENATE(B4,I7,S36)</f>
        <v>#N/A</v>
      </c>
      <c r="V18" t="str">
        <f t="shared" si="0"/>
        <v>ChildrenNoHigh01/02/12 - 21/04/14</v>
      </c>
      <c r="W18" t="s">
        <v>137</v>
      </c>
      <c r="X18" t="s">
        <v>82</v>
      </c>
      <c r="Y18" t="s">
        <v>10</v>
      </c>
      <c r="Z18" t="s">
        <v>353</v>
      </c>
      <c r="AA18">
        <v>424</v>
      </c>
      <c r="AB18">
        <v>0</v>
      </c>
      <c r="AC18">
        <v>302</v>
      </c>
      <c r="AD18">
        <v>151</v>
      </c>
    </row>
    <row r="19" spans="2:30" ht="15.75" thickBot="1">
      <c r="B19" s="423" t="s">
        <v>389</v>
      </c>
      <c r="C19" s="417"/>
      <c r="D19" s="217" t="s">
        <v>389</v>
      </c>
      <c r="E19" s="417" t="s">
        <v>389</v>
      </c>
      <c r="F19" s="430"/>
      <c r="I19" s="447" t="e">
        <f>I16+L16</f>
        <v>#N/A</v>
      </c>
      <c r="J19" s="434"/>
      <c r="K19" s="215" t="e">
        <f>I19*0.2</f>
        <v>#N/A</v>
      </c>
      <c r="L19" s="434" t="e">
        <f>K19+I19</f>
        <v>#N/A</v>
      </c>
      <c r="M19" s="434"/>
      <c r="N19" s="74"/>
      <c r="P19" t="s">
        <v>113</v>
      </c>
      <c r="V19" t="str">
        <f t="shared" si="0"/>
        <v>FinanceYesOther01/02/12 - 21/04/14</v>
      </c>
      <c r="W19" t="s">
        <v>138</v>
      </c>
      <c r="X19" t="s">
        <v>81</v>
      </c>
      <c r="Y19" t="s">
        <v>62</v>
      </c>
      <c r="Z19" t="s">
        <v>353</v>
      </c>
      <c r="AA19">
        <v>471</v>
      </c>
      <c r="AB19">
        <v>95</v>
      </c>
      <c r="AC19">
        <v>374</v>
      </c>
      <c r="AD19">
        <v>187</v>
      </c>
    </row>
    <row r="20" spans="2:30" ht="17.25" customHeight="1">
      <c r="B20" s="433"/>
      <c r="C20" s="426"/>
      <c r="D20" s="223"/>
      <c r="E20" s="428"/>
      <c r="F20" s="429"/>
      <c r="P20" t="s">
        <v>109</v>
      </c>
      <c r="V20" t="str">
        <f t="shared" si="0"/>
        <v>FinanceYesHigh01/02/12 - 21/04/14</v>
      </c>
      <c r="W20" t="s">
        <v>138</v>
      </c>
      <c r="X20" t="s">
        <v>81</v>
      </c>
      <c r="Y20" t="s">
        <v>10</v>
      </c>
      <c r="Z20" t="s">
        <v>353</v>
      </c>
      <c r="AA20">
        <v>565</v>
      </c>
      <c r="AB20">
        <v>113</v>
      </c>
      <c r="AC20">
        <v>449</v>
      </c>
      <c r="AD20">
        <v>224.5</v>
      </c>
    </row>
    <row r="21" spans="2:30" ht="17.25" customHeight="1">
      <c r="B21" s="413" t="s">
        <v>393</v>
      </c>
      <c r="C21" s="414"/>
      <c r="D21" s="421">
        <f>IF(D20="","",(D20-B20-E20)*1440)</f>
      </c>
      <c r="E21" s="421"/>
      <c r="F21" s="422"/>
      <c r="P21" t="s">
        <v>110</v>
      </c>
      <c r="V21" t="str">
        <f t="shared" si="0"/>
        <v>FinanceNoOther01/02/12 - 21/04/14</v>
      </c>
      <c r="W21" t="s">
        <v>138</v>
      </c>
      <c r="X21" t="s">
        <v>82</v>
      </c>
      <c r="Y21" t="s">
        <v>62</v>
      </c>
      <c r="Z21" t="s">
        <v>353</v>
      </c>
      <c r="AA21">
        <v>392</v>
      </c>
      <c r="AB21">
        <v>78</v>
      </c>
      <c r="AC21">
        <v>311</v>
      </c>
      <c r="AD21">
        <v>155.5</v>
      </c>
    </row>
    <row r="22" spans="2:30" ht="17.25" customHeight="1">
      <c r="B22" s="413" t="s">
        <v>391</v>
      </c>
      <c r="C22" s="414"/>
      <c r="D22" s="421">
        <f>IF(D21="","",IF(D21&gt;60,"Interim Hearing Unit 2","Interim Hearing Unit 1"))</f>
      </c>
      <c r="E22" s="421"/>
      <c r="F22" s="422"/>
      <c r="P22" t="s">
        <v>111</v>
      </c>
      <c r="S22" t="s">
        <v>84</v>
      </c>
      <c r="T22" s="9" t="b">
        <v>0</v>
      </c>
      <c r="U22">
        <f>IF(T22=FALSE,0,VLOOKUP(S18,V:AG,12,0))</f>
        <v>0</v>
      </c>
      <c r="V22" t="str">
        <f t="shared" si="0"/>
        <v>FinanceNoHigh01/02/12 - 21/04/14</v>
      </c>
      <c r="W22" t="s">
        <v>138</v>
      </c>
      <c r="X22" t="s">
        <v>82</v>
      </c>
      <c r="Y22" t="s">
        <v>10</v>
      </c>
      <c r="Z22" t="s">
        <v>353</v>
      </c>
      <c r="AA22">
        <v>471</v>
      </c>
      <c r="AB22">
        <v>95</v>
      </c>
      <c r="AC22">
        <v>374</v>
      </c>
      <c r="AD22">
        <v>187</v>
      </c>
    </row>
    <row r="23" spans="2:30" ht="7.5" customHeight="1">
      <c r="B23" s="413" t="s">
        <v>392</v>
      </c>
      <c r="C23" s="414"/>
      <c r="D23" s="421">
        <f>IF(D21="","",IF(D21&gt;600,5,IF(D21&gt;450,4,IF(D21&gt;300,3,IF(D21&gt;150,2,1)))))</f>
      </c>
      <c r="E23" s="421"/>
      <c r="F23" s="422"/>
      <c r="P23" t="s">
        <v>153</v>
      </c>
      <c r="V23" t="str">
        <f t="shared" si="0"/>
        <v>Dom AbuseYesOther01/02/12 - 21/04/14</v>
      </c>
      <c r="W23" t="s">
        <v>139</v>
      </c>
      <c r="X23" t="s">
        <v>81</v>
      </c>
      <c r="Y23" t="s">
        <v>62</v>
      </c>
      <c r="Z23" t="s">
        <v>353</v>
      </c>
      <c r="AA23">
        <v>0</v>
      </c>
      <c r="AB23">
        <v>0</v>
      </c>
      <c r="AC23">
        <v>608</v>
      </c>
      <c r="AD23">
        <v>608</v>
      </c>
    </row>
    <row r="24" spans="2:30" ht="15.75" thickBot="1">
      <c r="B24" s="219"/>
      <c r="C24" s="220"/>
      <c r="D24" s="220"/>
      <c r="E24" s="64"/>
      <c r="F24" s="74"/>
      <c r="P24" t="s">
        <v>154</v>
      </c>
      <c r="V24" t="str">
        <f t="shared" si="0"/>
        <v>Dom AbuseYesHigh01/02/12 - 21/04/14</v>
      </c>
      <c r="W24" t="s">
        <v>139</v>
      </c>
      <c r="X24" t="s">
        <v>81</v>
      </c>
      <c r="Y24" t="s">
        <v>10</v>
      </c>
      <c r="Z24" t="s">
        <v>353</v>
      </c>
      <c r="AA24">
        <v>0</v>
      </c>
      <c r="AB24">
        <v>0</v>
      </c>
      <c r="AC24">
        <v>729</v>
      </c>
      <c r="AD24">
        <v>729</v>
      </c>
    </row>
    <row r="25" spans="22:30" ht="15">
      <c r="V25" t="str">
        <f t="shared" si="0"/>
        <v>Dom AbuseNoOther01/02/12 - 21/04/14</v>
      </c>
      <c r="W25" t="s">
        <v>139</v>
      </c>
      <c r="X25" t="s">
        <v>82</v>
      </c>
      <c r="Y25" t="s">
        <v>62</v>
      </c>
      <c r="Z25" t="s">
        <v>353</v>
      </c>
      <c r="AA25">
        <v>0</v>
      </c>
      <c r="AB25">
        <v>0</v>
      </c>
      <c r="AC25">
        <v>507</v>
      </c>
      <c r="AD25">
        <v>507</v>
      </c>
    </row>
    <row r="26" spans="16:30" ht="15">
      <c r="P26" t="s">
        <v>116</v>
      </c>
      <c r="Q26" s="9" t="b">
        <v>0</v>
      </c>
      <c r="R26">
        <f>IF(Q26=FALSE,0,VLOOKUP($S$18,V:AG,6,0))</f>
        <v>0</v>
      </c>
      <c r="V26" t="str">
        <f t="shared" si="0"/>
        <v>Dom AbuseNoHigh01/02/12 - 21/04/14</v>
      </c>
      <c r="W26" t="s">
        <v>139</v>
      </c>
      <c r="X26" t="s">
        <v>82</v>
      </c>
      <c r="Y26" t="s">
        <v>10</v>
      </c>
      <c r="Z26" t="s">
        <v>353</v>
      </c>
      <c r="AA26">
        <v>0</v>
      </c>
      <c r="AB26">
        <v>0</v>
      </c>
      <c r="AC26">
        <v>608</v>
      </c>
      <c r="AD26">
        <v>608</v>
      </c>
    </row>
    <row r="27" spans="16:30" ht="15">
      <c r="P27" t="s">
        <v>73</v>
      </c>
      <c r="Q27" s="9" t="b">
        <v>0</v>
      </c>
      <c r="R27">
        <f>IF(Q27=FALSE,0,VLOOKUP($S$18,V:AG,7,0))</f>
        <v>0</v>
      </c>
      <c r="S27">
        <f>R26+R27</f>
        <v>0</v>
      </c>
      <c r="V27" t="str">
        <f t="shared" si="0"/>
        <v>ChildrenYesOther22/04/14 Onwards</v>
      </c>
      <c r="W27" t="s">
        <v>137</v>
      </c>
      <c r="X27" t="s">
        <v>81</v>
      </c>
      <c r="Y27" t="s">
        <v>62</v>
      </c>
      <c r="Z27" t="s">
        <v>355</v>
      </c>
      <c r="AA27">
        <v>424</v>
      </c>
      <c r="AB27">
        <v>0</v>
      </c>
      <c r="AC27">
        <v>302</v>
      </c>
      <c r="AD27">
        <v>151</v>
      </c>
    </row>
    <row r="28" spans="16:30" ht="15.75" customHeight="1">
      <c r="P28" t="s">
        <v>157</v>
      </c>
      <c r="Q28" s="9" t="b">
        <v>0</v>
      </c>
      <c r="R28">
        <f>IF(Q28=FALSE,0,VLOOKUP($S$18,V:AG,8,0))</f>
        <v>0</v>
      </c>
      <c r="V28" t="str">
        <f t="shared" si="0"/>
        <v>ChildrenYesHigh22/04/14 Onwards</v>
      </c>
      <c r="W28" t="s">
        <v>137</v>
      </c>
      <c r="X28" t="s">
        <v>81</v>
      </c>
      <c r="Y28" t="s">
        <v>10</v>
      </c>
      <c r="Z28" t="s">
        <v>355</v>
      </c>
      <c r="AA28">
        <v>509</v>
      </c>
      <c r="AB28">
        <v>0</v>
      </c>
      <c r="AC28">
        <v>362</v>
      </c>
      <c r="AD28">
        <v>181</v>
      </c>
    </row>
    <row r="29" spans="22:30" ht="15">
      <c r="V29" t="str">
        <f t="shared" si="0"/>
        <v>ChildrenNoOther22/04/14 Onwards</v>
      </c>
      <c r="W29" t="s">
        <v>137</v>
      </c>
      <c r="X29" t="s">
        <v>82</v>
      </c>
      <c r="Y29" t="s">
        <v>62</v>
      </c>
      <c r="Z29" t="s">
        <v>355</v>
      </c>
      <c r="AA29">
        <v>353</v>
      </c>
      <c r="AB29">
        <v>0</v>
      </c>
      <c r="AC29">
        <v>251</v>
      </c>
      <c r="AD29">
        <v>125.5</v>
      </c>
    </row>
    <row r="30" spans="16:30" ht="15">
      <c r="P30" t="str">
        <f aca="true" t="shared" si="1" ref="P30:P37">IF($K$4&gt;$S$37,P44,P52)</f>
        <v>FPC</v>
      </c>
      <c r="R30" t="s">
        <v>118</v>
      </c>
      <c r="S30">
        <v>9</v>
      </c>
      <c r="T30" t="e">
        <f>VLOOKUP(M10,R30:S32,2,0)</f>
        <v>#N/A</v>
      </c>
      <c r="V30" t="str">
        <f t="shared" si="0"/>
        <v>ChildrenNoHigh22/04/14 Onwards</v>
      </c>
      <c r="W30" t="s">
        <v>137</v>
      </c>
      <c r="X30" t="s">
        <v>82</v>
      </c>
      <c r="Y30" t="s">
        <v>10</v>
      </c>
      <c r="Z30" t="s">
        <v>355</v>
      </c>
      <c r="AA30">
        <v>424</v>
      </c>
      <c r="AB30">
        <v>0</v>
      </c>
      <c r="AC30">
        <v>302</v>
      </c>
      <c r="AD30">
        <v>151</v>
      </c>
    </row>
    <row r="31" spans="16:30" ht="15">
      <c r="P31" t="str">
        <f t="shared" si="1"/>
        <v>County</v>
      </c>
      <c r="R31" t="s">
        <v>119</v>
      </c>
      <c r="S31">
        <v>10</v>
      </c>
      <c r="T31" t="e">
        <f>T30</f>
        <v>#N/A</v>
      </c>
      <c r="V31" t="str">
        <f t="shared" si="0"/>
        <v>FinanceYesOther22/04/14 Onwards</v>
      </c>
      <c r="W31" t="s">
        <v>138</v>
      </c>
      <c r="X31" t="s">
        <v>81</v>
      </c>
      <c r="Y31" t="s">
        <v>62</v>
      </c>
      <c r="Z31" t="s">
        <v>355</v>
      </c>
      <c r="AA31">
        <v>471</v>
      </c>
      <c r="AB31">
        <v>95</v>
      </c>
      <c r="AC31">
        <v>374</v>
      </c>
      <c r="AD31">
        <v>187</v>
      </c>
    </row>
    <row r="32" spans="16:30" ht="15">
      <c r="P32" t="str">
        <f t="shared" si="1"/>
        <v>High</v>
      </c>
      <c r="R32" t="s">
        <v>120</v>
      </c>
      <c r="S32">
        <v>11</v>
      </c>
      <c r="V32" t="str">
        <f t="shared" si="0"/>
        <v>FinanceYesHigh22/04/14 Onwards</v>
      </c>
      <c r="W32" t="s">
        <v>138</v>
      </c>
      <c r="X32" t="s">
        <v>81</v>
      </c>
      <c r="Y32" t="s">
        <v>10</v>
      </c>
      <c r="Z32" t="s">
        <v>355</v>
      </c>
      <c r="AA32">
        <v>565</v>
      </c>
      <c r="AB32">
        <v>113</v>
      </c>
      <c r="AC32">
        <v>449</v>
      </c>
      <c r="AD32">
        <v>224.5</v>
      </c>
    </row>
    <row r="33" spans="16:30" ht="15">
      <c r="P33" t="str">
        <f t="shared" si="1"/>
        <v> </v>
      </c>
      <c r="V33" t="str">
        <f t="shared" si="0"/>
        <v>FinanceNoOther22/04/14 Onwards</v>
      </c>
      <c r="W33" t="s">
        <v>138</v>
      </c>
      <c r="X33" t="s">
        <v>82</v>
      </c>
      <c r="Y33" t="s">
        <v>62</v>
      </c>
      <c r="Z33" t="s">
        <v>355</v>
      </c>
      <c r="AA33">
        <v>392</v>
      </c>
      <c r="AB33">
        <v>78</v>
      </c>
      <c r="AC33">
        <v>311</v>
      </c>
      <c r="AD33">
        <v>155.5</v>
      </c>
    </row>
    <row r="34" spans="16:30" ht="15">
      <c r="P34" t="str">
        <f t="shared" si="1"/>
        <v> </v>
      </c>
      <c r="V34" t="str">
        <f t="shared" si="0"/>
        <v>FinanceNoHigh22/04/14 Onwards</v>
      </c>
      <c r="W34" t="s">
        <v>138</v>
      </c>
      <c r="X34" t="s">
        <v>82</v>
      </c>
      <c r="Y34" t="s">
        <v>10</v>
      </c>
      <c r="Z34" t="s">
        <v>355</v>
      </c>
      <c r="AA34">
        <v>471</v>
      </c>
      <c r="AB34">
        <v>95</v>
      </c>
      <c r="AC34">
        <v>374</v>
      </c>
      <c r="AD34">
        <v>187</v>
      </c>
    </row>
    <row r="35" spans="16:30" ht="15">
      <c r="P35" t="str">
        <f t="shared" si="1"/>
        <v> </v>
      </c>
      <c r="V35" t="str">
        <f t="shared" si="0"/>
        <v>Dom AbuseYesOther22/04/14 Onwards</v>
      </c>
      <c r="W35" t="s">
        <v>139</v>
      </c>
      <c r="X35" t="s">
        <v>81</v>
      </c>
      <c r="Y35" t="s">
        <v>62</v>
      </c>
      <c r="Z35" t="s">
        <v>355</v>
      </c>
      <c r="AA35">
        <v>0</v>
      </c>
      <c r="AB35">
        <v>0</v>
      </c>
      <c r="AC35">
        <v>608</v>
      </c>
      <c r="AD35">
        <v>608</v>
      </c>
    </row>
    <row r="36" spans="16:30" ht="15">
      <c r="P36" t="str">
        <f t="shared" si="1"/>
        <v> </v>
      </c>
      <c r="S36" t="e">
        <f>VLOOKUP(K7,P44:Q54,2,0)</f>
        <v>#N/A</v>
      </c>
      <c r="V36" t="str">
        <f t="shared" si="0"/>
        <v>Dom AbuseYesHigh22/04/14 Onwards</v>
      </c>
      <c r="W36" t="s">
        <v>139</v>
      </c>
      <c r="X36" t="s">
        <v>81</v>
      </c>
      <c r="Y36" t="s">
        <v>10</v>
      </c>
      <c r="Z36" t="s">
        <v>355</v>
      </c>
      <c r="AA36">
        <v>0</v>
      </c>
      <c r="AB36">
        <v>0</v>
      </c>
      <c r="AC36">
        <v>729</v>
      </c>
      <c r="AD36">
        <v>729</v>
      </c>
    </row>
    <row r="37" spans="16:30" ht="15">
      <c r="P37" t="str">
        <f t="shared" si="1"/>
        <v> </v>
      </c>
      <c r="S37" s="96">
        <v>41750</v>
      </c>
      <c r="V37" t="str">
        <f t="shared" si="0"/>
        <v>Dom AbuseNoOther22/04/14 Onwards</v>
      </c>
      <c r="W37" t="s">
        <v>139</v>
      </c>
      <c r="X37" t="s">
        <v>82</v>
      </c>
      <c r="Y37" t="s">
        <v>62</v>
      </c>
      <c r="Z37" t="s">
        <v>355</v>
      </c>
      <c r="AA37">
        <v>0</v>
      </c>
      <c r="AB37">
        <v>0</v>
      </c>
      <c r="AC37">
        <v>507</v>
      </c>
      <c r="AD37">
        <v>507</v>
      </c>
    </row>
    <row r="38" spans="22:30" ht="15">
      <c r="V38" t="str">
        <f t="shared" si="0"/>
        <v>Dom AbuseNoHigh22/04/14 Onwards</v>
      </c>
      <c r="W38" t="s">
        <v>139</v>
      </c>
      <c r="X38" t="s">
        <v>82</v>
      </c>
      <c r="Y38" t="s">
        <v>10</v>
      </c>
      <c r="Z38" t="s">
        <v>355</v>
      </c>
      <c r="AA38">
        <v>0</v>
      </c>
      <c r="AB38">
        <v>0</v>
      </c>
      <c r="AC38">
        <v>608</v>
      </c>
      <c r="AD38">
        <v>608</v>
      </c>
    </row>
    <row r="41" spans="16:17" ht="15">
      <c r="P41" t="s">
        <v>112</v>
      </c>
      <c r="Q41" t="b">
        <f>OR(I7=P41,I7=P42)</f>
        <v>0</v>
      </c>
    </row>
    <row r="42" spans="16:33" ht="15">
      <c r="P42" t="s">
        <v>113</v>
      </c>
      <c r="V42">
        <v>1</v>
      </c>
      <c r="W42">
        <v>2</v>
      </c>
      <c r="X42">
        <v>3</v>
      </c>
      <c r="Y42">
        <v>4</v>
      </c>
      <c r="Z42">
        <v>5</v>
      </c>
      <c r="AA42">
        <v>6</v>
      </c>
      <c r="AB42">
        <v>7</v>
      </c>
      <c r="AC42">
        <v>8</v>
      </c>
      <c r="AD42">
        <v>9</v>
      </c>
      <c r="AE42">
        <v>10</v>
      </c>
      <c r="AF42">
        <v>11</v>
      </c>
      <c r="AG42">
        <v>12</v>
      </c>
    </row>
    <row r="43" spans="22:33" ht="15">
      <c r="V43" t="s">
        <v>87</v>
      </c>
      <c r="W43" t="s">
        <v>142</v>
      </c>
      <c r="X43" t="s">
        <v>152</v>
      </c>
      <c r="Y43" t="s">
        <v>19</v>
      </c>
      <c r="Z43" t="s">
        <v>155</v>
      </c>
      <c r="AA43" t="s">
        <v>116</v>
      </c>
      <c r="AB43" t="s">
        <v>150</v>
      </c>
      <c r="AC43" t="s">
        <v>151</v>
      </c>
      <c r="AD43" t="s">
        <v>118</v>
      </c>
      <c r="AE43">
        <v>2</v>
      </c>
      <c r="AF43">
        <v>3</v>
      </c>
      <c r="AG43" t="s">
        <v>36</v>
      </c>
    </row>
    <row r="44" spans="16:33" ht="15">
      <c r="P44" t="s">
        <v>362</v>
      </c>
      <c r="Q44" t="s">
        <v>114</v>
      </c>
      <c r="R44">
        <v>2</v>
      </c>
      <c r="V44" t="str">
        <f>CONCATENATE(W44,X44,Y44)</f>
        <v>Dom AbuseInterim Hearing Unit 1FPC</v>
      </c>
      <c r="W44" t="s">
        <v>139</v>
      </c>
      <c r="X44" t="s">
        <v>112</v>
      </c>
      <c r="Y44" t="s">
        <v>114</v>
      </c>
      <c r="Z44">
        <f>IF($S$8=1,Z109/100*90,Z109)</f>
        <v>81.495</v>
      </c>
      <c r="AA44">
        <v>0</v>
      </c>
      <c r="AB44">
        <v>0</v>
      </c>
      <c r="AC44">
        <f>IF($S$8=1,AC109/100*90,AC109)</f>
        <v>0</v>
      </c>
      <c r="AD44">
        <f>IF($S$8=1,AD109/100*90,AD109)</f>
        <v>0</v>
      </c>
      <c r="AE44">
        <f>IF($S$8=1,AE109/100*90,AE109)</f>
        <v>0</v>
      </c>
      <c r="AF44">
        <f>IF($S$8=1,AF109/100*90,AF109)</f>
        <v>0</v>
      </c>
      <c r="AG44">
        <f>IF($S$8=1,AG109/100*90,AG109)</f>
        <v>32.040000000000006</v>
      </c>
    </row>
    <row r="45" spans="16:33" ht="15">
      <c r="P45" t="s">
        <v>363</v>
      </c>
      <c r="Q45" t="s">
        <v>114</v>
      </c>
      <c r="R45">
        <v>2</v>
      </c>
      <c r="V45" t="str">
        <f aca="true" t="shared" si="2" ref="V45:V65">CONCATENATE(W45,X45,Y45)</f>
        <v>Dom AbuseInterim Hearing Unit 2FPC</v>
      </c>
      <c r="W45" t="s">
        <v>139</v>
      </c>
      <c r="X45" t="s">
        <v>113</v>
      </c>
      <c r="Y45" t="s">
        <v>114</v>
      </c>
      <c r="Z45">
        <f aca="true" t="shared" si="3" ref="Z45:Z106">IF($S$8=1,Z110/100*90,Z110)</f>
        <v>203.76000000000002</v>
      </c>
      <c r="AA45">
        <v>0</v>
      </c>
      <c r="AB45">
        <v>0</v>
      </c>
      <c r="AC45">
        <f aca="true" t="shared" si="4" ref="AC45:AG106">IF($S$8=1,AC110/100*90,AC110)</f>
        <v>0</v>
      </c>
      <c r="AD45">
        <f t="shared" si="4"/>
        <v>0</v>
      </c>
      <c r="AE45">
        <f t="shared" si="4"/>
        <v>0</v>
      </c>
      <c r="AF45">
        <f t="shared" si="4"/>
        <v>0</v>
      </c>
      <c r="AG45">
        <f t="shared" si="4"/>
        <v>32.040000000000006</v>
      </c>
    </row>
    <row r="46" spans="16:33" ht="15">
      <c r="P46" t="s">
        <v>364</v>
      </c>
      <c r="Q46" t="s">
        <v>114</v>
      </c>
      <c r="R46">
        <v>2</v>
      </c>
      <c r="V46" t="str">
        <f t="shared" si="2"/>
        <v>Dom AbuseFinal HearingFPC</v>
      </c>
      <c r="W46" t="s">
        <v>139</v>
      </c>
      <c r="X46" t="s">
        <v>109</v>
      </c>
      <c r="Y46" t="s">
        <v>114</v>
      </c>
      <c r="Z46">
        <f t="shared" si="3"/>
        <v>361.17</v>
      </c>
      <c r="AA46">
        <v>0</v>
      </c>
      <c r="AB46">
        <v>0</v>
      </c>
      <c r="AC46">
        <f t="shared" si="4"/>
        <v>0</v>
      </c>
      <c r="AD46">
        <f t="shared" si="4"/>
        <v>0</v>
      </c>
      <c r="AE46">
        <f t="shared" si="4"/>
        <v>0</v>
      </c>
      <c r="AF46">
        <f t="shared" si="4"/>
        <v>0</v>
      </c>
      <c r="AG46">
        <f t="shared" si="4"/>
        <v>32.040000000000006</v>
      </c>
    </row>
    <row r="47" spans="16:33" ht="15">
      <c r="P47" t="s">
        <v>365</v>
      </c>
      <c r="Q47" t="s">
        <v>115</v>
      </c>
      <c r="R47">
        <v>3</v>
      </c>
      <c r="V47" t="str">
        <f t="shared" si="2"/>
        <v>Dom AbuseConferenceFPC</v>
      </c>
      <c r="W47" t="s">
        <v>139</v>
      </c>
      <c r="X47" t="s">
        <v>110</v>
      </c>
      <c r="Y47" t="s">
        <v>114</v>
      </c>
      <c r="Z47">
        <f t="shared" si="3"/>
        <v>0</v>
      </c>
      <c r="AA47">
        <v>0</v>
      </c>
      <c r="AB47">
        <v>0</v>
      </c>
      <c r="AC47">
        <f t="shared" si="4"/>
        <v>0</v>
      </c>
      <c r="AD47">
        <f t="shared" si="4"/>
        <v>0</v>
      </c>
      <c r="AE47">
        <f t="shared" si="4"/>
        <v>0</v>
      </c>
      <c r="AF47">
        <f t="shared" si="4"/>
        <v>0</v>
      </c>
      <c r="AG47">
        <f t="shared" si="4"/>
        <v>32.040000000000006</v>
      </c>
    </row>
    <row r="48" spans="16:33" ht="15">
      <c r="P48" t="s">
        <v>366</v>
      </c>
      <c r="Q48" t="s">
        <v>115</v>
      </c>
      <c r="R48">
        <v>3</v>
      </c>
      <c r="V48" t="str">
        <f t="shared" si="2"/>
        <v>Dom AbuseOpinionFPC</v>
      </c>
      <c r="W48" t="s">
        <v>139</v>
      </c>
      <c r="X48" t="s">
        <v>111</v>
      </c>
      <c r="Y48" t="s">
        <v>114</v>
      </c>
      <c r="Z48">
        <f t="shared" si="3"/>
        <v>0</v>
      </c>
      <c r="AA48">
        <v>0</v>
      </c>
      <c r="AB48">
        <v>0</v>
      </c>
      <c r="AC48">
        <f t="shared" si="4"/>
        <v>0</v>
      </c>
      <c r="AD48">
        <f t="shared" si="4"/>
        <v>0</v>
      </c>
      <c r="AE48">
        <f t="shared" si="4"/>
        <v>0</v>
      </c>
      <c r="AF48">
        <f t="shared" si="4"/>
        <v>0</v>
      </c>
      <c r="AG48">
        <f t="shared" si="4"/>
        <v>32.040000000000006</v>
      </c>
    </row>
    <row r="49" spans="16:33" ht="15">
      <c r="P49" t="s">
        <v>367</v>
      </c>
      <c r="Q49" t="s">
        <v>115</v>
      </c>
      <c r="R49">
        <v>3</v>
      </c>
      <c r="V49" t="str">
        <f t="shared" si="2"/>
        <v>Dom AbuseFDR Hearing Unit 1FPC</v>
      </c>
      <c r="W49" t="s">
        <v>139</v>
      </c>
      <c r="X49" t="s">
        <v>153</v>
      </c>
      <c r="Y49" t="s">
        <v>114</v>
      </c>
      <c r="Z49">
        <f t="shared" si="3"/>
        <v>0</v>
      </c>
      <c r="AA49">
        <v>0</v>
      </c>
      <c r="AB49">
        <v>0</v>
      </c>
      <c r="AC49">
        <f t="shared" si="4"/>
        <v>0</v>
      </c>
      <c r="AD49">
        <f t="shared" si="4"/>
        <v>0</v>
      </c>
      <c r="AE49">
        <f t="shared" si="4"/>
        <v>0</v>
      </c>
      <c r="AF49">
        <f t="shared" si="4"/>
        <v>0</v>
      </c>
      <c r="AG49">
        <f t="shared" si="4"/>
        <v>0</v>
      </c>
    </row>
    <row r="50" spans="16:33" ht="15">
      <c r="P50" t="s">
        <v>368</v>
      </c>
      <c r="Q50" t="s">
        <v>10</v>
      </c>
      <c r="R50">
        <v>4</v>
      </c>
      <c r="V50" t="str">
        <f t="shared" si="2"/>
        <v>Dom AbuseFDR Hearing Unit 2FPC</v>
      </c>
      <c r="W50" t="s">
        <v>139</v>
      </c>
      <c r="X50" t="s">
        <v>154</v>
      </c>
      <c r="Y50" t="s">
        <v>114</v>
      </c>
      <c r="Z50">
        <f t="shared" si="3"/>
        <v>0</v>
      </c>
      <c r="AA50">
        <v>0</v>
      </c>
      <c r="AB50">
        <v>0</v>
      </c>
      <c r="AC50">
        <f t="shared" si="4"/>
        <v>0</v>
      </c>
      <c r="AD50">
        <f t="shared" si="4"/>
        <v>0</v>
      </c>
      <c r="AE50">
        <f t="shared" si="4"/>
        <v>0</v>
      </c>
      <c r="AF50">
        <f t="shared" si="4"/>
        <v>0</v>
      </c>
      <c r="AG50">
        <f t="shared" si="4"/>
        <v>0</v>
      </c>
    </row>
    <row r="51" spans="16:33" ht="15">
      <c r="P51" t="s">
        <v>369</v>
      </c>
      <c r="Q51" t="s">
        <v>10</v>
      </c>
      <c r="R51">
        <v>4</v>
      </c>
      <c r="V51" t="str">
        <f t="shared" si="2"/>
        <v>Dom AbuseInterim Hearing Unit 1County</v>
      </c>
      <c r="W51" t="s">
        <v>139</v>
      </c>
      <c r="X51" t="s">
        <v>112</v>
      </c>
      <c r="Y51" t="s">
        <v>115</v>
      </c>
      <c r="Z51">
        <f t="shared" si="3"/>
        <v>81.495</v>
      </c>
      <c r="AA51">
        <v>0</v>
      </c>
      <c r="AB51">
        <v>0</v>
      </c>
      <c r="AC51">
        <f t="shared" si="4"/>
        <v>0</v>
      </c>
      <c r="AD51">
        <f t="shared" si="4"/>
        <v>0</v>
      </c>
      <c r="AE51">
        <f t="shared" si="4"/>
        <v>0</v>
      </c>
      <c r="AF51">
        <f t="shared" si="4"/>
        <v>0</v>
      </c>
      <c r="AG51">
        <f t="shared" si="4"/>
        <v>32.040000000000006</v>
      </c>
    </row>
    <row r="52" spans="16:33" ht="15">
      <c r="P52" t="s">
        <v>114</v>
      </c>
      <c r="Q52" t="s">
        <v>114</v>
      </c>
      <c r="R52">
        <v>2</v>
      </c>
      <c r="V52" t="str">
        <f t="shared" si="2"/>
        <v>Dom AbuseInterim Hearing Unit 2County</v>
      </c>
      <c r="W52" t="s">
        <v>139</v>
      </c>
      <c r="X52" t="s">
        <v>113</v>
      </c>
      <c r="Y52" t="s">
        <v>115</v>
      </c>
      <c r="Z52">
        <f t="shared" si="3"/>
        <v>203.76000000000002</v>
      </c>
      <c r="AA52">
        <v>0</v>
      </c>
      <c r="AB52">
        <v>0</v>
      </c>
      <c r="AC52">
        <f t="shared" si="4"/>
        <v>0</v>
      </c>
      <c r="AD52">
        <f t="shared" si="4"/>
        <v>0</v>
      </c>
      <c r="AE52">
        <f t="shared" si="4"/>
        <v>0</v>
      </c>
      <c r="AF52">
        <f t="shared" si="4"/>
        <v>0</v>
      </c>
      <c r="AG52">
        <f t="shared" si="4"/>
        <v>32.040000000000006</v>
      </c>
    </row>
    <row r="53" spans="16:33" ht="15">
      <c r="P53" t="s">
        <v>115</v>
      </c>
      <c r="Q53" t="s">
        <v>115</v>
      </c>
      <c r="R53">
        <v>3</v>
      </c>
      <c r="V53" t="str">
        <f t="shared" si="2"/>
        <v>Dom AbuseFinal HearingCounty</v>
      </c>
      <c r="W53" t="s">
        <v>139</v>
      </c>
      <c r="X53" t="s">
        <v>109</v>
      </c>
      <c r="Y53" t="s">
        <v>115</v>
      </c>
      <c r="Z53">
        <f t="shared" si="3"/>
        <v>361.17</v>
      </c>
      <c r="AA53">
        <v>0</v>
      </c>
      <c r="AB53">
        <v>0</v>
      </c>
      <c r="AC53">
        <f t="shared" si="4"/>
        <v>0</v>
      </c>
      <c r="AD53">
        <f t="shared" si="4"/>
        <v>0</v>
      </c>
      <c r="AE53">
        <f t="shared" si="4"/>
        <v>0</v>
      </c>
      <c r="AF53">
        <f t="shared" si="4"/>
        <v>0</v>
      </c>
      <c r="AG53">
        <f t="shared" si="4"/>
        <v>32.040000000000006</v>
      </c>
    </row>
    <row r="54" spans="16:33" ht="15">
      <c r="P54" t="s">
        <v>10</v>
      </c>
      <c r="Q54" t="s">
        <v>10</v>
      </c>
      <c r="R54">
        <v>4</v>
      </c>
      <c r="V54" t="str">
        <f t="shared" si="2"/>
        <v>Dom AbuseConferenceCounty</v>
      </c>
      <c r="W54" t="s">
        <v>139</v>
      </c>
      <c r="X54" t="s">
        <v>110</v>
      </c>
      <c r="Y54" t="s">
        <v>115</v>
      </c>
      <c r="Z54">
        <f t="shared" si="3"/>
        <v>0</v>
      </c>
      <c r="AA54">
        <v>0</v>
      </c>
      <c r="AB54">
        <v>0</v>
      </c>
      <c r="AC54">
        <f t="shared" si="4"/>
        <v>0</v>
      </c>
      <c r="AD54">
        <f t="shared" si="4"/>
        <v>0</v>
      </c>
      <c r="AE54">
        <f t="shared" si="4"/>
        <v>0</v>
      </c>
      <c r="AF54">
        <f t="shared" si="4"/>
        <v>0</v>
      </c>
      <c r="AG54">
        <f t="shared" si="4"/>
        <v>32.040000000000006</v>
      </c>
    </row>
    <row r="55" spans="16:33" ht="15">
      <c r="P55" t="s">
        <v>76</v>
      </c>
      <c r="V55" t="str">
        <f t="shared" si="2"/>
        <v>Dom AbuseOpinionCounty</v>
      </c>
      <c r="W55" t="s">
        <v>139</v>
      </c>
      <c r="X55" t="s">
        <v>111</v>
      </c>
      <c r="Y55" t="s">
        <v>115</v>
      </c>
      <c r="Z55">
        <f t="shared" si="3"/>
        <v>0</v>
      </c>
      <c r="AA55">
        <v>0</v>
      </c>
      <c r="AB55">
        <v>0</v>
      </c>
      <c r="AC55">
        <f t="shared" si="4"/>
        <v>0</v>
      </c>
      <c r="AD55">
        <f t="shared" si="4"/>
        <v>0</v>
      </c>
      <c r="AE55">
        <f t="shared" si="4"/>
        <v>0</v>
      </c>
      <c r="AF55">
        <f t="shared" si="4"/>
        <v>0</v>
      </c>
      <c r="AG55">
        <f t="shared" si="4"/>
        <v>32.040000000000006</v>
      </c>
    </row>
    <row r="56" spans="16:33" ht="15">
      <c r="P56" t="s">
        <v>76</v>
      </c>
      <c r="V56" t="str">
        <f t="shared" si="2"/>
        <v>Dom AbuseFDR Hearing Unit 1County</v>
      </c>
      <c r="W56" t="s">
        <v>139</v>
      </c>
      <c r="X56" t="s">
        <v>153</v>
      </c>
      <c r="Y56" t="s">
        <v>115</v>
      </c>
      <c r="Z56">
        <f t="shared" si="3"/>
        <v>0</v>
      </c>
      <c r="AA56">
        <v>0</v>
      </c>
      <c r="AB56">
        <v>0</v>
      </c>
      <c r="AC56">
        <f t="shared" si="4"/>
        <v>0</v>
      </c>
      <c r="AD56">
        <f t="shared" si="4"/>
        <v>0</v>
      </c>
      <c r="AE56">
        <f t="shared" si="4"/>
        <v>0</v>
      </c>
      <c r="AF56">
        <f t="shared" si="4"/>
        <v>0</v>
      </c>
      <c r="AG56">
        <f t="shared" si="4"/>
        <v>0</v>
      </c>
    </row>
    <row r="57" spans="16:33" ht="15">
      <c r="P57" t="s">
        <v>76</v>
      </c>
      <c r="V57" t="str">
        <f t="shared" si="2"/>
        <v>Dom AbuseFDR Hearing Unit 2County</v>
      </c>
      <c r="W57" t="s">
        <v>139</v>
      </c>
      <c r="X57" t="s">
        <v>154</v>
      </c>
      <c r="Y57" t="s">
        <v>115</v>
      </c>
      <c r="Z57">
        <f t="shared" si="3"/>
        <v>0</v>
      </c>
      <c r="AA57">
        <v>0</v>
      </c>
      <c r="AB57">
        <v>0</v>
      </c>
      <c r="AC57">
        <f t="shared" si="4"/>
        <v>0</v>
      </c>
      <c r="AD57">
        <f t="shared" si="4"/>
        <v>0</v>
      </c>
      <c r="AE57">
        <f t="shared" si="4"/>
        <v>0</v>
      </c>
      <c r="AF57">
        <f t="shared" si="4"/>
        <v>0</v>
      </c>
      <c r="AG57">
        <f t="shared" si="4"/>
        <v>0</v>
      </c>
    </row>
    <row r="58" spans="16:33" ht="15">
      <c r="P58" t="s">
        <v>76</v>
      </c>
      <c r="V58" t="str">
        <f t="shared" si="2"/>
        <v>Dom AbuseInterim Hearing Unit 1High</v>
      </c>
      <c r="W58" t="s">
        <v>139</v>
      </c>
      <c r="X58" t="s">
        <v>112</v>
      </c>
      <c r="Y58" t="s">
        <v>10</v>
      </c>
      <c r="Z58">
        <f t="shared" si="3"/>
        <v>81.495</v>
      </c>
      <c r="AA58">
        <v>0</v>
      </c>
      <c r="AB58">
        <v>0</v>
      </c>
      <c r="AC58">
        <f t="shared" si="4"/>
        <v>0</v>
      </c>
      <c r="AD58">
        <f t="shared" si="4"/>
        <v>0</v>
      </c>
      <c r="AE58">
        <f t="shared" si="4"/>
        <v>0</v>
      </c>
      <c r="AF58">
        <f t="shared" si="4"/>
        <v>0</v>
      </c>
      <c r="AG58">
        <f t="shared" si="4"/>
        <v>32.040000000000006</v>
      </c>
    </row>
    <row r="59" spans="16:33" ht="15">
      <c r="P59" t="s">
        <v>76</v>
      </c>
      <c r="V59" t="str">
        <f t="shared" si="2"/>
        <v>Dom AbuseInterim Hearing Unit 2High</v>
      </c>
      <c r="W59" t="s">
        <v>139</v>
      </c>
      <c r="X59" t="s">
        <v>113</v>
      </c>
      <c r="Y59" t="s">
        <v>10</v>
      </c>
      <c r="Z59">
        <f t="shared" si="3"/>
        <v>203.76000000000002</v>
      </c>
      <c r="AA59">
        <v>0</v>
      </c>
      <c r="AB59">
        <v>0</v>
      </c>
      <c r="AC59">
        <f t="shared" si="4"/>
        <v>0</v>
      </c>
      <c r="AD59">
        <f t="shared" si="4"/>
        <v>0</v>
      </c>
      <c r="AE59">
        <f t="shared" si="4"/>
        <v>0</v>
      </c>
      <c r="AF59">
        <f t="shared" si="4"/>
        <v>0</v>
      </c>
      <c r="AG59">
        <f t="shared" si="4"/>
        <v>32.040000000000006</v>
      </c>
    </row>
    <row r="60" spans="22:33" ht="15">
      <c r="V60" t="str">
        <f t="shared" si="2"/>
        <v>Dom AbuseFinal HearingHigh</v>
      </c>
      <c r="W60" t="s">
        <v>139</v>
      </c>
      <c r="X60" t="s">
        <v>109</v>
      </c>
      <c r="Y60" t="s">
        <v>10</v>
      </c>
      <c r="Z60">
        <f t="shared" si="3"/>
        <v>361.17</v>
      </c>
      <c r="AA60">
        <v>0</v>
      </c>
      <c r="AB60">
        <v>0</v>
      </c>
      <c r="AC60">
        <f t="shared" si="4"/>
        <v>0</v>
      </c>
      <c r="AD60">
        <f t="shared" si="4"/>
        <v>0</v>
      </c>
      <c r="AE60">
        <f t="shared" si="4"/>
        <v>0</v>
      </c>
      <c r="AF60">
        <f t="shared" si="4"/>
        <v>0</v>
      </c>
      <c r="AG60">
        <f t="shared" si="4"/>
        <v>32.040000000000006</v>
      </c>
    </row>
    <row r="61" spans="22:33" ht="15">
      <c r="V61" t="str">
        <f t="shared" si="2"/>
        <v>Dom AbuseConferenceHigh</v>
      </c>
      <c r="W61" t="s">
        <v>139</v>
      </c>
      <c r="X61" t="s">
        <v>110</v>
      </c>
      <c r="Y61" t="s">
        <v>10</v>
      </c>
      <c r="Z61">
        <f t="shared" si="3"/>
        <v>0</v>
      </c>
      <c r="AA61">
        <v>0</v>
      </c>
      <c r="AB61">
        <v>0</v>
      </c>
      <c r="AC61">
        <f t="shared" si="4"/>
        <v>0</v>
      </c>
      <c r="AD61">
        <f t="shared" si="4"/>
        <v>0</v>
      </c>
      <c r="AE61">
        <f t="shared" si="4"/>
        <v>0</v>
      </c>
      <c r="AF61">
        <f t="shared" si="4"/>
        <v>0</v>
      </c>
      <c r="AG61">
        <f t="shared" si="4"/>
        <v>32.040000000000006</v>
      </c>
    </row>
    <row r="62" spans="22:33" ht="15">
      <c r="V62" t="str">
        <f t="shared" si="2"/>
        <v>Dom AbuseOpinionHigh</v>
      </c>
      <c r="W62" t="s">
        <v>139</v>
      </c>
      <c r="X62" t="s">
        <v>111</v>
      </c>
      <c r="Y62" t="s">
        <v>10</v>
      </c>
      <c r="Z62">
        <f t="shared" si="3"/>
        <v>0</v>
      </c>
      <c r="AA62">
        <v>0</v>
      </c>
      <c r="AB62">
        <v>0</v>
      </c>
      <c r="AC62">
        <f t="shared" si="4"/>
        <v>0</v>
      </c>
      <c r="AD62">
        <f t="shared" si="4"/>
        <v>0</v>
      </c>
      <c r="AE62">
        <f t="shared" si="4"/>
        <v>0</v>
      </c>
      <c r="AF62">
        <f t="shared" si="4"/>
        <v>0</v>
      </c>
      <c r="AG62">
        <f t="shared" si="4"/>
        <v>32.040000000000006</v>
      </c>
    </row>
    <row r="63" spans="22:33" ht="15">
      <c r="V63" t="str">
        <f t="shared" si="2"/>
        <v>Dom AbuseFDR Hearing Unit 1High</v>
      </c>
      <c r="W63" t="s">
        <v>139</v>
      </c>
      <c r="X63" t="s">
        <v>153</v>
      </c>
      <c r="Y63" t="s">
        <v>10</v>
      </c>
      <c r="Z63">
        <f t="shared" si="3"/>
        <v>0</v>
      </c>
      <c r="AA63">
        <v>0</v>
      </c>
      <c r="AB63">
        <v>0</v>
      </c>
      <c r="AC63">
        <f t="shared" si="4"/>
        <v>0</v>
      </c>
      <c r="AD63">
        <f t="shared" si="4"/>
        <v>0</v>
      </c>
      <c r="AE63">
        <f t="shared" si="4"/>
        <v>0</v>
      </c>
      <c r="AF63">
        <f t="shared" si="4"/>
        <v>0</v>
      </c>
      <c r="AG63">
        <f t="shared" si="4"/>
        <v>0</v>
      </c>
    </row>
    <row r="64" spans="22:33" ht="15">
      <c r="V64" t="str">
        <f t="shared" si="2"/>
        <v>Dom AbuseFDR Hearing Unit 2High</v>
      </c>
      <c r="W64" t="s">
        <v>139</v>
      </c>
      <c r="X64" t="s">
        <v>154</v>
      </c>
      <c r="Y64" t="s">
        <v>10</v>
      </c>
      <c r="Z64">
        <f t="shared" si="3"/>
        <v>0</v>
      </c>
      <c r="AA64">
        <v>0</v>
      </c>
      <c r="AB64">
        <v>0</v>
      </c>
      <c r="AC64">
        <f t="shared" si="4"/>
        <v>0</v>
      </c>
      <c r="AD64">
        <f t="shared" si="4"/>
        <v>0</v>
      </c>
      <c r="AE64">
        <f t="shared" si="4"/>
        <v>0</v>
      </c>
      <c r="AF64">
        <f t="shared" si="4"/>
        <v>0</v>
      </c>
      <c r="AG64">
        <f t="shared" si="4"/>
        <v>0</v>
      </c>
    </row>
    <row r="65" spans="22:33" ht="15">
      <c r="V65" t="str">
        <f t="shared" si="2"/>
        <v>ChildrenInterim Hearing Unit 1FPC</v>
      </c>
      <c r="W65" t="s">
        <v>137</v>
      </c>
      <c r="X65" t="s">
        <v>112</v>
      </c>
      <c r="Y65" t="s">
        <v>114</v>
      </c>
      <c r="Z65">
        <f t="shared" si="3"/>
        <v>62.685</v>
      </c>
      <c r="AA65">
        <v>25</v>
      </c>
      <c r="AB65">
        <v>20</v>
      </c>
      <c r="AC65">
        <f t="shared" si="4"/>
        <v>0</v>
      </c>
      <c r="AD65">
        <f t="shared" si="4"/>
        <v>59.400000000000006</v>
      </c>
      <c r="AE65">
        <f t="shared" si="4"/>
        <v>89.1</v>
      </c>
      <c r="AF65">
        <f t="shared" si="4"/>
        <v>0</v>
      </c>
      <c r="AG65">
        <f t="shared" si="4"/>
        <v>32.040000000000006</v>
      </c>
    </row>
    <row r="66" spans="22:33" ht="15">
      <c r="V66" t="str">
        <f aca="true" t="shared" si="5" ref="V66:V86">CONCATENATE(W66,X66,Y66)</f>
        <v>ChildrenInterim Hearing Unit 2FPC</v>
      </c>
      <c r="W66" t="s">
        <v>137</v>
      </c>
      <c r="X66" t="s">
        <v>113</v>
      </c>
      <c r="Y66" t="s">
        <v>114</v>
      </c>
      <c r="Z66">
        <f t="shared" si="3"/>
        <v>156.735</v>
      </c>
      <c r="AA66">
        <v>25</v>
      </c>
      <c r="AB66">
        <v>20</v>
      </c>
      <c r="AC66">
        <f t="shared" si="4"/>
        <v>0</v>
      </c>
      <c r="AD66">
        <f t="shared" si="4"/>
        <v>59.400000000000006</v>
      </c>
      <c r="AE66">
        <f t="shared" si="4"/>
        <v>89.1</v>
      </c>
      <c r="AF66">
        <f t="shared" si="4"/>
        <v>0</v>
      </c>
      <c r="AG66">
        <f t="shared" si="4"/>
        <v>32.040000000000006</v>
      </c>
    </row>
    <row r="67" spans="22:33" ht="15">
      <c r="V67" t="str">
        <f t="shared" si="5"/>
        <v>ChildrenFinal HearingFPC</v>
      </c>
      <c r="W67" t="s">
        <v>137</v>
      </c>
      <c r="X67" t="s">
        <v>109</v>
      </c>
      <c r="Y67" t="s">
        <v>114</v>
      </c>
      <c r="Z67">
        <f t="shared" si="3"/>
        <v>397.035</v>
      </c>
      <c r="AA67">
        <v>25</v>
      </c>
      <c r="AB67">
        <v>20</v>
      </c>
      <c r="AC67">
        <f t="shared" si="4"/>
        <v>0</v>
      </c>
      <c r="AD67">
        <f t="shared" si="4"/>
        <v>159.3</v>
      </c>
      <c r="AE67">
        <f t="shared" si="4"/>
        <v>239.4</v>
      </c>
      <c r="AF67">
        <f t="shared" si="4"/>
        <v>318.6</v>
      </c>
      <c r="AG67">
        <f t="shared" si="4"/>
        <v>32.040000000000006</v>
      </c>
    </row>
    <row r="68" spans="22:33" ht="15">
      <c r="V68" t="str">
        <f t="shared" si="5"/>
        <v>ChildrenConferenceFPC</v>
      </c>
      <c r="W68" t="s">
        <v>137</v>
      </c>
      <c r="X68" t="s">
        <v>110</v>
      </c>
      <c r="Y68" t="s">
        <v>114</v>
      </c>
      <c r="Z68">
        <f t="shared" si="3"/>
        <v>125.37</v>
      </c>
      <c r="AA68">
        <v>0</v>
      </c>
      <c r="AB68">
        <v>0</v>
      </c>
      <c r="AC68">
        <f t="shared" si="4"/>
        <v>0</v>
      </c>
      <c r="AD68">
        <f t="shared" si="4"/>
        <v>0</v>
      </c>
      <c r="AE68">
        <f t="shared" si="4"/>
        <v>0</v>
      </c>
      <c r="AF68">
        <f t="shared" si="4"/>
        <v>0</v>
      </c>
      <c r="AG68">
        <f t="shared" si="4"/>
        <v>32.040000000000006</v>
      </c>
    </row>
    <row r="69" spans="22:33" ht="15">
      <c r="V69" t="str">
        <f t="shared" si="5"/>
        <v>ChildrenOpinionFPC</v>
      </c>
      <c r="W69" t="s">
        <v>137</v>
      </c>
      <c r="X69" t="s">
        <v>111</v>
      </c>
      <c r="Y69" t="s">
        <v>114</v>
      </c>
      <c r="Z69">
        <f t="shared" si="3"/>
        <v>94.05</v>
      </c>
      <c r="AA69">
        <v>0</v>
      </c>
      <c r="AB69">
        <v>0</v>
      </c>
      <c r="AC69">
        <f t="shared" si="4"/>
        <v>0</v>
      </c>
      <c r="AD69">
        <f t="shared" si="4"/>
        <v>0</v>
      </c>
      <c r="AE69">
        <f t="shared" si="4"/>
        <v>0</v>
      </c>
      <c r="AF69">
        <f t="shared" si="4"/>
        <v>0</v>
      </c>
      <c r="AG69">
        <f t="shared" si="4"/>
        <v>32.040000000000006</v>
      </c>
    </row>
    <row r="70" spans="22:33" ht="15">
      <c r="V70" t="str">
        <f t="shared" si="5"/>
        <v>ChildrenFDR Hearing Unit 1FPC</v>
      </c>
      <c r="W70" t="s">
        <v>137</v>
      </c>
      <c r="X70" t="s">
        <v>153</v>
      </c>
      <c r="Y70" t="s">
        <v>114</v>
      </c>
      <c r="Z70">
        <f t="shared" si="3"/>
        <v>0</v>
      </c>
      <c r="AA70">
        <v>0</v>
      </c>
      <c r="AB70">
        <v>0</v>
      </c>
      <c r="AC70">
        <f t="shared" si="4"/>
        <v>0</v>
      </c>
      <c r="AD70">
        <f t="shared" si="4"/>
        <v>0</v>
      </c>
      <c r="AE70">
        <f t="shared" si="4"/>
        <v>0</v>
      </c>
      <c r="AF70">
        <f t="shared" si="4"/>
        <v>0</v>
      </c>
      <c r="AG70">
        <f t="shared" si="4"/>
        <v>0</v>
      </c>
    </row>
    <row r="71" spans="22:33" ht="15">
      <c r="V71" t="str">
        <f t="shared" si="5"/>
        <v>ChildrenFDR Hearing Unit 2FPC</v>
      </c>
      <c r="W71" t="s">
        <v>137</v>
      </c>
      <c r="X71" t="s">
        <v>154</v>
      </c>
      <c r="Y71" t="s">
        <v>114</v>
      </c>
      <c r="Z71">
        <f t="shared" si="3"/>
        <v>0</v>
      </c>
      <c r="AA71">
        <v>0</v>
      </c>
      <c r="AB71">
        <v>0</v>
      </c>
      <c r="AC71">
        <f t="shared" si="4"/>
        <v>0</v>
      </c>
      <c r="AD71">
        <f t="shared" si="4"/>
        <v>0</v>
      </c>
      <c r="AE71">
        <f t="shared" si="4"/>
        <v>0</v>
      </c>
      <c r="AF71">
        <f t="shared" si="4"/>
        <v>0</v>
      </c>
      <c r="AG71">
        <f t="shared" si="4"/>
        <v>0</v>
      </c>
    </row>
    <row r="72" spans="22:33" ht="15">
      <c r="V72" t="str">
        <f t="shared" si="5"/>
        <v>ChildrenInterim Hearing Unit 1County</v>
      </c>
      <c r="W72" t="s">
        <v>137</v>
      </c>
      <c r="X72" t="s">
        <v>112</v>
      </c>
      <c r="Y72" t="s">
        <v>115</v>
      </c>
      <c r="Z72">
        <f t="shared" si="3"/>
        <v>68.94</v>
      </c>
      <c r="AA72">
        <v>25</v>
      </c>
      <c r="AB72">
        <v>20</v>
      </c>
      <c r="AC72">
        <f t="shared" si="4"/>
        <v>0</v>
      </c>
      <c r="AD72">
        <f t="shared" si="4"/>
        <v>59.400000000000006</v>
      </c>
      <c r="AE72">
        <f t="shared" si="4"/>
        <v>89.1</v>
      </c>
      <c r="AF72">
        <f t="shared" si="4"/>
        <v>0</v>
      </c>
      <c r="AG72">
        <f t="shared" si="4"/>
        <v>32.040000000000006</v>
      </c>
    </row>
    <row r="73" spans="22:33" ht="15">
      <c r="V73" t="str">
        <f t="shared" si="5"/>
        <v>ChildrenInterim Hearing Unit 2County</v>
      </c>
      <c r="W73" t="s">
        <v>137</v>
      </c>
      <c r="X73" t="s">
        <v>113</v>
      </c>
      <c r="Y73" t="s">
        <v>115</v>
      </c>
      <c r="Z73">
        <f t="shared" si="3"/>
        <v>172.395</v>
      </c>
      <c r="AA73">
        <v>25</v>
      </c>
      <c r="AB73">
        <v>20</v>
      </c>
      <c r="AC73">
        <f t="shared" si="4"/>
        <v>0</v>
      </c>
      <c r="AD73">
        <f t="shared" si="4"/>
        <v>59.400000000000006</v>
      </c>
      <c r="AE73">
        <f t="shared" si="4"/>
        <v>89.1</v>
      </c>
      <c r="AF73">
        <f t="shared" si="4"/>
        <v>0</v>
      </c>
      <c r="AG73">
        <f t="shared" si="4"/>
        <v>32.040000000000006</v>
      </c>
    </row>
    <row r="74" spans="22:33" ht="15">
      <c r="V74" t="str">
        <f t="shared" si="5"/>
        <v>ChildrenFinal HearingCounty</v>
      </c>
      <c r="W74" t="s">
        <v>137</v>
      </c>
      <c r="X74" t="s">
        <v>109</v>
      </c>
      <c r="Y74" t="s">
        <v>115</v>
      </c>
      <c r="Z74">
        <f t="shared" si="3"/>
        <v>436.725</v>
      </c>
      <c r="AA74">
        <v>25</v>
      </c>
      <c r="AB74">
        <v>20</v>
      </c>
      <c r="AC74">
        <f t="shared" si="4"/>
        <v>0</v>
      </c>
      <c r="AD74">
        <f t="shared" si="4"/>
        <v>159.3</v>
      </c>
      <c r="AE74">
        <f t="shared" si="4"/>
        <v>239.4</v>
      </c>
      <c r="AF74">
        <f t="shared" si="4"/>
        <v>318.6</v>
      </c>
      <c r="AG74">
        <f t="shared" si="4"/>
        <v>32.040000000000006</v>
      </c>
    </row>
    <row r="75" spans="22:33" ht="15">
      <c r="V75" t="str">
        <f t="shared" si="5"/>
        <v>ChildrenConferenceCounty</v>
      </c>
      <c r="W75" t="s">
        <v>137</v>
      </c>
      <c r="X75" t="s">
        <v>110</v>
      </c>
      <c r="Y75" t="s">
        <v>115</v>
      </c>
      <c r="Z75">
        <f t="shared" si="3"/>
        <v>125.37</v>
      </c>
      <c r="AA75">
        <v>0</v>
      </c>
      <c r="AB75"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0</v>
      </c>
      <c r="AG75">
        <f t="shared" si="4"/>
        <v>32.040000000000006</v>
      </c>
    </row>
    <row r="76" spans="22:33" ht="15">
      <c r="V76" t="str">
        <f t="shared" si="5"/>
        <v>ChildrenOpinionCounty</v>
      </c>
      <c r="W76" t="s">
        <v>137</v>
      </c>
      <c r="X76" t="s">
        <v>111</v>
      </c>
      <c r="Y76" t="s">
        <v>115</v>
      </c>
      <c r="Z76">
        <f t="shared" si="3"/>
        <v>94.05</v>
      </c>
      <c r="AA76">
        <v>0</v>
      </c>
      <c r="AB76">
        <v>0</v>
      </c>
      <c r="AC76">
        <f t="shared" si="4"/>
        <v>0</v>
      </c>
      <c r="AD76">
        <f t="shared" si="4"/>
        <v>0</v>
      </c>
      <c r="AE76">
        <f t="shared" si="4"/>
        <v>0</v>
      </c>
      <c r="AF76">
        <f t="shared" si="4"/>
        <v>0</v>
      </c>
      <c r="AG76">
        <f t="shared" si="4"/>
        <v>32.040000000000006</v>
      </c>
    </row>
    <row r="77" spans="22:33" ht="15">
      <c r="V77" t="str">
        <f t="shared" si="5"/>
        <v>ChildrenFDR Hearing Unit 1County</v>
      </c>
      <c r="W77" t="s">
        <v>137</v>
      </c>
      <c r="X77" t="s">
        <v>153</v>
      </c>
      <c r="Y77" t="s">
        <v>115</v>
      </c>
      <c r="Z77">
        <f t="shared" si="3"/>
        <v>0</v>
      </c>
      <c r="AA77">
        <v>0</v>
      </c>
      <c r="AB77">
        <v>0</v>
      </c>
      <c r="AC77">
        <f t="shared" si="4"/>
        <v>0</v>
      </c>
      <c r="AD77">
        <f t="shared" si="4"/>
        <v>0</v>
      </c>
      <c r="AE77">
        <f t="shared" si="4"/>
        <v>0</v>
      </c>
      <c r="AF77">
        <f t="shared" si="4"/>
        <v>0</v>
      </c>
      <c r="AG77">
        <f t="shared" si="4"/>
        <v>0</v>
      </c>
    </row>
    <row r="78" spans="22:33" ht="15">
      <c r="V78" t="str">
        <f t="shared" si="5"/>
        <v>ChildrenFDR Hearing Unit 2County</v>
      </c>
      <c r="W78" t="s">
        <v>137</v>
      </c>
      <c r="X78" t="s">
        <v>154</v>
      </c>
      <c r="Y78" t="s">
        <v>115</v>
      </c>
      <c r="Z78">
        <f t="shared" si="3"/>
        <v>0</v>
      </c>
      <c r="AA78">
        <v>0</v>
      </c>
      <c r="AB78">
        <v>0</v>
      </c>
      <c r="AC78">
        <f t="shared" si="4"/>
        <v>0</v>
      </c>
      <c r="AD78">
        <f t="shared" si="4"/>
        <v>0</v>
      </c>
      <c r="AE78">
        <f t="shared" si="4"/>
        <v>0</v>
      </c>
      <c r="AF78">
        <f t="shared" si="4"/>
        <v>0</v>
      </c>
      <c r="AG78">
        <f t="shared" si="4"/>
        <v>0</v>
      </c>
    </row>
    <row r="79" spans="22:33" ht="15">
      <c r="V79" t="str">
        <f t="shared" si="5"/>
        <v>ChildrenInterim Hearing Unit 1High</v>
      </c>
      <c r="W79" t="s">
        <v>137</v>
      </c>
      <c r="X79" t="s">
        <v>112</v>
      </c>
      <c r="Y79" t="s">
        <v>10</v>
      </c>
      <c r="Z79">
        <f t="shared" si="3"/>
        <v>82.755</v>
      </c>
      <c r="AA79">
        <v>25</v>
      </c>
      <c r="AB79">
        <v>20</v>
      </c>
      <c r="AC79">
        <f t="shared" si="4"/>
        <v>0</v>
      </c>
      <c r="AD79">
        <f t="shared" si="4"/>
        <v>59.400000000000006</v>
      </c>
      <c r="AE79">
        <f t="shared" si="4"/>
        <v>89.1</v>
      </c>
      <c r="AF79">
        <f t="shared" si="4"/>
        <v>0</v>
      </c>
      <c r="AG79">
        <f t="shared" si="4"/>
        <v>32.040000000000006</v>
      </c>
    </row>
    <row r="80" spans="22:33" ht="15">
      <c r="V80" t="str">
        <f t="shared" si="5"/>
        <v>ChildrenInterim Hearing Unit 2High</v>
      </c>
      <c r="W80" t="s">
        <v>137</v>
      </c>
      <c r="X80" t="s">
        <v>113</v>
      </c>
      <c r="Y80" t="s">
        <v>10</v>
      </c>
      <c r="Z80">
        <f t="shared" si="3"/>
        <v>206.86499999999998</v>
      </c>
      <c r="AA80">
        <v>25</v>
      </c>
      <c r="AB80">
        <v>20</v>
      </c>
      <c r="AC80">
        <f t="shared" si="4"/>
        <v>0</v>
      </c>
      <c r="AD80">
        <f t="shared" si="4"/>
        <v>59.400000000000006</v>
      </c>
      <c r="AE80">
        <f t="shared" si="4"/>
        <v>89.1</v>
      </c>
      <c r="AF80">
        <f t="shared" si="4"/>
        <v>0</v>
      </c>
      <c r="AG80">
        <f t="shared" si="4"/>
        <v>32.040000000000006</v>
      </c>
    </row>
    <row r="81" spans="22:33" ht="15">
      <c r="V81" t="str">
        <f t="shared" si="5"/>
        <v>ChildrenFinal HearingHigh</v>
      </c>
      <c r="W81" t="s">
        <v>137</v>
      </c>
      <c r="X81" t="s">
        <v>109</v>
      </c>
      <c r="Y81" t="s">
        <v>10</v>
      </c>
      <c r="Z81">
        <f t="shared" si="3"/>
        <v>524.0699999999999</v>
      </c>
      <c r="AA81">
        <v>25</v>
      </c>
      <c r="AB81">
        <v>20</v>
      </c>
      <c r="AC81">
        <f t="shared" si="4"/>
        <v>0</v>
      </c>
      <c r="AD81">
        <f t="shared" si="4"/>
        <v>159.3</v>
      </c>
      <c r="AE81">
        <f t="shared" si="4"/>
        <v>239.4</v>
      </c>
      <c r="AF81">
        <f t="shared" si="4"/>
        <v>318.6</v>
      </c>
      <c r="AG81">
        <f t="shared" si="4"/>
        <v>32.040000000000006</v>
      </c>
    </row>
    <row r="82" spans="22:33" ht="15">
      <c r="V82" t="str">
        <f t="shared" si="5"/>
        <v>ChildrenConferenceHigh</v>
      </c>
      <c r="W82" t="s">
        <v>137</v>
      </c>
      <c r="X82" t="s">
        <v>110</v>
      </c>
      <c r="Y82" t="s">
        <v>10</v>
      </c>
      <c r="Z82">
        <f t="shared" si="3"/>
        <v>125.37</v>
      </c>
      <c r="AA82">
        <v>0</v>
      </c>
      <c r="AB82">
        <v>0</v>
      </c>
      <c r="AC82">
        <f t="shared" si="4"/>
        <v>0</v>
      </c>
      <c r="AD82">
        <f t="shared" si="4"/>
        <v>0</v>
      </c>
      <c r="AE82">
        <f t="shared" si="4"/>
        <v>0</v>
      </c>
      <c r="AF82">
        <f t="shared" si="4"/>
        <v>0</v>
      </c>
      <c r="AG82">
        <f t="shared" si="4"/>
        <v>32.040000000000006</v>
      </c>
    </row>
    <row r="83" spans="22:33" ht="15">
      <c r="V83" t="str">
        <f t="shared" si="5"/>
        <v>ChildrenOpinionHigh</v>
      </c>
      <c r="W83" t="s">
        <v>137</v>
      </c>
      <c r="X83" t="s">
        <v>111</v>
      </c>
      <c r="Y83" t="s">
        <v>10</v>
      </c>
      <c r="Z83">
        <f t="shared" si="3"/>
        <v>94.05</v>
      </c>
      <c r="AA83">
        <v>0</v>
      </c>
      <c r="AB83">
        <v>0</v>
      </c>
      <c r="AC83">
        <f t="shared" si="4"/>
        <v>0</v>
      </c>
      <c r="AD83">
        <f t="shared" si="4"/>
        <v>0</v>
      </c>
      <c r="AE83">
        <f t="shared" si="4"/>
        <v>0</v>
      </c>
      <c r="AF83">
        <f t="shared" si="4"/>
        <v>0</v>
      </c>
      <c r="AG83">
        <f t="shared" si="4"/>
        <v>32.040000000000006</v>
      </c>
    </row>
    <row r="84" spans="22:33" ht="15">
      <c r="V84" t="str">
        <f t="shared" si="5"/>
        <v>ChildrenFDR Hearing Unit 1High</v>
      </c>
      <c r="W84" t="s">
        <v>137</v>
      </c>
      <c r="X84" t="s">
        <v>153</v>
      </c>
      <c r="Y84" t="s">
        <v>10</v>
      </c>
      <c r="Z84">
        <f t="shared" si="3"/>
        <v>0</v>
      </c>
      <c r="AA84">
        <v>0</v>
      </c>
      <c r="AB84">
        <v>0</v>
      </c>
      <c r="AC84">
        <f t="shared" si="4"/>
        <v>0</v>
      </c>
      <c r="AD84">
        <f t="shared" si="4"/>
        <v>0</v>
      </c>
      <c r="AE84">
        <f t="shared" si="4"/>
        <v>0</v>
      </c>
      <c r="AF84">
        <f t="shared" si="4"/>
        <v>0</v>
      </c>
      <c r="AG84">
        <f t="shared" si="4"/>
        <v>0</v>
      </c>
    </row>
    <row r="85" spans="22:33" ht="15">
      <c r="V85" t="str">
        <f t="shared" si="5"/>
        <v>ChildrenFDR Hearing Unit 2High</v>
      </c>
      <c r="W85" t="s">
        <v>137</v>
      </c>
      <c r="X85" t="s">
        <v>154</v>
      </c>
      <c r="Y85" t="s">
        <v>10</v>
      </c>
      <c r="Z85">
        <f t="shared" si="3"/>
        <v>0</v>
      </c>
      <c r="AA85">
        <v>0</v>
      </c>
      <c r="AB85">
        <v>0</v>
      </c>
      <c r="AC85">
        <f t="shared" si="4"/>
        <v>0</v>
      </c>
      <c r="AD85">
        <f t="shared" si="4"/>
        <v>0</v>
      </c>
      <c r="AE85">
        <f t="shared" si="4"/>
        <v>0</v>
      </c>
      <c r="AF85">
        <f t="shared" si="4"/>
        <v>0</v>
      </c>
      <c r="AG85">
        <f t="shared" si="4"/>
        <v>0</v>
      </c>
    </row>
    <row r="86" spans="22:33" ht="15">
      <c r="V86" t="str">
        <f t="shared" si="5"/>
        <v>FinanceInterim Hearing Unit 1FPC</v>
      </c>
      <c r="W86" t="s">
        <v>138</v>
      </c>
      <c r="X86" t="s">
        <v>112</v>
      </c>
      <c r="Y86" t="s">
        <v>114</v>
      </c>
      <c r="Z86">
        <f t="shared" si="3"/>
        <v>0</v>
      </c>
      <c r="AA86">
        <v>0</v>
      </c>
      <c r="AB86">
        <v>0</v>
      </c>
      <c r="AC86">
        <f t="shared" si="4"/>
        <v>0</v>
      </c>
      <c r="AD86">
        <f t="shared" si="4"/>
        <v>0</v>
      </c>
      <c r="AE86">
        <f t="shared" si="4"/>
        <v>0</v>
      </c>
      <c r="AF86">
        <f t="shared" si="4"/>
        <v>0</v>
      </c>
      <c r="AG86">
        <f t="shared" si="4"/>
        <v>0</v>
      </c>
    </row>
    <row r="87" spans="22:33" ht="15">
      <c r="V87" t="str">
        <f aca="true" t="shared" si="6" ref="V87:V106">CONCATENATE(W87,X87,Y87)</f>
        <v>FinanceInterim Hearing Unit 2FPC</v>
      </c>
      <c r="W87" t="s">
        <v>138</v>
      </c>
      <c r="X87" t="s">
        <v>113</v>
      </c>
      <c r="Y87" t="s">
        <v>114</v>
      </c>
      <c r="Z87">
        <f t="shared" si="3"/>
        <v>0</v>
      </c>
      <c r="AA87">
        <v>0</v>
      </c>
      <c r="AB87">
        <v>0</v>
      </c>
      <c r="AC87">
        <f t="shared" si="4"/>
        <v>0</v>
      </c>
      <c r="AD87">
        <f t="shared" si="4"/>
        <v>0</v>
      </c>
      <c r="AE87">
        <f t="shared" si="4"/>
        <v>0</v>
      </c>
      <c r="AF87">
        <f t="shared" si="4"/>
        <v>0</v>
      </c>
      <c r="AG87">
        <f t="shared" si="4"/>
        <v>0</v>
      </c>
    </row>
    <row r="88" spans="22:33" ht="15">
      <c r="V88" t="str">
        <f t="shared" si="6"/>
        <v>FinanceFinal HearingFPC</v>
      </c>
      <c r="W88" t="s">
        <v>138</v>
      </c>
      <c r="X88" t="s">
        <v>109</v>
      </c>
      <c r="Y88" t="s">
        <v>114</v>
      </c>
      <c r="Z88">
        <f t="shared" si="3"/>
        <v>0</v>
      </c>
      <c r="AA88">
        <v>0</v>
      </c>
      <c r="AB88">
        <v>0</v>
      </c>
      <c r="AC88">
        <f t="shared" si="4"/>
        <v>0</v>
      </c>
      <c r="AD88">
        <f t="shared" si="4"/>
        <v>0</v>
      </c>
      <c r="AE88">
        <f t="shared" si="4"/>
        <v>0</v>
      </c>
      <c r="AF88">
        <f t="shared" si="4"/>
        <v>0</v>
      </c>
      <c r="AG88">
        <f t="shared" si="4"/>
        <v>0</v>
      </c>
    </row>
    <row r="89" spans="22:33" ht="15">
      <c r="V89" t="str">
        <f t="shared" si="6"/>
        <v>FinanceConferenceFPC</v>
      </c>
      <c r="W89" t="s">
        <v>138</v>
      </c>
      <c r="X89" t="s">
        <v>110</v>
      </c>
      <c r="Y89" t="s">
        <v>114</v>
      </c>
      <c r="Z89">
        <f t="shared" si="3"/>
        <v>0</v>
      </c>
      <c r="AA89">
        <v>0</v>
      </c>
      <c r="AB89">
        <v>0</v>
      </c>
      <c r="AC89">
        <f t="shared" si="4"/>
        <v>0</v>
      </c>
      <c r="AD89">
        <f t="shared" si="4"/>
        <v>0</v>
      </c>
      <c r="AE89">
        <f t="shared" si="4"/>
        <v>0</v>
      </c>
      <c r="AF89">
        <f t="shared" si="4"/>
        <v>0</v>
      </c>
      <c r="AG89">
        <f t="shared" si="4"/>
        <v>0</v>
      </c>
    </row>
    <row r="90" spans="22:33" ht="15">
      <c r="V90" t="str">
        <f t="shared" si="6"/>
        <v>FinanceOpinionFPC</v>
      </c>
      <c r="W90" t="s">
        <v>138</v>
      </c>
      <c r="X90" t="s">
        <v>111</v>
      </c>
      <c r="Y90" t="s">
        <v>114</v>
      </c>
      <c r="Z90">
        <f t="shared" si="3"/>
        <v>0</v>
      </c>
      <c r="AA90">
        <v>0</v>
      </c>
      <c r="AB90">
        <v>0</v>
      </c>
      <c r="AC90">
        <f t="shared" si="4"/>
        <v>0</v>
      </c>
      <c r="AD90">
        <f t="shared" si="4"/>
        <v>0</v>
      </c>
      <c r="AE90">
        <f t="shared" si="4"/>
        <v>0</v>
      </c>
      <c r="AF90">
        <f t="shared" si="4"/>
        <v>0</v>
      </c>
      <c r="AG90">
        <f t="shared" si="4"/>
        <v>0</v>
      </c>
    </row>
    <row r="91" spans="22:33" ht="15">
      <c r="V91" t="str">
        <f t="shared" si="6"/>
        <v>FinanceFDR Hearing Unit 1FPC</v>
      </c>
      <c r="W91" t="s">
        <v>138</v>
      </c>
      <c r="X91" t="s">
        <v>153</v>
      </c>
      <c r="Y91" t="s">
        <v>114</v>
      </c>
      <c r="Z91">
        <f t="shared" si="3"/>
        <v>0</v>
      </c>
      <c r="AA91">
        <v>0</v>
      </c>
      <c r="AB91">
        <v>0</v>
      </c>
      <c r="AC91">
        <f t="shared" si="4"/>
        <v>0</v>
      </c>
      <c r="AD91">
        <f t="shared" si="4"/>
        <v>0</v>
      </c>
      <c r="AE91">
        <f t="shared" si="4"/>
        <v>0</v>
      </c>
      <c r="AF91">
        <f t="shared" si="4"/>
        <v>0</v>
      </c>
      <c r="AG91">
        <f t="shared" si="4"/>
        <v>0</v>
      </c>
    </row>
    <row r="92" spans="22:33" ht="15">
      <c r="V92" t="str">
        <f t="shared" si="6"/>
        <v>FinanceFDR Hearing Unit 2FPC</v>
      </c>
      <c r="W92" t="s">
        <v>138</v>
      </c>
      <c r="X92" t="s">
        <v>154</v>
      </c>
      <c r="Y92" t="s">
        <v>114</v>
      </c>
      <c r="Z92">
        <f t="shared" si="3"/>
        <v>0</v>
      </c>
      <c r="AA92">
        <v>0</v>
      </c>
      <c r="AB92">
        <v>0</v>
      </c>
      <c r="AC92">
        <f t="shared" si="4"/>
        <v>0</v>
      </c>
      <c r="AD92">
        <f t="shared" si="4"/>
        <v>0</v>
      </c>
      <c r="AE92">
        <f t="shared" si="4"/>
        <v>0</v>
      </c>
      <c r="AF92">
        <f t="shared" si="4"/>
        <v>0</v>
      </c>
      <c r="AG92">
        <f t="shared" si="4"/>
        <v>0</v>
      </c>
    </row>
    <row r="93" spans="22:33" ht="15">
      <c r="V93" t="str">
        <f t="shared" si="6"/>
        <v>FinanceInterim Hearing Unit 1County</v>
      </c>
      <c r="W93" t="s">
        <v>138</v>
      </c>
      <c r="X93" t="s">
        <v>112</v>
      </c>
      <c r="Y93" t="s">
        <v>115</v>
      </c>
      <c r="Z93">
        <f t="shared" si="3"/>
        <v>63.18000000000001</v>
      </c>
      <c r="AA93">
        <v>0</v>
      </c>
      <c r="AB93">
        <v>0</v>
      </c>
      <c r="AC93">
        <f t="shared" si="4"/>
        <v>126.36000000000001</v>
      </c>
      <c r="AD93">
        <f t="shared" si="4"/>
        <v>59.400000000000006</v>
      </c>
      <c r="AE93">
        <f aca="true" t="shared" si="7" ref="AD93:AG106">IF($S$8=1,AE158/100*90,AE158)</f>
        <v>89.1</v>
      </c>
      <c r="AF93">
        <f t="shared" si="7"/>
        <v>0</v>
      </c>
      <c r="AG93">
        <f t="shared" si="7"/>
        <v>32.040000000000006</v>
      </c>
    </row>
    <row r="94" spans="22:33" ht="15">
      <c r="V94" t="str">
        <f t="shared" si="6"/>
        <v>FinanceInterim Hearing Unit 2County</v>
      </c>
      <c r="W94" t="s">
        <v>138</v>
      </c>
      <c r="X94" t="s">
        <v>113</v>
      </c>
      <c r="Y94" t="s">
        <v>115</v>
      </c>
      <c r="Z94">
        <f t="shared" si="3"/>
        <v>157.95</v>
      </c>
      <c r="AA94">
        <v>0</v>
      </c>
      <c r="AB94">
        <v>0</v>
      </c>
      <c r="AC94">
        <f t="shared" si="4"/>
        <v>126.36000000000001</v>
      </c>
      <c r="AD94">
        <f t="shared" si="7"/>
        <v>59.400000000000006</v>
      </c>
      <c r="AE94">
        <f t="shared" si="7"/>
        <v>89.1</v>
      </c>
      <c r="AF94">
        <f t="shared" si="7"/>
        <v>0</v>
      </c>
      <c r="AG94">
        <f t="shared" si="7"/>
        <v>32.040000000000006</v>
      </c>
    </row>
    <row r="95" spans="22:33" ht="15">
      <c r="V95" t="str">
        <f>CONCATENATE(W95,X95,Y95)</f>
        <v>FinanceFDR Hearing Unit 1County</v>
      </c>
      <c r="W95" t="s">
        <v>138</v>
      </c>
      <c r="X95" t="s">
        <v>153</v>
      </c>
      <c r="Y95" t="s">
        <v>115</v>
      </c>
      <c r="Z95">
        <f t="shared" si="3"/>
        <v>101.07</v>
      </c>
      <c r="AA95">
        <v>0</v>
      </c>
      <c r="AB95">
        <v>0</v>
      </c>
      <c r="AC95">
        <f t="shared" si="4"/>
        <v>126.36000000000001</v>
      </c>
      <c r="AD95">
        <f t="shared" si="7"/>
        <v>59.400000000000006</v>
      </c>
      <c r="AE95">
        <f t="shared" si="7"/>
        <v>89.1</v>
      </c>
      <c r="AF95">
        <f t="shared" si="7"/>
        <v>0</v>
      </c>
      <c r="AG95">
        <f t="shared" si="7"/>
        <v>32.040000000000006</v>
      </c>
    </row>
    <row r="96" spans="22:33" ht="15">
      <c r="V96" t="str">
        <f>CONCATENATE(W96,X96,Y96)</f>
        <v>FinanceFDR Hearing Unit 2County</v>
      </c>
      <c r="W96" t="s">
        <v>138</v>
      </c>
      <c r="X96" t="s">
        <v>154</v>
      </c>
      <c r="Y96" t="s">
        <v>115</v>
      </c>
      <c r="Z96">
        <f t="shared" si="3"/>
        <v>252.72000000000003</v>
      </c>
      <c r="AA96">
        <v>0</v>
      </c>
      <c r="AB96">
        <v>0</v>
      </c>
      <c r="AC96">
        <f t="shared" si="4"/>
        <v>126.36000000000001</v>
      </c>
      <c r="AD96">
        <f t="shared" si="7"/>
        <v>59.400000000000006</v>
      </c>
      <c r="AE96">
        <f t="shared" si="7"/>
        <v>89.1</v>
      </c>
      <c r="AF96">
        <f t="shared" si="7"/>
        <v>0</v>
      </c>
      <c r="AG96">
        <f t="shared" si="7"/>
        <v>32.040000000000006</v>
      </c>
    </row>
    <row r="97" spans="22:33" ht="15">
      <c r="V97" t="str">
        <f t="shared" si="6"/>
        <v>FinanceFinal HearingCounty</v>
      </c>
      <c r="W97" t="s">
        <v>138</v>
      </c>
      <c r="X97" t="s">
        <v>109</v>
      </c>
      <c r="Y97" t="s">
        <v>115</v>
      </c>
      <c r="Z97">
        <f t="shared" si="3"/>
        <v>443.7</v>
      </c>
      <c r="AA97">
        <v>0</v>
      </c>
      <c r="AB97">
        <v>0</v>
      </c>
      <c r="AC97">
        <f t="shared" si="4"/>
        <v>0</v>
      </c>
      <c r="AD97">
        <f t="shared" si="7"/>
        <v>159.3</v>
      </c>
      <c r="AE97">
        <f t="shared" si="7"/>
        <v>239.4</v>
      </c>
      <c r="AF97">
        <f t="shared" si="7"/>
        <v>318.6</v>
      </c>
      <c r="AG97">
        <f t="shared" si="7"/>
        <v>32.040000000000006</v>
      </c>
    </row>
    <row r="98" spans="22:33" ht="15">
      <c r="V98" t="str">
        <f t="shared" si="6"/>
        <v>FinanceConferenceCounty</v>
      </c>
      <c r="W98" t="s">
        <v>138</v>
      </c>
      <c r="X98" t="s">
        <v>110</v>
      </c>
      <c r="Y98" t="s">
        <v>115</v>
      </c>
      <c r="Z98">
        <f t="shared" si="3"/>
        <v>126.36000000000001</v>
      </c>
      <c r="AA98">
        <v>0</v>
      </c>
      <c r="AB98">
        <v>0</v>
      </c>
      <c r="AC98">
        <f t="shared" si="4"/>
        <v>0</v>
      </c>
      <c r="AD98">
        <f t="shared" si="7"/>
        <v>0</v>
      </c>
      <c r="AE98">
        <f t="shared" si="7"/>
        <v>0</v>
      </c>
      <c r="AF98">
        <f t="shared" si="7"/>
        <v>0</v>
      </c>
      <c r="AG98">
        <f t="shared" si="7"/>
        <v>32.040000000000006</v>
      </c>
    </row>
    <row r="99" spans="22:33" ht="15">
      <c r="V99" t="str">
        <f t="shared" si="6"/>
        <v>FinanceOpinionCounty</v>
      </c>
      <c r="W99" t="s">
        <v>138</v>
      </c>
      <c r="X99" t="s">
        <v>111</v>
      </c>
      <c r="Y99" t="s">
        <v>115</v>
      </c>
      <c r="Z99">
        <f t="shared" si="3"/>
        <v>126.36000000000001</v>
      </c>
      <c r="AA99">
        <v>0</v>
      </c>
      <c r="AB99">
        <v>0</v>
      </c>
      <c r="AC99">
        <f t="shared" si="4"/>
        <v>0</v>
      </c>
      <c r="AD99">
        <f t="shared" si="7"/>
        <v>0</v>
      </c>
      <c r="AE99">
        <f t="shared" si="7"/>
        <v>0</v>
      </c>
      <c r="AF99">
        <f t="shared" si="7"/>
        <v>0</v>
      </c>
      <c r="AG99">
        <f t="shared" si="7"/>
        <v>0</v>
      </c>
    </row>
    <row r="100" spans="22:33" ht="15">
      <c r="V100" t="str">
        <f t="shared" si="6"/>
        <v>FinanceInterim Hearing Unit 1High</v>
      </c>
      <c r="W100" t="s">
        <v>138</v>
      </c>
      <c r="X100" t="s">
        <v>112</v>
      </c>
      <c r="Y100" t="s">
        <v>10</v>
      </c>
      <c r="Z100">
        <f t="shared" si="3"/>
        <v>75.825</v>
      </c>
      <c r="AA100">
        <v>0</v>
      </c>
      <c r="AB100">
        <v>0</v>
      </c>
      <c r="AC100">
        <f t="shared" si="4"/>
        <v>151.65</v>
      </c>
      <c r="AD100">
        <f t="shared" si="7"/>
        <v>59.400000000000006</v>
      </c>
      <c r="AE100">
        <f t="shared" si="7"/>
        <v>89.1</v>
      </c>
      <c r="AF100">
        <f t="shared" si="7"/>
        <v>0</v>
      </c>
      <c r="AG100">
        <f t="shared" si="7"/>
        <v>32.040000000000006</v>
      </c>
    </row>
    <row r="101" spans="22:33" ht="15">
      <c r="V101" t="str">
        <f t="shared" si="6"/>
        <v>FinanceInterim Hearing Unit 2High</v>
      </c>
      <c r="W101" t="s">
        <v>138</v>
      </c>
      <c r="X101" t="s">
        <v>113</v>
      </c>
      <c r="Y101" t="s">
        <v>10</v>
      </c>
      <c r="Z101">
        <f t="shared" si="3"/>
        <v>189.54</v>
      </c>
      <c r="AA101">
        <v>0</v>
      </c>
      <c r="AB101">
        <v>0</v>
      </c>
      <c r="AC101">
        <f t="shared" si="4"/>
        <v>151.65</v>
      </c>
      <c r="AD101">
        <f t="shared" si="7"/>
        <v>59.400000000000006</v>
      </c>
      <c r="AE101">
        <f t="shared" si="7"/>
        <v>89.1</v>
      </c>
      <c r="AF101">
        <f t="shared" si="7"/>
        <v>0</v>
      </c>
      <c r="AG101">
        <f t="shared" si="7"/>
        <v>32.040000000000006</v>
      </c>
    </row>
    <row r="102" spans="22:33" ht="15">
      <c r="V102" t="str">
        <f>CONCATENATE(W102,X102,Y102)</f>
        <v>FinanceFDR Hearing Unit 1High</v>
      </c>
      <c r="W102" t="s">
        <v>138</v>
      </c>
      <c r="X102" t="s">
        <v>153</v>
      </c>
      <c r="Y102" t="s">
        <v>10</v>
      </c>
      <c r="Z102">
        <f t="shared" si="3"/>
        <v>121.32000000000001</v>
      </c>
      <c r="AA102">
        <v>0</v>
      </c>
      <c r="AB102">
        <v>0</v>
      </c>
      <c r="AC102">
        <f t="shared" si="4"/>
        <v>151.65</v>
      </c>
      <c r="AD102">
        <f t="shared" si="7"/>
        <v>59.400000000000006</v>
      </c>
      <c r="AE102">
        <f t="shared" si="7"/>
        <v>89.1</v>
      </c>
      <c r="AF102">
        <f t="shared" si="7"/>
        <v>0</v>
      </c>
      <c r="AG102">
        <f t="shared" si="7"/>
        <v>32.040000000000006</v>
      </c>
    </row>
    <row r="103" spans="22:33" ht="15">
      <c r="V103" t="str">
        <f>CONCATENATE(W103,X103,Y103)</f>
        <v>FinanceFDR Hearing Unit 2High</v>
      </c>
      <c r="W103" t="s">
        <v>138</v>
      </c>
      <c r="X103" t="s">
        <v>154</v>
      </c>
      <c r="Y103" t="s">
        <v>10</v>
      </c>
      <c r="Z103">
        <f t="shared" si="3"/>
        <v>303.255</v>
      </c>
      <c r="AA103">
        <v>0</v>
      </c>
      <c r="AB103">
        <v>0</v>
      </c>
      <c r="AC103">
        <f t="shared" si="4"/>
        <v>151.65</v>
      </c>
      <c r="AD103">
        <f t="shared" si="7"/>
        <v>59.400000000000006</v>
      </c>
      <c r="AE103">
        <f t="shared" si="7"/>
        <v>89.1</v>
      </c>
      <c r="AF103">
        <f t="shared" si="7"/>
        <v>0</v>
      </c>
      <c r="AG103">
        <f t="shared" si="7"/>
        <v>32.040000000000006</v>
      </c>
    </row>
    <row r="104" spans="22:33" ht="15">
      <c r="V104" t="str">
        <f t="shared" si="6"/>
        <v>FinanceFinal HearingHigh</v>
      </c>
      <c r="W104" t="s">
        <v>138</v>
      </c>
      <c r="X104" t="s">
        <v>109</v>
      </c>
      <c r="Y104" t="s">
        <v>10</v>
      </c>
      <c r="Z104">
        <f t="shared" si="3"/>
        <v>532.44</v>
      </c>
      <c r="AA104">
        <v>0</v>
      </c>
      <c r="AB104">
        <v>0</v>
      </c>
      <c r="AC104">
        <f t="shared" si="4"/>
        <v>0</v>
      </c>
      <c r="AD104">
        <f t="shared" si="7"/>
        <v>159.3</v>
      </c>
      <c r="AE104">
        <f t="shared" si="7"/>
        <v>239.4</v>
      </c>
      <c r="AF104">
        <f t="shared" si="7"/>
        <v>318.6</v>
      </c>
      <c r="AG104">
        <f t="shared" si="7"/>
        <v>32.040000000000006</v>
      </c>
    </row>
    <row r="105" spans="22:33" ht="15">
      <c r="V105" t="str">
        <f t="shared" si="6"/>
        <v>FinanceConferenceHigh</v>
      </c>
      <c r="W105" t="s">
        <v>138</v>
      </c>
      <c r="X105" t="s">
        <v>110</v>
      </c>
      <c r="Y105" t="s">
        <v>10</v>
      </c>
      <c r="Z105">
        <f t="shared" si="3"/>
        <v>94.77</v>
      </c>
      <c r="AA105">
        <v>0</v>
      </c>
      <c r="AB105">
        <v>0</v>
      </c>
      <c r="AC105">
        <f t="shared" si="4"/>
        <v>0</v>
      </c>
      <c r="AD105">
        <f t="shared" si="7"/>
        <v>0</v>
      </c>
      <c r="AE105">
        <f t="shared" si="7"/>
        <v>0</v>
      </c>
      <c r="AF105">
        <f t="shared" si="7"/>
        <v>0</v>
      </c>
      <c r="AG105">
        <f t="shared" si="7"/>
        <v>32.040000000000006</v>
      </c>
    </row>
    <row r="106" spans="22:33" ht="15">
      <c r="V106" t="str">
        <f t="shared" si="6"/>
        <v>FinanceOpinionHigh</v>
      </c>
      <c r="W106" t="s">
        <v>138</v>
      </c>
      <c r="X106" t="s">
        <v>111</v>
      </c>
      <c r="Y106" t="s">
        <v>10</v>
      </c>
      <c r="Z106">
        <f t="shared" si="3"/>
        <v>94.77</v>
      </c>
      <c r="AA106">
        <v>0</v>
      </c>
      <c r="AB106">
        <v>0</v>
      </c>
      <c r="AC106">
        <f t="shared" si="4"/>
        <v>0</v>
      </c>
      <c r="AD106">
        <f t="shared" si="7"/>
        <v>0</v>
      </c>
      <c r="AE106">
        <f t="shared" si="7"/>
        <v>0</v>
      </c>
      <c r="AF106">
        <f t="shared" si="7"/>
        <v>0</v>
      </c>
      <c r="AG106">
        <f t="shared" si="7"/>
        <v>0</v>
      </c>
    </row>
    <row r="108" spans="26:33" ht="15">
      <c r="Z108" t="s">
        <v>155</v>
      </c>
      <c r="AA108" t="s">
        <v>116</v>
      </c>
      <c r="AB108" t="s">
        <v>150</v>
      </c>
      <c r="AC108" t="s">
        <v>151</v>
      </c>
      <c r="AD108" t="s">
        <v>118</v>
      </c>
      <c r="AE108">
        <v>2</v>
      </c>
      <c r="AF108">
        <v>3</v>
      </c>
      <c r="AG108" t="s">
        <v>36</v>
      </c>
    </row>
    <row r="109" spans="26:33" ht="15">
      <c r="Z109">
        <v>90.55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35.6</v>
      </c>
    </row>
    <row r="110" spans="26:33" ht="15">
      <c r="Z110">
        <v>226.4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35.6</v>
      </c>
    </row>
    <row r="111" spans="26:33" ht="15">
      <c r="Z111">
        <v>401.3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35.6</v>
      </c>
    </row>
    <row r="112" spans="26:33" ht="15"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35.6</v>
      </c>
    </row>
    <row r="113" spans="26:33" ht="15"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35.6</v>
      </c>
    </row>
    <row r="114" spans="26:33" ht="15"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</row>
    <row r="115" spans="26:33" ht="15"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</row>
    <row r="116" spans="26:33" ht="15">
      <c r="Z116">
        <v>90.55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35.6</v>
      </c>
    </row>
    <row r="117" spans="26:33" ht="15">
      <c r="Z117">
        <v>226.4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35.6</v>
      </c>
    </row>
    <row r="118" spans="26:33" ht="15">
      <c r="Z118">
        <v>401.3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35.6</v>
      </c>
    </row>
    <row r="119" spans="26:33" ht="15"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35.6</v>
      </c>
    </row>
    <row r="120" spans="26:33" ht="15"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35.6</v>
      </c>
    </row>
    <row r="121" spans="26:33" ht="15"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</row>
    <row r="122" spans="26:33" ht="15"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</row>
    <row r="123" spans="26:33" ht="15">
      <c r="Z123">
        <v>90.55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35.6</v>
      </c>
    </row>
    <row r="124" spans="26:33" ht="15">
      <c r="Z124">
        <v>226.4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35.6</v>
      </c>
    </row>
    <row r="125" spans="26:33" ht="15">
      <c r="Z125">
        <v>401.3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35.6</v>
      </c>
    </row>
    <row r="126" spans="26:33" ht="15"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35.6</v>
      </c>
    </row>
    <row r="127" spans="26:33" ht="15"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35.6</v>
      </c>
    </row>
    <row r="128" spans="26:33" ht="15"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</row>
    <row r="129" spans="26:33" ht="15"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</row>
    <row r="130" spans="26:33" ht="15">
      <c r="Z130">
        <v>69.65</v>
      </c>
      <c r="AA130">
        <v>25</v>
      </c>
      <c r="AB130">
        <v>20</v>
      </c>
      <c r="AC130">
        <v>0</v>
      </c>
      <c r="AD130">
        <v>66</v>
      </c>
      <c r="AE130">
        <v>99</v>
      </c>
      <c r="AF130">
        <v>0</v>
      </c>
      <c r="AG130">
        <v>35.6</v>
      </c>
    </row>
    <row r="131" spans="26:33" ht="15">
      <c r="Z131">
        <v>174.15</v>
      </c>
      <c r="AA131">
        <v>25</v>
      </c>
      <c r="AB131">
        <v>20</v>
      </c>
      <c r="AC131">
        <v>0</v>
      </c>
      <c r="AD131">
        <v>66</v>
      </c>
      <c r="AE131">
        <v>99</v>
      </c>
      <c r="AF131">
        <v>0</v>
      </c>
      <c r="AG131">
        <v>35.6</v>
      </c>
    </row>
    <row r="132" spans="26:33" ht="15">
      <c r="Z132">
        <v>441.15</v>
      </c>
      <c r="AA132">
        <v>25</v>
      </c>
      <c r="AB132">
        <v>20</v>
      </c>
      <c r="AC132">
        <v>0</v>
      </c>
      <c r="AD132">
        <v>177</v>
      </c>
      <c r="AE132">
        <v>266</v>
      </c>
      <c r="AF132">
        <v>354</v>
      </c>
      <c r="AG132">
        <v>35.6</v>
      </c>
    </row>
    <row r="133" spans="26:33" ht="15">
      <c r="Z133">
        <v>139.3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35.6</v>
      </c>
    </row>
    <row r="134" spans="26:33" ht="15">
      <c r="Z134">
        <v>104.5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35.6</v>
      </c>
    </row>
    <row r="135" spans="26:33" ht="15"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</row>
    <row r="136" spans="26:33" ht="15"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</row>
    <row r="137" spans="26:33" ht="15">
      <c r="Z137">
        <v>76.6</v>
      </c>
      <c r="AA137">
        <v>25</v>
      </c>
      <c r="AB137">
        <v>20</v>
      </c>
      <c r="AC137">
        <v>0</v>
      </c>
      <c r="AD137">
        <v>66</v>
      </c>
      <c r="AE137">
        <v>99</v>
      </c>
      <c r="AF137">
        <v>0</v>
      </c>
      <c r="AG137">
        <v>35.6</v>
      </c>
    </row>
    <row r="138" spans="26:33" ht="15">
      <c r="Z138">
        <v>191.55</v>
      </c>
      <c r="AA138">
        <v>25</v>
      </c>
      <c r="AB138">
        <v>20</v>
      </c>
      <c r="AC138">
        <v>0</v>
      </c>
      <c r="AD138">
        <v>66</v>
      </c>
      <c r="AE138">
        <v>99</v>
      </c>
      <c r="AF138">
        <v>0</v>
      </c>
      <c r="AG138">
        <v>35.6</v>
      </c>
    </row>
    <row r="139" spans="26:33" ht="15">
      <c r="Z139">
        <v>485.25</v>
      </c>
      <c r="AA139">
        <v>25</v>
      </c>
      <c r="AB139">
        <v>20</v>
      </c>
      <c r="AC139">
        <v>0</v>
      </c>
      <c r="AD139">
        <v>177</v>
      </c>
      <c r="AE139">
        <v>266</v>
      </c>
      <c r="AF139">
        <v>354</v>
      </c>
      <c r="AG139">
        <v>35.6</v>
      </c>
    </row>
    <row r="140" spans="26:33" ht="15">
      <c r="Z140">
        <v>139.3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35.6</v>
      </c>
    </row>
    <row r="141" spans="26:33" ht="15">
      <c r="Z141">
        <v>104.5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35.6</v>
      </c>
    </row>
    <row r="142" spans="26:33" ht="15"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</row>
    <row r="143" spans="26:33" ht="15"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</row>
    <row r="144" spans="26:33" ht="15">
      <c r="Z144">
        <v>91.95</v>
      </c>
      <c r="AA144">
        <v>25</v>
      </c>
      <c r="AB144">
        <v>20</v>
      </c>
      <c r="AC144">
        <v>0</v>
      </c>
      <c r="AD144">
        <v>66</v>
      </c>
      <c r="AE144">
        <v>99</v>
      </c>
      <c r="AF144">
        <v>0</v>
      </c>
      <c r="AG144">
        <v>35.6</v>
      </c>
    </row>
    <row r="145" spans="26:33" ht="15">
      <c r="Z145">
        <v>229.85</v>
      </c>
      <c r="AA145">
        <v>25</v>
      </c>
      <c r="AB145">
        <v>20</v>
      </c>
      <c r="AC145">
        <v>0</v>
      </c>
      <c r="AD145">
        <v>66</v>
      </c>
      <c r="AE145">
        <v>99</v>
      </c>
      <c r="AF145">
        <v>0</v>
      </c>
      <c r="AG145">
        <v>35.6</v>
      </c>
    </row>
    <row r="146" spans="26:33" ht="15">
      <c r="Z146">
        <v>582.3</v>
      </c>
      <c r="AA146">
        <v>25</v>
      </c>
      <c r="AB146">
        <v>20</v>
      </c>
      <c r="AC146">
        <v>0</v>
      </c>
      <c r="AD146">
        <v>177</v>
      </c>
      <c r="AE146">
        <v>266</v>
      </c>
      <c r="AF146">
        <v>354</v>
      </c>
      <c r="AG146">
        <v>35.6</v>
      </c>
    </row>
    <row r="147" spans="26:33" ht="15">
      <c r="Z147">
        <v>139.3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35.6</v>
      </c>
    </row>
    <row r="148" spans="26:33" ht="15">
      <c r="Z148">
        <v>104.5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35.6</v>
      </c>
    </row>
    <row r="149" spans="26:33" ht="15"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</row>
    <row r="150" spans="26:33" ht="15"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</row>
    <row r="151" spans="26:33" ht="15"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</row>
    <row r="152" spans="26:33" ht="15"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</row>
    <row r="153" spans="26:33" ht="15"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</row>
    <row r="154" spans="26:33" ht="15"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</row>
    <row r="155" spans="26:33" ht="15"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</row>
    <row r="156" spans="26:33" ht="15"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</row>
    <row r="157" spans="26:33" ht="15"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</row>
    <row r="158" spans="26:33" ht="15">
      <c r="Z158">
        <v>70.2</v>
      </c>
      <c r="AA158">
        <v>0</v>
      </c>
      <c r="AB158">
        <v>0</v>
      </c>
      <c r="AC158">
        <v>140.4</v>
      </c>
      <c r="AD158">
        <v>66</v>
      </c>
      <c r="AE158">
        <v>99</v>
      </c>
      <c r="AF158">
        <v>0</v>
      </c>
      <c r="AG158">
        <v>35.6</v>
      </c>
    </row>
    <row r="159" spans="26:33" ht="15">
      <c r="Z159">
        <v>175.5</v>
      </c>
      <c r="AA159">
        <v>0</v>
      </c>
      <c r="AB159">
        <v>0</v>
      </c>
      <c r="AC159">
        <v>140.4</v>
      </c>
      <c r="AD159">
        <v>66</v>
      </c>
      <c r="AE159">
        <v>99</v>
      </c>
      <c r="AF159">
        <v>0</v>
      </c>
      <c r="AG159">
        <v>35.6</v>
      </c>
    </row>
    <row r="160" spans="26:33" ht="15">
      <c r="Z160">
        <v>112.3</v>
      </c>
      <c r="AA160">
        <v>0</v>
      </c>
      <c r="AB160">
        <v>0</v>
      </c>
      <c r="AC160">
        <v>140.4</v>
      </c>
      <c r="AD160">
        <v>66</v>
      </c>
      <c r="AE160">
        <v>99</v>
      </c>
      <c r="AF160">
        <v>0</v>
      </c>
      <c r="AG160">
        <v>35.6</v>
      </c>
    </row>
    <row r="161" spans="26:33" ht="15">
      <c r="Z161">
        <v>280.8</v>
      </c>
      <c r="AA161">
        <v>0</v>
      </c>
      <c r="AB161">
        <v>0</v>
      </c>
      <c r="AC161">
        <v>140.4</v>
      </c>
      <c r="AD161">
        <v>66</v>
      </c>
      <c r="AE161">
        <v>99</v>
      </c>
      <c r="AF161">
        <v>0</v>
      </c>
      <c r="AG161">
        <v>35.6</v>
      </c>
    </row>
    <row r="162" spans="26:33" ht="15">
      <c r="Z162">
        <v>493</v>
      </c>
      <c r="AA162">
        <v>0</v>
      </c>
      <c r="AB162">
        <v>0</v>
      </c>
      <c r="AC162">
        <v>0</v>
      </c>
      <c r="AD162">
        <v>177</v>
      </c>
      <c r="AE162">
        <v>266</v>
      </c>
      <c r="AF162">
        <v>354</v>
      </c>
      <c r="AG162">
        <v>35.6</v>
      </c>
    </row>
    <row r="163" spans="26:33" ht="15">
      <c r="Z163">
        <v>140.4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35.6</v>
      </c>
    </row>
    <row r="164" spans="26:33" ht="15">
      <c r="Z164">
        <v>140.4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</row>
    <row r="165" spans="26:33" ht="15">
      <c r="Z165">
        <v>84.25</v>
      </c>
      <c r="AA165">
        <v>0</v>
      </c>
      <c r="AB165">
        <v>0</v>
      </c>
      <c r="AC165">
        <v>168.5</v>
      </c>
      <c r="AD165">
        <v>66</v>
      </c>
      <c r="AE165">
        <v>99</v>
      </c>
      <c r="AF165">
        <v>0</v>
      </c>
      <c r="AG165">
        <v>35.6</v>
      </c>
    </row>
    <row r="166" spans="26:33" ht="15">
      <c r="Z166">
        <v>210.6</v>
      </c>
      <c r="AA166">
        <v>0</v>
      </c>
      <c r="AB166">
        <v>0</v>
      </c>
      <c r="AC166">
        <v>168.5</v>
      </c>
      <c r="AD166">
        <v>66</v>
      </c>
      <c r="AE166">
        <v>99</v>
      </c>
      <c r="AF166">
        <v>0</v>
      </c>
      <c r="AG166">
        <v>35.6</v>
      </c>
    </row>
    <row r="167" spans="26:33" ht="15">
      <c r="Z167">
        <v>134.8</v>
      </c>
      <c r="AA167">
        <v>0</v>
      </c>
      <c r="AB167">
        <v>0</v>
      </c>
      <c r="AC167">
        <v>168.5</v>
      </c>
      <c r="AD167">
        <v>66</v>
      </c>
      <c r="AE167">
        <v>99</v>
      </c>
      <c r="AF167">
        <v>0</v>
      </c>
      <c r="AG167">
        <v>35.6</v>
      </c>
    </row>
    <row r="168" spans="26:33" ht="15">
      <c r="Z168">
        <v>336.95</v>
      </c>
      <c r="AA168">
        <v>0</v>
      </c>
      <c r="AB168">
        <v>0</v>
      </c>
      <c r="AC168">
        <v>168.5</v>
      </c>
      <c r="AD168">
        <v>66</v>
      </c>
      <c r="AE168">
        <v>99</v>
      </c>
      <c r="AF168">
        <v>0</v>
      </c>
      <c r="AG168">
        <v>35.6</v>
      </c>
    </row>
    <row r="169" spans="26:33" ht="15">
      <c r="Z169">
        <v>591.6</v>
      </c>
      <c r="AA169">
        <v>0</v>
      </c>
      <c r="AB169">
        <v>0</v>
      </c>
      <c r="AC169">
        <v>0</v>
      </c>
      <c r="AD169">
        <v>177</v>
      </c>
      <c r="AE169">
        <v>266</v>
      </c>
      <c r="AF169">
        <v>354</v>
      </c>
      <c r="AG169">
        <v>35.6</v>
      </c>
    </row>
    <row r="170" spans="26:33" ht="15">
      <c r="Z170">
        <v>105.3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35.6</v>
      </c>
    </row>
    <row r="171" spans="26:33" ht="15">
      <c r="Z171">
        <v>105.3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</row>
  </sheetData>
  <sheetProtection password="CFE1" sheet="1"/>
  <mergeCells count="37">
    <mergeCell ref="B2:G2"/>
    <mergeCell ref="E16:F18"/>
    <mergeCell ref="E19:F19"/>
    <mergeCell ref="I19:J19"/>
    <mergeCell ref="I9:J9"/>
    <mergeCell ref="I10:J10"/>
    <mergeCell ref="I11:J11"/>
    <mergeCell ref="I12:J12"/>
    <mergeCell ref="B16:C18"/>
    <mergeCell ref="B19:C19"/>
    <mergeCell ref="B13:F15"/>
    <mergeCell ref="B23:C23"/>
    <mergeCell ref="D23:F23"/>
    <mergeCell ref="D16:D18"/>
    <mergeCell ref="B21:C21"/>
    <mergeCell ref="B22:C22"/>
    <mergeCell ref="E20:F20"/>
    <mergeCell ref="D21:F21"/>
    <mergeCell ref="D22:F22"/>
    <mergeCell ref="M6:N6"/>
    <mergeCell ref="I15:J15"/>
    <mergeCell ref="I13:J13"/>
    <mergeCell ref="L11:M13"/>
    <mergeCell ref="L18:M18"/>
    <mergeCell ref="I18:J18"/>
    <mergeCell ref="I16:J16"/>
    <mergeCell ref="I6:J6"/>
    <mergeCell ref="I4:J4"/>
    <mergeCell ref="B20:C20"/>
    <mergeCell ref="L19:M19"/>
    <mergeCell ref="L16:M16"/>
    <mergeCell ref="I2:N2"/>
    <mergeCell ref="K6:L6"/>
    <mergeCell ref="I7:J7"/>
    <mergeCell ref="K7:L7"/>
    <mergeCell ref="M7:N7"/>
    <mergeCell ref="L15:M15"/>
  </mergeCells>
  <conditionalFormatting sqref="N10 K12:K13 B3:G11">
    <cfRule type="cellIs" priority="10" dxfId="16" operator="equal">
      <formula>0</formula>
    </cfRule>
  </conditionalFormatting>
  <dataValidations count="5">
    <dataValidation type="list" allowBlank="1" showInputMessage="1" showErrorMessage="1" sqref="M10">
      <formula1>$R$29:$R$32</formula1>
    </dataValidation>
    <dataValidation type="list" allowBlank="1" showInputMessage="1" showErrorMessage="1" sqref="I7:J7">
      <formula1>$P$18:$P$24</formula1>
    </dataValidation>
    <dataValidation type="list" allowBlank="1" showInputMessage="1" showErrorMessage="1" sqref="K7:L7">
      <formula1>Level</formula1>
    </dataValidation>
    <dataValidation type="list" allowBlank="1" showInputMessage="1" showErrorMessage="1" sqref="B4">
      <formula1>$P$3:$P$5</formula1>
    </dataValidation>
    <dataValidation type="list" allowBlank="1" showInputMessage="1" showErrorMessage="1" sqref="D4">
      <formula1>$R$3:$R$4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3:R27"/>
  <sheetViews>
    <sheetView showGridLines="0" zoomScale="110" zoomScaleNormal="110" zoomScalePageLayoutView="0" workbookViewId="0" topLeftCell="A2">
      <selection activeCell="C6" sqref="C6"/>
    </sheetView>
  </sheetViews>
  <sheetFormatPr defaultColWidth="9.140625" defaultRowHeight="15"/>
  <cols>
    <col min="1" max="1" width="4.00390625" style="20" customWidth="1"/>
    <col min="2" max="2" width="15.00390625" style="20" customWidth="1"/>
    <col min="3" max="3" width="10.140625" style="20" bestFit="1" customWidth="1"/>
    <col min="4" max="4" width="9.57421875" style="20" customWidth="1"/>
    <col min="5" max="5" width="9.8515625" style="21" bestFit="1" customWidth="1"/>
    <col min="6" max="6" width="9.28125" style="20" bestFit="1" customWidth="1"/>
    <col min="7" max="7" width="23.00390625" style="20" bestFit="1" customWidth="1"/>
    <col min="8" max="8" width="9.140625" style="20" customWidth="1"/>
    <col min="9" max="9" width="20.7109375" style="20" hidden="1" customWidth="1"/>
    <col min="10" max="18" width="9.140625" style="20" hidden="1" customWidth="1"/>
    <col min="19" max="19" width="9.140625" style="20" customWidth="1"/>
    <col min="20" max="16384" width="9.140625" style="20" customWidth="1"/>
  </cols>
  <sheetData>
    <row r="1" ht="15" hidden="1"/>
    <row r="2" ht="15.75" thickBot="1"/>
    <row r="3" spans="2:7" ht="15.75" thickBot="1">
      <c r="B3" s="448" t="e">
        <f>Main!B15</f>
        <v>#N/A</v>
      </c>
      <c r="C3" s="449"/>
      <c r="D3" s="449"/>
      <c r="E3" s="449"/>
      <c r="F3" s="449"/>
      <c r="G3" s="134" t="str">
        <f>Main!D6</f>
        <v>Click Here</v>
      </c>
    </row>
    <row r="4" spans="2:18" ht="15">
      <c r="B4" s="24"/>
      <c r="C4" s="28"/>
      <c r="D4" s="28"/>
      <c r="E4" s="29"/>
      <c r="F4" s="28"/>
      <c r="G4" s="50" t="s">
        <v>39</v>
      </c>
      <c r="J4" s="20" t="s">
        <v>43</v>
      </c>
      <c r="K4" s="20" t="s">
        <v>44</v>
      </c>
      <c r="L4" s="20" t="s">
        <v>45</v>
      </c>
      <c r="M4" s="20" t="s">
        <v>46</v>
      </c>
      <c r="N4" s="20" t="s">
        <v>47</v>
      </c>
      <c r="O4" s="20" t="s">
        <v>37</v>
      </c>
      <c r="P4" s="20" t="s">
        <v>48</v>
      </c>
      <c r="Q4" s="20" t="s">
        <v>49</v>
      </c>
      <c r="R4" s="20" t="s">
        <v>50</v>
      </c>
    </row>
    <row r="5" spans="2:18" ht="15">
      <c r="B5" s="24"/>
      <c r="C5" s="28" t="s">
        <v>29</v>
      </c>
      <c r="D5" s="28" t="s">
        <v>30</v>
      </c>
      <c r="E5" s="29" t="s">
        <v>31</v>
      </c>
      <c r="F5" s="28" t="s">
        <v>32</v>
      </c>
      <c r="G5" s="30"/>
      <c r="I5" s="20" t="s">
        <v>51</v>
      </c>
      <c r="J5" s="21">
        <f>IF(I24=TRUE,68.2,64.9)</f>
        <v>64.9</v>
      </c>
      <c r="K5" s="21">
        <f>IF(I24=TRUE,68.2,64.9)</f>
        <v>64.9</v>
      </c>
      <c r="L5" s="21">
        <v>71.5</v>
      </c>
      <c r="M5" s="21">
        <v>36.3</v>
      </c>
      <c r="N5" s="21">
        <v>32.45</v>
      </c>
      <c r="O5" s="21">
        <v>32.45</v>
      </c>
      <c r="P5" s="21">
        <v>4.1</v>
      </c>
      <c r="Q5" s="21">
        <v>2.05</v>
      </c>
      <c r="R5" s="21">
        <v>4.1</v>
      </c>
    </row>
    <row r="6" spans="2:18" ht="15">
      <c r="B6" s="24" t="str">
        <f>Main!B16</f>
        <v>Attendance</v>
      </c>
      <c r="C6" s="139"/>
      <c r="D6" s="140"/>
      <c r="E6" s="29" t="e">
        <f>IF(I22=TRUE,(F6/60*((C6*60)+D6))*1.15,F6/60*((C6*60)+D6))</f>
        <v>#N/A</v>
      </c>
      <c r="F6" s="28" t="e">
        <f>Main!D16</f>
        <v>#N/A</v>
      </c>
      <c r="G6" s="30"/>
      <c r="I6" s="20" t="s">
        <v>25</v>
      </c>
      <c r="J6" s="21">
        <f>IF(I24=TRUE,66,61)</f>
        <v>61</v>
      </c>
      <c r="K6" s="21">
        <f>IF(I24=TRUE,66,61)</f>
        <v>61</v>
      </c>
      <c r="L6" s="21">
        <f>IF(I24=TRUE,66,63)</f>
        <v>63</v>
      </c>
      <c r="M6" s="21">
        <v>36</v>
      </c>
      <c r="N6" s="21">
        <f>IF(I24=TRUE,32,31)</f>
        <v>31</v>
      </c>
      <c r="O6" s="21">
        <f>IF(I24=TRUE,32,31)</f>
        <v>31</v>
      </c>
      <c r="P6" s="21">
        <v>6</v>
      </c>
      <c r="Q6" s="21">
        <v>3</v>
      </c>
      <c r="R6" s="21">
        <v>6</v>
      </c>
    </row>
    <row r="7" spans="2:18" ht="15">
      <c r="B7" s="24" t="str">
        <f>Main!B17</f>
        <v>Preparation</v>
      </c>
      <c r="C7" s="141"/>
      <c r="D7" s="142"/>
      <c r="E7" s="29" t="e">
        <f>IF(I22=TRUE,(F7/60*((C7*60)+D7))*1.15,F7/60*((C7*60)+D7))</f>
        <v>#N/A</v>
      </c>
      <c r="F7" s="28" t="e">
        <f>Main!D17</f>
        <v>#N/A</v>
      </c>
      <c r="G7" s="30"/>
      <c r="I7" s="20" t="s">
        <v>52</v>
      </c>
      <c r="J7" s="21">
        <f>IF(I24=TRUE,68.5,64.8)</f>
        <v>64.8</v>
      </c>
      <c r="K7" s="21">
        <f>IF(I24=TRUE,68.5,64.8)</f>
        <v>64.8</v>
      </c>
      <c r="L7" s="21">
        <f>IF(I24=TRUE,68.5,64.8)</f>
        <v>64.8</v>
      </c>
      <c r="M7" s="21">
        <v>36.3</v>
      </c>
      <c r="N7" s="21">
        <v>32.45</v>
      </c>
      <c r="O7" s="21">
        <v>32.45</v>
      </c>
      <c r="P7" s="21">
        <v>6.15</v>
      </c>
      <c r="Q7" s="21">
        <v>3.1</v>
      </c>
      <c r="R7" s="21">
        <v>6.15</v>
      </c>
    </row>
    <row r="8" spans="2:18" ht="15">
      <c r="B8" s="24" t="str">
        <f>Main!B18</f>
        <v>Advocacy</v>
      </c>
      <c r="C8" s="143"/>
      <c r="D8" s="142"/>
      <c r="E8" s="29" t="e">
        <f>IF(I22=TRUE,(F8/60*((C8*60)+D8))*1.15,F8/60*((C8*60)+D8))</f>
        <v>#N/A</v>
      </c>
      <c r="F8" s="28" t="e">
        <f>Main!D18</f>
        <v>#N/A</v>
      </c>
      <c r="G8" s="30"/>
      <c r="I8" s="20" t="s">
        <v>33</v>
      </c>
      <c r="J8" s="21">
        <f>IF(I24=TRUE,70,66)</f>
        <v>66</v>
      </c>
      <c r="K8" s="21">
        <f>IF(I24=TRUE,70,66)</f>
        <v>66</v>
      </c>
      <c r="L8" s="21">
        <f>IF(I24=TRUE,70,66)</f>
        <v>66</v>
      </c>
      <c r="M8" s="21">
        <v>32.5</v>
      </c>
      <c r="N8" s="21">
        <v>29.2</v>
      </c>
      <c r="O8" s="21">
        <v>29.2</v>
      </c>
      <c r="P8" s="21">
        <v>6.6</v>
      </c>
      <c r="Q8" s="21">
        <v>0</v>
      </c>
      <c r="R8" s="21">
        <v>3.65</v>
      </c>
    </row>
    <row r="9" spans="2:18" ht="15">
      <c r="B9" s="25" t="str">
        <f>Main!B20</f>
        <v>Travel </v>
      </c>
      <c r="C9" s="143"/>
      <c r="D9" s="142"/>
      <c r="E9" s="29" t="e">
        <f>IF(I22=TRUE,(F9/60*((C9*60)+D9))*1.15,F9/60*((C9*60)+D9))</f>
        <v>#N/A</v>
      </c>
      <c r="F9" s="28" t="e">
        <f>Main!D20</f>
        <v>#N/A</v>
      </c>
      <c r="G9" s="30"/>
      <c r="I9" s="20" t="s">
        <v>53</v>
      </c>
      <c r="J9" s="21">
        <f>IF(I24=TRUE,69,65)</f>
        <v>65</v>
      </c>
      <c r="K9" s="21">
        <f>IF(I24=TRUE,69,65)</f>
        <v>65</v>
      </c>
      <c r="L9" s="21">
        <f>IF(I24=TRUE,69,65)</f>
        <v>65</v>
      </c>
      <c r="M9" s="21">
        <v>32</v>
      </c>
      <c r="N9" s="21">
        <v>28.75</v>
      </c>
      <c r="O9" s="21">
        <v>28.75</v>
      </c>
      <c r="P9" s="21">
        <v>6.5</v>
      </c>
      <c r="Q9" s="21">
        <v>0</v>
      </c>
      <c r="R9" s="21">
        <v>3.6</v>
      </c>
    </row>
    <row r="10" spans="2:7" ht="15">
      <c r="B10" s="25" t="str">
        <f>Main!B21</f>
        <v>Waiting</v>
      </c>
      <c r="C10" s="143"/>
      <c r="D10" s="142"/>
      <c r="E10" s="29" t="e">
        <f>IF(I22=TRUE,(F10/60*((C10*60)+D10))*1.15,F10/60*((C10*60)+D10))</f>
        <v>#N/A</v>
      </c>
      <c r="F10" s="28" t="e">
        <f>Main!D21</f>
        <v>#N/A</v>
      </c>
      <c r="G10" s="30"/>
    </row>
    <row r="11" spans="2:18" ht="27.75" customHeight="1">
      <c r="B11" s="26" t="str">
        <f>Main!B19</f>
        <v>Attendance Behind Counsel</v>
      </c>
      <c r="C11" s="144"/>
      <c r="D11" s="145"/>
      <c r="E11" s="29" t="e">
        <f>IF(I22=TRUE,(F11/60*((C11*60)+D11))*1.15,F11/60*((C11*60)+D11))</f>
        <v>#N/A</v>
      </c>
      <c r="F11" s="28" t="e">
        <f>Main!D19</f>
        <v>#N/A</v>
      </c>
      <c r="G11" s="30"/>
      <c r="J11" s="20" t="e">
        <f>IF($B3=I5,J5,"0")</f>
        <v>#N/A</v>
      </c>
      <c r="K11" s="20" t="e">
        <f>IF($B3=I5,K5,"0")</f>
        <v>#N/A</v>
      </c>
      <c r="L11" s="20" t="e">
        <f>IF($B3=I5,L5,"0")</f>
        <v>#N/A</v>
      </c>
      <c r="M11" s="20" t="e">
        <f>IF($B3=I5,M5,"0")</f>
        <v>#N/A</v>
      </c>
      <c r="N11" s="20" t="e">
        <f>IF($B3=I5,N5,"0")</f>
        <v>#N/A</v>
      </c>
      <c r="O11" s="20" t="e">
        <f>IF($B3=I5,O5,"0")</f>
        <v>#N/A</v>
      </c>
      <c r="P11" s="20" t="e">
        <f>IF($B3=I5,P5,"0")</f>
        <v>#N/A</v>
      </c>
      <c r="Q11" s="20" t="e">
        <f>IF($B3=I5,Q5,"0")</f>
        <v>#N/A</v>
      </c>
      <c r="R11" s="20" t="e">
        <f>IF($B3=I5,R5,"0")</f>
        <v>#N/A</v>
      </c>
    </row>
    <row r="12" spans="2:18" ht="15">
      <c r="B12" s="26" t="s">
        <v>38</v>
      </c>
      <c r="C12" s="28"/>
      <c r="D12" s="28"/>
      <c r="E12" s="138"/>
      <c r="F12" s="28"/>
      <c r="G12" s="31" t="e">
        <f>SUM(E6:E12)</f>
        <v>#N/A</v>
      </c>
      <c r="J12" s="20" t="e">
        <f>IF($B3=I6,J6,"0")</f>
        <v>#N/A</v>
      </c>
      <c r="K12" s="20" t="e">
        <f>IF($B3=I6,K6,"0")</f>
        <v>#N/A</v>
      </c>
      <c r="L12" s="20" t="e">
        <f>IF($B3=I6,L6,"0")</f>
        <v>#N/A</v>
      </c>
      <c r="M12" s="20" t="e">
        <f>IF($B3=I6,M6,"0")</f>
        <v>#N/A</v>
      </c>
      <c r="N12" s="20" t="e">
        <f>IF($B3=I6,N6,"0")</f>
        <v>#N/A</v>
      </c>
      <c r="O12" s="20" t="e">
        <f>IF($B3=I6,O6,"0")</f>
        <v>#N/A</v>
      </c>
      <c r="P12" s="20" t="e">
        <f>IF($B3=I6,P6,"0")</f>
        <v>#N/A</v>
      </c>
      <c r="Q12" s="20" t="e">
        <f>IF($B3=I6,Q6,"0")</f>
        <v>#N/A</v>
      </c>
      <c r="R12" s="20" t="e">
        <f>IF($B3=I6,R6,"0")</f>
        <v>#N/A</v>
      </c>
    </row>
    <row r="13" spans="2:18" ht="15">
      <c r="B13" s="25"/>
      <c r="C13" s="28"/>
      <c r="D13" s="28"/>
      <c r="E13" s="29"/>
      <c r="F13" s="28"/>
      <c r="G13" s="32"/>
      <c r="J13" s="20" t="e">
        <f>IF($B3=I7,J7,"0")</f>
        <v>#N/A</v>
      </c>
      <c r="K13" s="20" t="e">
        <f>IF($B3=I7,K7,"0")</f>
        <v>#N/A</v>
      </c>
      <c r="L13" s="20" t="e">
        <f>IF($B3=I7,L7,"0")</f>
        <v>#N/A</v>
      </c>
      <c r="M13" s="20" t="e">
        <f>IF($B3=I7,M7,"0")</f>
        <v>#N/A</v>
      </c>
      <c r="N13" s="20" t="e">
        <f>IF($B3=I7,N7,"0")</f>
        <v>#N/A</v>
      </c>
      <c r="O13" s="20" t="e">
        <f>IF($B3=I7,O7,"0")</f>
        <v>#N/A</v>
      </c>
      <c r="P13" s="20" t="e">
        <f>IF($B3=I7,P7,"0")</f>
        <v>#N/A</v>
      </c>
      <c r="Q13" s="20" t="e">
        <f>IF($B3=I7,Q7,"0")</f>
        <v>#N/A</v>
      </c>
      <c r="R13" s="20" t="e">
        <f>IF($B3=I7,R7,"0")</f>
        <v>#N/A</v>
      </c>
    </row>
    <row r="14" spans="2:18" ht="15">
      <c r="B14" s="27" t="str">
        <f>Main!B22</f>
        <v>Letters out</v>
      </c>
      <c r="C14" s="28"/>
      <c r="D14" s="146"/>
      <c r="E14" s="29" t="e">
        <f>IF(I22=TRUE,(D14*F14)*1.15,D14*F14)</f>
        <v>#N/A</v>
      </c>
      <c r="F14" s="28" t="e">
        <f>Main!D22</f>
        <v>#N/A</v>
      </c>
      <c r="G14" s="32"/>
      <c r="J14" s="20" t="e">
        <f>IF($B3=I8,J8,"0")</f>
        <v>#N/A</v>
      </c>
      <c r="K14" s="20" t="e">
        <f>IF($B3=I8,K8,"0")</f>
        <v>#N/A</v>
      </c>
      <c r="L14" s="20" t="e">
        <f>IF($B3=I8,L8,"0")</f>
        <v>#N/A</v>
      </c>
      <c r="M14" s="20" t="e">
        <f>IF($B3=I8,M8,"0")</f>
        <v>#N/A</v>
      </c>
      <c r="N14" s="20" t="e">
        <f>IF($B3=I8,N8,"0")</f>
        <v>#N/A</v>
      </c>
      <c r="O14" s="20" t="e">
        <f>IF($B3=I8,O8,"0")</f>
        <v>#N/A</v>
      </c>
      <c r="P14" s="20" t="e">
        <f>IF($B3=I8,P8,"0")</f>
        <v>#N/A</v>
      </c>
      <c r="Q14" s="20" t="e">
        <f>IF($B3=I8,Q8,"0")</f>
        <v>#N/A</v>
      </c>
      <c r="R14" s="20" t="e">
        <f>IF($B3=I8,R8,"0")</f>
        <v>#N/A</v>
      </c>
    </row>
    <row r="15" spans="2:18" ht="15">
      <c r="B15" s="27" t="str">
        <f>Main!B23</f>
        <v>Letters in</v>
      </c>
      <c r="C15" s="28"/>
      <c r="D15" s="147"/>
      <c r="E15" s="29" t="e">
        <f>IF(I22=TRUE,(D15*F15)*1.15,D15*F15)</f>
        <v>#N/A</v>
      </c>
      <c r="F15" s="28" t="e">
        <f>Main!D23</f>
        <v>#N/A</v>
      </c>
      <c r="G15" s="32"/>
      <c r="J15" s="20" t="e">
        <f>IF($B3=I9,J9,"0")</f>
        <v>#N/A</v>
      </c>
      <c r="K15" s="20" t="e">
        <f>IF($B3=I9,K9,"0")</f>
        <v>#N/A</v>
      </c>
      <c r="L15" s="20" t="e">
        <f>IF($B3=I9,L9,"0")</f>
        <v>#N/A</v>
      </c>
      <c r="M15" s="20" t="e">
        <f>IF($B3=I9,M9,"0")</f>
        <v>#N/A</v>
      </c>
      <c r="N15" s="20" t="e">
        <f>IF($B3=I9,N9,"0")</f>
        <v>#N/A</v>
      </c>
      <c r="O15" s="20" t="e">
        <f>IF($B3=I9,O9,"0")</f>
        <v>#N/A</v>
      </c>
      <c r="P15" s="20" t="e">
        <f>IF($B3=I9,P9,"0")</f>
        <v>#N/A</v>
      </c>
      <c r="Q15" s="20" t="e">
        <f>IF($B3=I9,Q9,"0")</f>
        <v>#N/A</v>
      </c>
      <c r="R15" s="20" t="e">
        <f>IF($B3=I9,R9,"0")</f>
        <v>#N/A</v>
      </c>
    </row>
    <row r="16" spans="2:7" ht="15">
      <c r="B16" s="27" t="str">
        <f>Main!B24</f>
        <v>Phone Calls</v>
      </c>
      <c r="C16" s="28"/>
      <c r="D16" s="148"/>
      <c r="E16" s="29" t="e">
        <f>IF(I22=TRUE,(D16*F16)*1.15,D16*F16)</f>
        <v>#N/A</v>
      </c>
      <c r="F16" s="28" t="e">
        <f>Main!D24</f>
        <v>#N/A</v>
      </c>
      <c r="G16" s="32"/>
    </row>
    <row r="17" spans="2:18" ht="15">
      <c r="B17" s="24"/>
      <c r="C17" s="28"/>
      <c r="D17" s="28"/>
      <c r="E17" s="29"/>
      <c r="F17" s="28"/>
      <c r="G17" s="31" t="e">
        <f>SUM(E14:E16)</f>
        <v>#N/A</v>
      </c>
      <c r="J17" s="20" t="e">
        <f>SUM(J11:J15)</f>
        <v>#N/A</v>
      </c>
      <c r="K17" s="20" t="e">
        <f aca="true" t="shared" si="0" ref="K17:R17">SUM(K11:K15)</f>
        <v>#N/A</v>
      </c>
      <c r="L17" s="20" t="e">
        <f t="shared" si="0"/>
        <v>#N/A</v>
      </c>
      <c r="M17" s="20" t="e">
        <f t="shared" si="0"/>
        <v>#N/A</v>
      </c>
      <c r="N17" s="20" t="e">
        <f t="shared" si="0"/>
        <v>#N/A</v>
      </c>
      <c r="O17" s="20" t="e">
        <f t="shared" si="0"/>
        <v>#N/A</v>
      </c>
      <c r="P17" s="20" t="e">
        <f t="shared" si="0"/>
        <v>#N/A</v>
      </c>
      <c r="Q17" s="20" t="e">
        <f t="shared" si="0"/>
        <v>#N/A</v>
      </c>
      <c r="R17" s="20" t="e">
        <f t="shared" si="0"/>
        <v>#N/A</v>
      </c>
    </row>
    <row r="18" spans="2:7" ht="15">
      <c r="B18" s="24"/>
      <c r="C18" s="28"/>
      <c r="D18" s="28"/>
      <c r="E18" s="45" t="s">
        <v>72</v>
      </c>
      <c r="F18" s="46" t="s">
        <v>55</v>
      </c>
      <c r="G18" s="33"/>
    </row>
    <row r="19" spans="2:7" ht="15">
      <c r="B19" s="24"/>
      <c r="C19" s="28"/>
      <c r="D19" s="40" t="s">
        <v>31</v>
      </c>
      <c r="E19" s="47" t="e">
        <f>SUM(E6:E16)</f>
        <v>#N/A</v>
      </c>
      <c r="F19" s="47" t="e">
        <f>E19*C27</f>
        <v>#N/A</v>
      </c>
      <c r="G19" s="155" t="e">
        <f>E19+F19</f>
        <v>#N/A</v>
      </c>
    </row>
    <row r="20" spans="2:7" ht="15">
      <c r="B20" s="24"/>
      <c r="C20" s="28"/>
      <c r="D20" s="28"/>
      <c r="E20" s="29"/>
      <c r="F20" s="28"/>
      <c r="G20" s="30"/>
    </row>
    <row r="21" spans="2:7" ht="15">
      <c r="B21" s="25" t="s">
        <v>40</v>
      </c>
      <c r="C21" s="28"/>
      <c r="D21" s="28"/>
      <c r="E21" s="29"/>
      <c r="F21" s="28"/>
      <c r="G21" s="35"/>
    </row>
    <row r="22" spans="2:9" ht="15">
      <c r="B22" s="25"/>
      <c r="C22" s="28"/>
      <c r="D22" s="42" t="s">
        <v>55</v>
      </c>
      <c r="E22" s="29"/>
      <c r="F22" s="28"/>
      <c r="G22" s="30"/>
      <c r="I22" s="281" t="b">
        <v>0</v>
      </c>
    </row>
    <row r="23" spans="2:10" ht="15">
      <c r="B23" s="25" t="s">
        <v>41</v>
      </c>
      <c r="C23" s="149"/>
      <c r="D23" s="29">
        <f>C23*C27</f>
        <v>0</v>
      </c>
      <c r="E23" s="29"/>
      <c r="F23" s="28"/>
      <c r="G23" s="35"/>
      <c r="I23" s="22" t="b">
        <v>1</v>
      </c>
      <c r="J23" s="23">
        <f>IF(I23=TRUE,0.2,0.175)</f>
        <v>0.2</v>
      </c>
    </row>
    <row r="24" spans="2:9" ht="15">
      <c r="B24" s="25" t="s">
        <v>42</v>
      </c>
      <c r="C24" s="150"/>
      <c r="D24" s="29"/>
      <c r="E24" s="44" t="s">
        <v>40</v>
      </c>
      <c r="F24" s="46" t="s">
        <v>70</v>
      </c>
      <c r="G24" s="35"/>
      <c r="I24" s="22" t="b">
        <v>0</v>
      </c>
    </row>
    <row r="25" spans="2:7" ht="15">
      <c r="B25" s="24"/>
      <c r="C25" s="28"/>
      <c r="D25" s="40" t="s">
        <v>31</v>
      </c>
      <c r="E25" s="34">
        <f>SUM(C23:C24)</f>
        <v>0</v>
      </c>
      <c r="F25" s="34">
        <f>D23</f>
        <v>0</v>
      </c>
      <c r="G25" s="31">
        <f>E25+F25</f>
        <v>0</v>
      </c>
    </row>
    <row r="26" spans="2:7" ht="15">
      <c r="B26" s="24"/>
      <c r="C26" s="28"/>
      <c r="D26" s="39"/>
      <c r="E26" s="29"/>
      <c r="F26" s="29"/>
      <c r="G26" s="36"/>
    </row>
    <row r="27" spans="2:7" ht="15.75" thickBot="1">
      <c r="B27" s="49" t="s">
        <v>70</v>
      </c>
      <c r="C27" s="151">
        <v>0.175</v>
      </c>
      <c r="D27" s="48" t="s">
        <v>71</v>
      </c>
      <c r="E27" s="37" t="e">
        <f>E19+E25</f>
        <v>#N/A</v>
      </c>
      <c r="F27" s="37" t="e">
        <f>F19+F25</f>
        <v>#N/A</v>
      </c>
      <c r="G27" s="38" t="e">
        <f>G19+G25</f>
        <v>#N/A</v>
      </c>
    </row>
  </sheetData>
  <sheetProtection password="CFE1" sheet="1" objects="1" scenarios="1"/>
  <mergeCells count="1">
    <mergeCell ref="B3:F3"/>
  </mergeCells>
  <dataValidations count="1">
    <dataValidation type="list" allowBlank="1" showInputMessage="1" showErrorMessage="1" sqref="C27">
      <formula1>"15%, 17.5%, 20%"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AB51"/>
  <sheetViews>
    <sheetView showGridLines="0" zoomScalePageLayoutView="0" workbookViewId="0" topLeftCell="A1">
      <selection activeCell="D4" sqref="D4"/>
    </sheetView>
  </sheetViews>
  <sheetFormatPr defaultColWidth="9.140625" defaultRowHeight="15"/>
  <cols>
    <col min="1" max="1" width="3.8515625" style="0" customWidth="1"/>
    <col min="2" max="2" width="11.28125" style="0" customWidth="1"/>
    <col min="3" max="3" width="9.7109375" style="0" customWidth="1"/>
    <col min="4" max="4" width="19.140625" style="0" customWidth="1"/>
    <col min="5" max="5" width="10.140625" style="0" bestFit="1" customWidth="1"/>
    <col min="6" max="6" width="8.57421875" style="0" customWidth="1"/>
    <col min="7" max="7" width="16.57421875" style="0" customWidth="1"/>
    <col min="8" max="8" width="3.7109375" style="0" customWidth="1"/>
    <col min="9" max="9" width="20.28125" style="0" customWidth="1"/>
    <col min="10" max="13" width="16.7109375" style="0" customWidth="1"/>
    <col min="15" max="15" width="9.140625" style="0" hidden="1" customWidth="1"/>
    <col min="16" max="16" width="11.28125" style="0" hidden="1" customWidth="1"/>
    <col min="17" max="28" width="9.140625" style="0" hidden="1" customWidth="1"/>
  </cols>
  <sheetData>
    <row r="1" spans="18:28" ht="15.75" thickBot="1">
      <c r="R1">
        <v>1</v>
      </c>
      <c r="S1">
        <v>2</v>
      </c>
      <c r="T1">
        <v>3</v>
      </c>
      <c r="U1">
        <v>4</v>
      </c>
      <c r="V1">
        <v>5</v>
      </c>
      <c r="W1">
        <v>6</v>
      </c>
      <c r="X1">
        <v>7</v>
      </c>
      <c r="Y1">
        <v>8</v>
      </c>
      <c r="Z1">
        <v>9</v>
      </c>
      <c r="AA1">
        <v>10</v>
      </c>
      <c r="AB1">
        <v>11</v>
      </c>
    </row>
    <row r="2" spans="2:28" ht="32.25" customHeight="1" thickBot="1">
      <c r="B2" s="435" t="s">
        <v>135</v>
      </c>
      <c r="C2" s="436"/>
      <c r="D2" s="436"/>
      <c r="E2" s="436"/>
      <c r="F2" s="436"/>
      <c r="G2" s="437"/>
      <c r="I2" s="418" t="s">
        <v>399</v>
      </c>
      <c r="J2" s="419"/>
      <c r="K2" s="420"/>
      <c r="O2" t="e">
        <f>CONCATENATE(B7,P15)</f>
        <v>#N/A</v>
      </c>
      <c r="R2" t="s">
        <v>87</v>
      </c>
      <c r="S2" t="s">
        <v>152</v>
      </c>
      <c r="T2" t="s">
        <v>19</v>
      </c>
      <c r="U2" t="s">
        <v>155</v>
      </c>
      <c r="V2" t="s">
        <v>116</v>
      </c>
      <c r="W2" t="s">
        <v>117</v>
      </c>
      <c r="X2" t="s">
        <v>73</v>
      </c>
      <c r="Y2" t="s">
        <v>118</v>
      </c>
      <c r="Z2" t="s">
        <v>119</v>
      </c>
      <c r="AA2" t="s">
        <v>120</v>
      </c>
      <c r="AB2" t="s">
        <v>36</v>
      </c>
    </row>
    <row r="3" spans="2:28" ht="15">
      <c r="B3" s="56"/>
      <c r="C3" s="57"/>
      <c r="D3" s="57"/>
      <c r="E3" s="57"/>
      <c r="F3" s="57"/>
      <c r="G3" s="73"/>
      <c r="I3" s="441"/>
      <c r="J3" s="442"/>
      <c r="K3" s="443"/>
      <c r="P3" t="e">
        <f>VLOOKUP(F10,O5:P7,2,0)</f>
        <v>#N/A</v>
      </c>
      <c r="R3" t="str">
        <f>CONCATENATE(S3,T3)</f>
        <v>Interim Hearing Unit 1FPC</v>
      </c>
      <c r="S3" t="s">
        <v>112</v>
      </c>
      <c r="T3" t="s">
        <v>114</v>
      </c>
      <c r="U3">
        <f>IF($O$27=1,U23/100*90,U23)</f>
        <v>75.825</v>
      </c>
      <c r="V3">
        <v>25</v>
      </c>
      <c r="W3">
        <v>25</v>
      </c>
      <c r="X3">
        <v>25</v>
      </c>
      <c r="Y3">
        <f>IF($O$27=1,Y23/100*90,Y23)</f>
        <v>59.400000000000006</v>
      </c>
      <c r="Z3">
        <f>IF($O$27=1,Z23/100*90,Z23)</f>
        <v>89.1</v>
      </c>
      <c r="AA3">
        <f>IF($O$27=1,AA23/100*90,AA23)</f>
        <v>0</v>
      </c>
      <c r="AB3">
        <f>IF($O$27=1,AB23/100*90,AB23)</f>
        <v>32.040000000000006</v>
      </c>
    </row>
    <row r="4" spans="2:28" ht="15">
      <c r="B4" s="390" t="s">
        <v>374</v>
      </c>
      <c r="C4" s="391"/>
      <c r="D4" s="206"/>
      <c r="E4" s="41"/>
      <c r="F4" s="41"/>
      <c r="G4" s="50"/>
      <c r="I4" s="415" t="s">
        <v>387</v>
      </c>
      <c r="J4" s="416" t="s">
        <v>388</v>
      </c>
      <c r="K4" s="427" t="s">
        <v>390</v>
      </c>
      <c r="P4" t="e">
        <f>P3</f>
        <v>#N/A</v>
      </c>
      <c r="R4" t="str">
        <f aca="true" t="shared" si="0" ref="R4:R20">CONCATENATE(S4,T4)</f>
        <v>Interim Hearing Unit 2FPC</v>
      </c>
      <c r="S4" t="s">
        <v>113</v>
      </c>
      <c r="T4" t="s">
        <v>114</v>
      </c>
      <c r="U4">
        <f aca="true" t="shared" si="1" ref="U4:U20">IF($O$27=1,U24/100*90,U24)</f>
        <v>189.585</v>
      </c>
      <c r="V4">
        <v>25</v>
      </c>
      <c r="W4">
        <v>25</v>
      </c>
      <c r="X4">
        <v>25</v>
      </c>
      <c r="Y4">
        <f aca="true" t="shared" si="2" ref="Y4:AB20">IF($O$27=1,Y24/100*90,Y24)</f>
        <v>59.400000000000006</v>
      </c>
      <c r="Z4">
        <f t="shared" si="2"/>
        <v>89.1</v>
      </c>
      <c r="AA4">
        <f t="shared" si="2"/>
        <v>0</v>
      </c>
      <c r="AB4">
        <f t="shared" si="2"/>
        <v>32.040000000000006</v>
      </c>
    </row>
    <row r="5" spans="2:28" ht="15">
      <c r="B5" s="51"/>
      <c r="C5" s="41"/>
      <c r="D5" s="41"/>
      <c r="E5" s="41"/>
      <c r="F5" s="41"/>
      <c r="G5" s="50"/>
      <c r="I5" s="415"/>
      <c r="J5" s="416"/>
      <c r="K5" s="427"/>
      <c r="O5" t="s">
        <v>118</v>
      </c>
      <c r="P5">
        <v>8</v>
      </c>
      <c r="R5" t="str">
        <f t="shared" si="0"/>
        <v>Advocates MeetingFPC</v>
      </c>
      <c r="S5" t="s">
        <v>108</v>
      </c>
      <c r="T5" t="s">
        <v>114</v>
      </c>
      <c r="U5">
        <f t="shared" si="1"/>
        <v>128.16000000000003</v>
      </c>
      <c r="V5">
        <v>25</v>
      </c>
      <c r="W5">
        <v>25</v>
      </c>
      <c r="X5">
        <v>25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</row>
    <row r="6" spans="2:28" ht="15">
      <c r="B6" s="390" t="s">
        <v>121</v>
      </c>
      <c r="C6" s="391"/>
      <c r="D6" s="391" t="s">
        <v>375</v>
      </c>
      <c r="E6" s="391"/>
      <c r="F6" s="391" t="s">
        <v>122</v>
      </c>
      <c r="G6" s="409"/>
      <c r="I6" s="415"/>
      <c r="J6" s="416"/>
      <c r="K6" s="427"/>
      <c r="O6" t="s">
        <v>119</v>
      </c>
      <c r="P6">
        <v>9</v>
      </c>
      <c r="R6" t="str">
        <f t="shared" si="0"/>
        <v>Final HearingFPC</v>
      </c>
      <c r="S6" t="s">
        <v>109</v>
      </c>
      <c r="T6" t="s">
        <v>114</v>
      </c>
      <c r="U6">
        <f t="shared" si="1"/>
        <v>464.31</v>
      </c>
      <c r="V6">
        <v>25</v>
      </c>
      <c r="W6">
        <v>25</v>
      </c>
      <c r="X6">
        <v>25</v>
      </c>
      <c r="Y6">
        <f t="shared" si="2"/>
        <v>159.3</v>
      </c>
      <c r="Z6">
        <f t="shared" si="2"/>
        <v>239.4</v>
      </c>
      <c r="AA6">
        <f t="shared" si="2"/>
        <v>318.6</v>
      </c>
      <c r="AB6">
        <f t="shared" si="2"/>
        <v>32.040000000000006</v>
      </c>
    </row>
    <row r="7" spans="2:28" ht="15">
      <c r="B7" s="438"/>
      <c r="C7" s="439"/>
      <c r="D7" s="439"/>
      <c r="E7" s="439"/>
      <c r="F7" s="439"/>
      <c r="G7" s="429"/>
      <c r="I7" s="216" t="s">
        <v>389</v>
      </c>
      <c r="J7" s="217" t="s">
        <v>389</v>
      </c>
      <c r="K7" s="218" t="s">
        <v>389</v>
      </c>
      <c r="O7" t="s">
        <v>120</v>
      </c>
      <c r="P7">
        <v>10</v>
      </c>
      <c r="R7" t="str">
        <f t="shared" si="0"/>
        <v>ConferenceFPC</v>
      </c>
      <c r="S7" t="s">
        <v>110</v>
      </c>
      <c r="T7" t="s">
        <v>114</v>
      </c>
      <c r="U7">
        <f t="shared" si="1"/>
        <v>127.71000000000001</v>
      </c>
      <c r="V7">
        <v>0</v>
      </c>
      <c r="W7">
        <v>0</v>
      </c>
      <c r="X7"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32.040000000000006</v>
      </c>
    </row>
    <row r="8" spans="2:28" ht="18" customHeight="1">
      <c r="B8" s="51"/>
      <c r="C8" s="41"/>
      <c r="D8" s="41"/>
      <c r="E8" s="41"/>
      <c r="F8" s="41"/>
      <c r="G8" s="50"/>
      <c r="I8" s="222"/>
      <c r="J8" s="223"/>
      <c r="K8" s="224"/>
      <c r="Q8" s="104">
        <f>SUM(Q9:Q11)</f>
        <v>0</v>
      </c>
      <c r="R8" t="str">
        <f t="shared" si="0"/>
        <v>OpinionFPC</v>
      </c>
      <c r="S8" t="s">
        <v>111</v>
      </c>
      <c r="T8" t="s">
        <v>114</v>
      </c>
      <c r="U8">
        <f t="shared" si="1"/>
        <v>105.66000000000001</v>
      </c>
      <c r="V8">
        <v>0</v>
      </c>
      <c r="W8">
        <v>0</v>
      </c>
      <c r="X8"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</row>
    <row r="9" spans="2:28" ht="15">
      <c r="B9" s="390" t="s">
        <v>123</v>
      </c>
      <c r="C9" s="391"/>
      <c r="D9" s="41"/>
      <c r="E9" s="41"/>
      <c r="F9" s="81" t="s">
        <v>124</v>
      </c>
      <c r="G9" s="50"/>
      <c r="I9" s="232" t="s">
        <v>393</v>
      </c>
      <c r="J9" s="451">
        <f>IF(J8="","",(J8-I8-K8)*1440)</f>
      </c>
      <c r="K9" s="452"/>
      <c r="O9" t="s">
        <v>116</v>
      </c>
      <c r="P9" s="9" t="b">
        <v>0</v>
      </c>
      <c r="Q9" s="104">
        <f>IF(P9=FALSE,0,VLOOKUP($O$2,R:AB,5,0))</f>
        <v>0</v>
      </c>
      <c r="R9" t="str">
        <f t="shared" si="0"/>
        <v>Interim Hearing Unit 1County</v>
      </c>
      <c r="S9" t="s">
        <v>112</v>
      </c>
      <c r="T9" t="s">
        <v>115</v>
      </c>
      <c r="U9">
        <f t="shared" si="1"/>
        <v>83.385</v>
      </c>
      <c r="V9">
        <v>25</v>
      </c>
      <c r="W9">
        <v>25</v>
      </c>
      <c r="X9">
        <v>25</v>
      </c>
      <c r="Y9">
        <f t="shared" si="2"/>
        <v>59.400000000000006</v>
      </c>
      <c r="Z9">
        <f t="shared" si="2"/>
        <v>89.1</v>
      </c>
      <c r="AA9">
        <f t="shared" si="2"/>
        <v>0</v>
      </c>
      <c r="AB9">
        <f t="shared" si="2"/>
        <v>32.040000000000006</v>
      </c>
    </row>
    <row r="10" spans="2:28" ht="15">
      <c r="B10" s="390" t="s">
        <v>116</v>
      </c>
      <c r="C10" s="391"/>
      <c r="D10" s="41"/>
      <c r="E10" s="41"/>
      <c r="F10" s="94"/>
      <c r="G10" s="86">
        <f>IF(F10=0,0,VLOOKUP(O2,R:AB,P4,0))</f>
        <v>0</v>
      </c>
      <c r="I10" s="233" t="s">
        <v>391</v>
      </c>
      <c r="J10" s="421">
        <f>IF(J9="","",IF(J9&gt;60,"Interim Hearing Unit 2","Interim Hearing Unit 1"))</f>
      </c>
      <c r="K10" s="422"/>
      <c r="O10" t="s">
        <v>117</v>
      </c>
      <c r="P10" s="9" t="b">
        <v>0</v>
      </c>
      <c r="Q10" s="104">
        <f>IF(P10=FALSE,0,VLOOKUP($O$2,R:AB,6,0))</f>
        <v>0</v>
      </c>
      <c r="R10" t="str">
        <f t="shared" si="0"/>
        <v>Interim Hearing Unit 2County</v>
      </c>
      <c r="S10" t="s">
        <v>113</v>
      </c>
      <c r="T10" t="s">
        <v>115</v>
      </c>
      <c r="U10">
        <f t="shared" si="1"/>
        <v>208.52999999999997</v>
      </c>
      <c r="V10">
        <v>25</v>
      </c>
      <c r="W10">
        <v>25</v>
      </c>
      <c r="X10">
        <v>25</v>
      </c>
      <c r="Y10">
        <f t="shared" si="2"/>
        <v>59.400000000000006</v>
      </c>
      <c r="Z10">
        <f t="shared" si="2"/>
        <v>89.1</v>
      </c>
      <c r="AA10">
        <f t="shared" si="2"/>
        <v>0</v>
      </c>
      <c r="AB10">
        <f t="shared" si="2"/>
        <v>32.040000000000006</v>
      </c>
    </row>
    <row r="11" spans="2:28" ht="15">
      <c r="B11" s="390" t="s">
        <v>117</v>
      </c>
      <c r="C11" s="391"/>
      <c r="D11" s="41"/>
      <c r="E11" s="440" t="s">
        <v>406</v>
      </c>
      <c r="F11" s="440"/>
      <c r="G11" s="50"/>
      <c r="I11" s="233" t="s">
        <v>392</v>
      </c>
      <c r="J11" s="421">
        <f>IF(J9="","",IF(J9&gt;600,5,IF(J9&gt;450,4,IF(J9&gt;300,3,IF(J9&gt;150,2,1)))))</f>
      </c>
      <c r="K11" s="422"/>
      <c r="O11" t="s">
        <v>73</v>
      </c>
      <c r="P11" s="9" t="b">
        <v>0</v>
      </c>
      <c r="Q11" s="104">
        <f>IF(P11=FALSE,0,VLOOKUP($O$2,R:AB,7,0))</f>
        <v>0</v>
      </c>
      <c r="R11" t="str">
        <f t="shared" si="0"/>
        <v>Advocates MeetingCounty</v>
      </c>
      <c r="S11" t="s">
        <v>108</v>
      </c>
      <c r="T11" t="s">
        <v>115</v>
      </c>
      <c r="U11">
        <f t="shared" si="1"/>
        <v>140.985</v>
      </c>
      <c r="V11">
        <v>25</v>
      </c>
      <c r="W11">
        <v>25</v>
      </c>
      <c r="X11">
        <v>25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</row>
    <row r="12" spans="2:28" ht="15.75" customHeight="1" thickBot="1">
      <c r="B12" s="390" t="s">
        <v>73</v>
      </c>
      <c r="C12" s="391"/>
      <c r="D12" s="41"/>
      <c r="E12" s="440"/>
      <c r="F12" s="440"/>
      <c r="G12" s="50"/>
      <c r="I12" s="219"/>
      <c r="J12" s="220"/>
      <c r="K12" s="221"/>
      <c r="P12" s="9"/>
      <c r="R12" t="str">
        <f t="shared" si="0"/>
        <v>Final HearingCounty</v>
      </c>
      <c r="S12" t="s">
        <v>109</v>
      </c>
      <c r="T12" t="s">
        <v>115</v>
      </c>
      <c r="U12">
        <f t="shared" si="1"/>
        <v>510.75</v>
      </c>
      <c r="V12">
        <v>25</v>
      </c>
      <c r="W12">
        <v>25</v>
      </c>
      <c r="X12">
        <v>25</v>
      </c>
      <c r="Y12">
        <f t="shared" si="2"/>
        <v>159.3</v>
      </c>
      <c r="Z12">
        <f t="shared" si="2"/>
        <v>239.4</v>
      </c>
      <c r="AA12">
        <f t="shared" si="2"/>
        <v>318.6</v>
      </c>
      <c r="AB12">
        <f t="shared" si="2"/>
        <v>32.040000000000006</v>
      </c>
    </row>
    <row r="13" spans="2:28" ht="15">
      <c r="B13" s="390" t="s">
        <v>36</v>
      </c>
      <c r="C13" s="391"/>
      <c r="D13" s="213">
        <f>IF(P13=FALSE,0,IF(Q29=TRUE,G13*VLOOKUP(O2,R:AB,11,0),VLOOKUP(O2,R:AB,11,0)))</f>
        <v>0</v>
      </c>
      <c r="E13" s="440"/>
      <c r="F13" s="440"/>
      <c r="G13" s="214"/>
      <c r="O13" t="s">
        <v>36</v>
      </c>
      <c r="P13" s="9" t="b">
        <v>0</v>
      </c>
      <c r="R13" t="str">
        <f t="shared" si="0"/>
        <v>ConferenceCounty</v>
      </c>
      <c r="S13" t="s">
        <v>110</v>
      </c>
      <c r="T13" t="s">
        <v>115</v>
      </c>
      <c r="U13">
        <f t="shared" si="1"/>
        <v>127.71000000000001</v>
      </c>
      <c r="V13">
        <v>0</v>
      </c>
      <c r="W13">
        <v>0</v>
      </c>
      <c r="X13">
        <v>0</v>
      </c>
      <c r="Y13">
        <f t="shared" si="2"/>
        <v>0</v>
      </c>
      <c r="Z13">
        <f t="shared" si="2"/>
        <v>0</v>
      </c>
      <c r="AA13">
        <f t="shared" si="2"/>
        <v>0</v>
      </c>
      <c r="AB13">
        <f t="shared" si="2"/>
        <v>32.040000000000006</v>
      </c>
    </row>
    <row r="14" spans="2:28" ht="15">
      <c r="B14" s="51"/>
      <c r="C14" s="41"/>
      <c r="D14" s="41"/>
      <c r="E14" s="41"/>
      <c r="F14" s="41"/>
      <c r="G14" s="50"/>
      <c r="R14" t="str">
        <f t="shared" si="0"/>
        <v>OpinionCounty</v>
      </c>
      <c r="S14" t="s">
        <v>111</v>
      </c>
      <c r="T14" t="s">
        <v>115</v>
      </c>
      <c r="U14">
        <f t="shared" si="1"/>
        <v>105.66000000000001</v>
      </c>
      <c r="V14">
        <v>0</v>
      </c>
      <c r="W14">
        <v>0</v>
      </c>
      <c r="X14">
        <v>0</v>
      </c>
      <c r="Y14">
        <f t="shared" si="2"/>
        <v>0</v>
      </c>
      <c r="Z14">
        <f t="shared" si="2"/>
        <v>0</v>
      </c>
      <c r="AA14">
        <f t="shared" si="2"/>
        <v>0</v>
      </c>
      <c r="AB14">
        <f t="shared" si="2"/>
        <v>0</v>
      </c>
    </row>
    <row r="15" spans="2:28" ht="15">
      <c r="B15" s="390" t="s">
        <v>125</v>
      </c>
      <c r="C15" s="391"/>
      <c r="D15" s="193" t="s">
        <v>127</v>
      </c>
      <c r="E15" s="391" t="s">
        <v>126</v>
      </c>
      <c r="F15" s="391"/>
      <c r="G15" s="195" t="s">
        <v>127</v>
      </c>
      <c r="O15" t="str">
        <f>IF($D$4&gt;$P$17,O36,O44)</f>
        <v>FPC</v>
      </c>
      <c r="P15" t="e">
        <f>VLOOKUP(D7,O36:P46,2,0)</f>
        <v>#N/A</v>
      </c>
      <c r="R15" t="str">
        <f t="shared" si="0"/>
        <v>Interim Hearing Unit 1High</v>
      </c>
      <c r="S15" t="s">
        <v>112</v>
      </c>
      <c r="T15" t="s">
        <v>10</v>
      </c>
      <c r="U15">
        <f t="shared" si="1"/>
        <v>100.08000000000001</v>
      </c>
      <c r="V15">
        <v>25</v>
      </c>
      <c r="W15">
        <v>25</v>
      </c>
      <c r="X15">
        <v>25</v>
      </c>
      <c r="Y15">
        <f t="shared" si="2"/>
        <v>59.400000000000006</v>
      </c>
      <c r="Z15">
        <f t="shared" si="2"/>
        <v>89.1</v>
      </c>
      <c r="AA15">
        <f t="shared" si="2"/>
        <v>0</v>
      </c>
      <c r="AB15">
        <f t="shared" si="2"/>
        <v>32.040000000000006</v>
      </c>
    </row>
    <row r="16" spans="2:28" ht="15">
      <c r="B16" s="388" t="e">
        <f>F7*VLOOKUP(O2,R:AB,4,0)</f>
        <v>#N/A</v>
      </c>
      <c r="C16" s="389"/>
      <c r="D16" s="194" t="e">
        <f>B16*0.2</f>
        <v>#N/A</v>
      </c>
      <c r="E16" s="389" t="e">
        <f>(B16*Q8/100)+G10+D13</f>
        <v>#N/A</v>
      </c>
      <c r="F16" s="389"/>
      <c r="G16" s="86" t="e">
        <f>E16*0.2</f>
        <v>#N/A</v>
      </c>
      <c r="O16" t="str">
        <f aca="true" t="shared" si="3" ref="O16:O21">IF($D$4&gt;$P$17,O37,O45)</f>
        <v>County</v>
      </c>
      <c r="R16" t="str">
        <f t="shared" si="0"/>
        <v>Interim Hearing Unit 2High</v>
      </c>
      <c r="S16" t="s">
        <v>113</v>
      </c>
      <c r="T16" t="s">
        <v>10</v>
      </c>
      <c r="U16">
        <f t="shared" si="1"/>
        <v>250.2</v>
      </c>
      <c r="V16">
        <v>25</v>
      </c>
      <c r="W16">
        <v>25</v>
      </c>
      <c r="X16">
        <v>25</v>
      </c>
      <c r="Y16">
        <f t="shared" si="2"/>
        <v>59.400000000000006</v>
      </c>
      <c r="Z16">
        <f t="shared" si="2"/>
        <v>89.1</v>
      </c>
      <c r="AA16">
        <f t="shared" si="2"/>
        <v>0</v>
      </c>
      <c r="AB16">
        <f t="shared" si="2"/>
        <v>32.040000000000006</v>
      </c>
    </row>
    <row r="17" spans="2:28" ht="15">
      <c r="B17" s="51"/>
      <c r="C17" s="41"/>
      <c r="D17" s="52"/>
      <c r="E17" s="41"/>
      <c r="F17" s="41"/>
      <c r="G17" s="50"/>
      <c r="O17" t="str">
        <f t="shared" si="3"/>
        <v>High</v>
      </c>
      <c r="P17" s="96">
        <v>41750</v>
      </c>
      <c r="R17" t="str">
        <f t="shared" si="0"/>
        <v>Advocates MeetingHigh</v>
      </c>
      <c r="S17" t="s">
        <v>108</v>
      </c>
      <c r="T17" t="s">
        <v>10</v>
      </c>
      <c r="U17">
        <f t="shared" si="1"/>
        <v>169.2</v>
      </c>
      <c r="V17">
        <v>25</v>
      </c>
      <c r="W17">
        <v>25</v>
      </c>
      <c r="X17">
        <v>25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</row>
    <row r="18" spans="2:28" ht="15">
      <c r="B18" s="390" t="s">
        <v>31</v>
      </c>
      <c r="C18" s="391"/>
      <c r="D18" s="193" t="s">
        <v>127</v>
      </c>
      <c r="E18" s="391" t="s">
        <v>294</v>
      </c>
      <c r="F18" s="391"/>
      <c r="G18" s="50"/>
      <c r="O18" t="str">
        <f t="shared" si="3"/>
        <v> </v>
      </c>
      <c r="R18" t="str">
        <f t="shared" si="0"/>
        <v>Final HearingHigh</v>
      </c>
      <c r="S18" t="s">
        <v>109</v>
      </c>
      <c r="T18" t="s">
        <v>10</v>
      </c>
      <c r="U18">
        <f t="shared" si="1"/>
        <v>612.9</v>
      </c>
      <c r="V18">
        <v>25</v>
      </c>
      <c r="W18">
        <v>25</v>
      </c>
      <c r="X18">
        <v>25</v>
      </c>
      <c r="Y18">
        <f t="shared" si="2"/>
        <v>159.3</v>
      </c>
      <c r="Z18">
        <f t="shared" si="2"/>
        <v>239.4</v>
      </c>
      <c r="AA18">
        <f t="shared" si="2"/>
        <v>318.6</v>
      </c>
      <c r="AB18">
        <f t="shared" si="2"/>
        <v>32.040000000000006</v>
      </c>
    </row>
    <row r="19" spans="2:28" ht="15.75" thickBot="1">
      <c r="B19" s="447" t="e">
        <f>B16+E16</f>
        <v>#N/A</v>
      </c>
      <c r="C19" s="434"/>
      <c r="D19" s="196" t="e">
        <f>B19*0.2</f>
        <v>#N/A</v>
      </c>
      <c r="E19" s="434" t="e">
        <f>B19+D19</f>
        <v>#N/A</v>
      </c>
      <c r="F19" s="450"/>
      <c r="G19" s="74"/>
      <c r="O19" t="str">
        <f t="shared" si="3"/>
        <v> </v>
      </c>
      <c r="R19" t="str">
        <f t="shared" si="0"/>
        <v>ConferenceHigh</v>
      </c>
      <c r="S19" t="s">
        <v>110</v>
      </c>
      <c r="T19" t="s">
        <v>10</v>
      </c>
      <c r="U19">
        <f t="shared" si="1"/>
        <v>127.71000000000001</v>
      </c>
      <c r="V19">
        <v>0</v>
      </c>
      <c r="W19">
        <v>0</v>
      </c>
      <c r="X19"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si="2"/>
        <v>32.040000000000006</v>
      </c>
    </row>
    <row r="20" spans="15:28" ht="15">
      <c r="O20" t="str">
        <f t="shared" si="3"/>
        <v> </v>
      </c>
      <c r="R20" t="str">
        <f t="shared" si="0"/>
        <v>OpinionHigh</v>
      </c>
      <c r="S20" t="s">
        <v>111</v>
      </c>
      <c r="T20" t="s">
        <v>10</v>
      </c>
      <c r="U20">
        <f t="shared" si="1"/>
        <v>105.66000000000001</v>
      </c>
      <c r="V20">
        <v>0</v>
      </c>
      <c r="W20">
        <v>0</v>
      </c>
      <c r="X20">
        <v>0</v>
      </c>
      <c r="Y20">
        <f t="shared" si="2"/>
        <v>0</v>
      </c>
      <c r="Z20">
        <f t="shared" si="2"/>
        <v>0</v>
      </c>
      <c r="AA20">
        <f t="shared" si="2"/>
        <v>0</v>
      </c>
      <c r="AB20">
        <f t="shared" si="2"/>
        <v>0</v>
      </c>
    </row>
    <row r="21" ht="15">
      <c r="O21" t="str">
        <f t="shared" si="3"/>
        <v> </v>
      </c>
    </row>
    <row r="22" spans="15:28" ht="15">
      <c r="O22" t="str">
        <f>IF($D$4&gt;$P$17,O43,O51)</f>
        <v> </v>
      </c>
      <c r="U22" t="s">
        <v>155</v>
      </c>
      <c r="V22" t="s">
        <v>116</v>
      </c>
      <c r="W22" t="s">
        <v>117</v>
      </c>
      <c r="X22" t="s">
        <v>73</v>
      </c>
      <c r="Y22" t="s">
        <v>118</v>
      </c>
      <c r="Z22" t="s">
        <v>119</v>
      </c>
      <c r="AA22" t="s">
        <v>120</v>
      </c>
      <c r="AB22" t="s">
        <v>36</v>
      </c>
    </row>
    <row r="23" spans="21:28" ht="15">
      <c r="U23">
        <v>84.25</v>
      </c>
      <c r="V23">
        <v>25</v>
      </c>
      <c r="W23">
        <v>25</v>
      </c>
      <c r="X23">
        <v>25</v>
      </c>
      <c r="Y23">
        <v>66</v>
      </c>
      <c r="Z23">
        <v>99</v>
      </c>
      <c r="AA23">
        <v>0</v>
      </c>
      <c r="AB23">
        <v>35.6</v>
      </c>
    </row>
    <row r="24" spans="21:28" ht="15">
      <c r="U24">
        <v>210.65</v>
      </c>
      <c r="V24">
        <v>25</v>
      </c>
      <c r="W24">
        <v>25</v>
      </c>
      <c r="X24">
        <v>25</v>
      </c>
      <c r="Y24">
        <v>66</v>
      </c>
      <c r="Z24">
        <v>99</v>
      </c>
      <c r="AA24">
        <v>0</v>
      </c>
      <c r="AB24">
        <v>35.6</v>
      </c>
    </row>
    <row r="25" spans="21:28" ht="15">
      <c r="U25">
        <v>142.4</v>
      </c>
      <c r="V25">
        <v>25</v>
      </c>
      <c r="W25">
        <v>25</v>
      </c>
      <c r="X25">
        <v>25</v>
      </c>
      <c r="Y25">
        <v>0</v>
      </c>
      <c r="Z25">
        <v>0</v>
      </c>
      <c r="AA25">
        <v>0</v>
      </c>
      <c r="AB25">
        <v>0</v>
      </c>
    </row>
    <row r="26" spans="15:28" ht="15">
      <c r="O26" s="96" t="str">
        <f>Main!F6</f>
        <v>Click Here</v>
      </c>
      <c r="R26" t="s">
        <v>289</v>
      </c>
      <c r="U26">
        <v>515.9</v>
      </c>
      <c r="V26">
        <v>25</v>
      </c>
      <c r="W26">
        <v>25</v>
      </c>
      <c r="X26">
        <v>25</v>
      </c>
      <c r="Y26">
        <v>177</v>
      </c>
      <c r="Z26">
        <v>266</v>
      </c>
      <c r="AA26">
        <v>354</v>
      </c>
      <c r="AB26">
        <v>35.6</v>
      </c>
    </row>
    <row r="27" spans="15:28" ht="15">
      <c r="O27">
        <f>IF(O26=R26,0,1)</f>
        <v>1</v>
      </c>
      <c r="U27">
        <v>141.9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35.6</v>
      </c>
    </row>
    <row r="28" spans="21:28" ht="15">
      <c r="U28">
        <v>117.4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5:28" ht="15">
      <c r="O29" t="s">
        <v>112</v>
      </c>
      <c r="Q29" t="b">
        <f>OR(B7=O29,B7=O30)</f>
        <v>0</v>
      </c>
      <c r="U29">
        <v>92.65</v>
      </c>
      <c r="V29">
        <v>25</v>
      </c>
      <c r="W29">
        <v>25</v>
      </c>
      <c r="X29">
        <v>25</v>
      </c>
      <c r="Y29">
        <v>66</v>
      </c>
      <c r="Z29">
        <v>99</v>
      </c>
      <c r="AA29">
        <v>0</v>
      </c>
      <c r="AB29">
        <v>35.6</v>
      </c>
    </row>
    <row r="30" spans="15:28" ht="15">
      <c r="O30" t="s">
        <v>113</v>
      </c>
      <c r="U30">
        <v>231.7</v>
      </c>
      <c r="V30">
        <v>25</v>
      </c>
      <c r="W30">
        <v>25</v>
      </c>
      <c r="X30">
        <v>25</v>
      </c>
      <c r="Y30">
        <v>66</v>
      </c>
      <c r="Z30">
        <v>99</v>
      </c>
      <c r="AA30">
        <v>0</v>
      </c>
      <c r="AB30">
        <v>35.6</v>
      </c>
    </row>
    <row r="31" spans="15:28" ht="15">
      <c r="O31" t="s">
        <v>108</v>
      </c>
      <c r="U31">
        <v>156.65</v>
      </c>
      <c r="V31">
        <v>25</v>
      </c>
      <c r="W31">
        <v>25</v>
      </c>
      <c r="X31">
        <v>25</v>
      </c>
      <c r="Y31">
        <v>0</v>
      </c>
      <c r="Z31">
        <v>0</v>
      </c>
      <c r="AA31">
        <v>0</v>
      </c>
      <c r="AB31">
        <v>0</v>
      </c>
    </row>
    <row r="32" spans="15:28" ht="15">
      <c r="O32" t="s">
        <v>109</v>
      </c>
      <c r="U32">
        <v>567.5</v>
      </c>
      <c r="V32">
        <v>25</v>
      </c>
      <c r="W32">
        <v>25</v>
      </c>
      <c r="X32">
        <v>25</v>
      </c>
      <c r="Y32">
        <v>177</v>
      </c>
      <c r="Z32">
        <v>266</v>
      </c>
      <c r="AA32">
        <v>354</v>
      </c>
      <c r="AB32">
        <v>35.6</v>
      </c>
    </row>
    <row r="33" spans="15:28" ht="15">
      <c r="O33" t="s">
        <v>110</v>
      </c>
      <c r="U33">
        <v>141.9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35.6</v>
      </c>
    </row>
    <row r="34" spans="15:28" ht="15">
      <c r="O34" t="s">
        <v>111</v>
      </c>
      <c r="U34">
        <v>117.4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21:28" ht="15">
      <c r="U35">
        <v>111.2</v>
      </c>
      <c r="V35">
        <v>25</v>
      </c>
      <c r="W35">
        <v>25</v>
      </c>
      <c r="X35">
        <v>25</v>
      </c>
      <c r="Y35">
        <v>66</v>
      </c>
      <c r="Z35">
        <v>99</v>
      </c>
      <c r="AA35">
        <v>0</v>
      </c>
      <c r="AB35">
        <v>35.6</v>
      </c>
    </row>
    <row r="36" spans="15:28" ht="15">
      <c r="O36" t="s">
        <v>362</v>
      </c>
      <c r="P36" t="s">
        <v>114</v>
      </c>
      <c r="U36">
        <v>278</v>
      </c>
      <c r="V36">
        <v>25</v>
      </c>
      <c r="W36">
        <v>25</v>
      </c>
      <c r="X36">
        <v>25</v>
      </c>
      <c r="Y36">
        <v>66</v>
      </c>
      <c r="Z36">
        <v>99</v>
      </c>
      <c r="AA36">
        <v>0</v>
      </c>
      <c r="AB36">
        <v>35.6</v>
      </c>
    </row>
    <row r="37" spans="15:28" ht="15">
      <c r="O37" t="s">
        <v>363</v>
      </c>
      <c r="P37" t="s">
        <v>114</v>
      </c>
      <c r="U37">
        <v>188</v>
      </c>
      <c r="V37">
        <v>25</v>
      </c>
      <c r="W37">
        <v>25</v>
      </c>
      <c r="X37">
        <v>25</v>
      </c>
      <c r="Y37">
        <v>0</v>
      </c>
      <c r="Z37">
        <v>0</v>
      </c>
      <c r="AA37">
        <v>0</v>
      </c>
      <c r="AB37">
        <v>0</v>
      </c>
    </row>
    <row r="38" spans="15:28" ht="15">
      <c r="O38" t="s">
        <v>364</v>
      </c>
      <c r="P38" t="s">
        <v>114</v>
      </c>
      <c r="U38">
        <v>681</v>
      </c>
      <c r="V38">
        <v>25</v>
      </c>
      <c r="W38">
        <v>25</v>
      </c>
      <c r="X38">
        <v>25</v>
      </c>
      <c r="Y38">
        <v>177</v>
      </c>
      <c r="Z38">
        <v>266</v>
      </c>
      <c r="AA38">
        <v>354</v>
      </c>
      <c r="AB38">
        <v>35.6</v>
      </c>
    </row>
    <row r="39" spans="15:28" ht="15">
      <c r="O39" t="s">
        <v>365</v>
      </c>
      <c r="P39" t="s">
        <v>115</v>
      </c>
      <c r="U39">
        <v>141.9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35.6</v>
      </c>
    </row>
    <row r="40" spans="15:28" ht="15">
      <c r="O40" t="s">
        <v>366</v>
      </c>
      <c r="P40" t="s">
        <v>115</v>
      </c>
      <c r="U40">
        <v>117.4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5:16" ht="15">
      <c r="O41" t="s">
        <v>367</v>
      </c>
      <c r="P41" t="s">
        <v>115</v>
      </c>
    </row>
    <row r="42" spans="15:16" ht="15">
      <c r="O42" t="s">
        <v>368</v>
      </c>
      <c r="P42" t="s">
        <v>10</v>
      </c>
    </row>
    <row r="43" spans="15:16" ht="15">
      <c r="O43" t="s">
        <v>369</v>
      </c>
      <c r="P43" t="s">
        <v>10</v>
      </c>
    </row>
    <row r="44" spans="15:16" ht="15">
      <c r="O44" t="s">
        <v>114</v>
      </c>
      <c r="P44" t="s">
        <v>114</v>
      </c>
    </row>
    <row r="45" spans="15:16" ht="15">
      <c r="O45" t="s">
        <v>115</v>
      </c>
      <c r="P45" t="s">
        <v>115</v>
      </c>
    </row>
    <row r="46" spans="15:16" ht="15">
      <c r="O46" t="s">
        <v>10</v>
      </c>
      <c r="P46" t="s">
        <v>10</v>
      </c>
    </row>
    <row r="47" ht="15">
      <c r="O47" t="s">
        <v>76</v>
      </c>
    </row>
    <row r="48" ht="15">
      <c r="O48" t="s">
        <v>76</v>
      </c>
    </row>
    <row r="49" ht="15">
      <c r="O49" t="s">
        <v>76</v>
      </c>
    </row>
    <row r="50" ht="15">
      <c r="O50" t="s">
        <v>76</v>
      </c>
    </row>
    <row r="51" ht="15">
      <c r="O51" t="s">
        <v>76</v>
      </c>
    </row>
  </sheetData>
  <sheetProtection password="CF21" sheet="1"/>
  <mergeCells count="29">
    <mergeCell ref="B4:C4"/>
    <mergeCell ref="J10:K10"/>
    <mergeCell ref="J11:K11"/>
    <mergeCell ref="J9:K9"/>
    <mergeCell ref="I2:K3"/>
    <mergeCell ref="I4:I6"/>
    <mergeCell ref="J4:J6"/>
    <mergeCell ref="K4:K6"/>
    <mergeCell ref="E11:F13"/>
    <mergeCell ref="E16:F16"/>
    <mergeCell ref="B2:G2"/>
    <mergeCell ref="B6:C6"/>
    <mergeCell ref="D6:E6"/>
    <mergeCell ref="F6:G6"/>
    <mergeCell ref="B7:C7"/>
    <mergeCell ref="D7:E7"/>
    <mergeCell ref="F7:G7"/>
    <mergeCell ref="E15:F15"/>
    <mergeCell ref="B13:C13"/>
    <mergeCell ref="E18:F18"/>
    <mergeCell ref="B18:C18"/>
    <mergeCell ref="B19:C19"/>
    <mergeCell ref="B9:C9"/>
    <mergeCell ref="B10:C10"/>
    <mergeCell ref="B11:C11"/>
    <mergeCell ref="B12:C12"/>
    <mergeCell ref="B15:C15"/>
    <mergeCell ref="E19:F19"/>
    <mergeCell ref="B16:C16"/>
  </mergeCells>
  <conditionalFormatting sqref="G10 D13">
    <cfRule type="cellIs" priority="3" dxfId="16" operator="equal">
      <formula>0</formula>
    </cfRule>
  </conditionalFormatting>
  <dataValidations count="3">
    <dataValidation type="list" allowBlank="1" showInputMessage="1" showErrorMessage="1" sqref="F10">
      <formula1>$O$4:$O$7</formula1>
    </dataValidation>
    <dataValidation type="list" allowBlank="1" showInputMessage="1" showErrorMessage="1" sqref="D7:E7">
      <formula1>Level</formula1>
    </dataValidation>
    <dataValidation type="list" allowBlank="1" showInputMessage="1" showErrorMessage="1" sqref="B7:C7">
      <formula1>$O$29:$O$34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B2:M28"/>
  <sheetViews>
    <sheetView showGridLines="0" zoomScale="75" zoomScaleNormal="75" zoomScalePageLayoutView="0" workbookViewId="0" topLeftCell="A1">
      <selection activeCell="D4" sqref="D4:D5"/>
    </sheetView>
  </sheetViews>
  <sheetFormatPr defaultColWidth="9.140625" defaultRowHeight="15"/>
  <cols>
    <col min="1" max="1" width="1.7109375" style="0" customWidth="1"/>
    <col min="2" max="2" width="17.57421875" style="75" bestFit="1" customWidth="1"/>
    <col min="3" max="3" width="18.28125" style="75" bestFit="1" customWidth="1"/>
    <col min="4" max="4" width="33.00390625" style="75" bestFit="1" customWidth="1"/>
    <col min="5" max="5" width="17.8515625" style="75" bestFit="1" customWidth="1"/>
    <col min="6" max="6" width="15.140625" style="75" bestFit="1" customWidth="1"/>
    <col min="7" max="7" width="13.7109375" style="75" customWidth="1"/>
    <col min="8" max="8" width="4.57421875" style="0" customWidth="1"/>
    <col min="9" max="9" width="35.00390625" style="0" bestFit="1" customWidth="1"/>
    <col min="10" max="10" width="16.421875" style="0" bestFit="1" customWidth="1"/>
    <col min="11" max="11" width="19.421875" style="0" bestFit="1" customWidth="1"/>
    <col min="12" max="12" width="9.140625" style="0" customWidth="1"/>
    <col min="13" max="13" width="11.57421875" style="0" hidden="1" customWidth="1"/>
    <col min="14" max="14" width="9.140625" style="0" customWidth="1"/>
  </cols>
  <sheetData>
    <row r="1" ht="15.75" thickBot="1"/>
    <row r="2" spans="2:10" ht="23.25" customHeight="1">
      <c r="B2" s="457" t="s">
        <v>516</v>
      </c>
      <c r="C2" s="458"/>
      <c r="D2" s="458"/>
      <c r="E2" s="458"/>
      <c r="F2" s="458"/>
      <c r="G2" s="458"/>
      <c r="H2" s="458"/>
      <c r="I2" s="458"/>
      <c r="J2" s="459"/>
    </row>
    <row r="3" spans="2:10" ht="35.25" customHeight="1" thickBot="1">
      <c r="B3" s="288"/>
      <c r="C3" s="289"/>
      <c r="D3" s="290" t="s">
        <v>483</v>
      </c>
      <c r="E3" s="289"/>
      <c r="F3" s="289"/>
      <c r="G3" s="289"/>
      <c r="H3" s="289"/>
      <c r="I3" s="289"/>
      <c r="J3" s="291"/>
    </row>
    <row r="4" spans="2:10" ht="15" customHeight="1">
      <c r="B4" s="292" t="s">
        <v>484</v>
      </c>
      <c r="C4" s="293">
        <f>IF(M6="clear",0,IF(M5&gt;40939,LOOKUP(D4,Rates,UnitTwo),LOOKUP(D4,PreRates,UnitFour)))</f>
        <v>0</v>
      </c>
      <c r="D4" s="460"/>
      <c r="E4" s="294"/>
      <c r="F4" s="453"/>
      <c r="G4" s="477" t="s">
        <v>518</v>
      </c>
      <c r="H4" s="62"/>
      <c r="I4" s="62"/>
      <c r="J4" s="295"/>
    </row>
    <row r="5" spans="2:13" ht="15.75" thickBot="1">
      <c r="B5" s="296" t="s">
        <v>486</v>
      </c>
      <c r="C5" s="297">
        <f>IF(M6="clear",0,IF(M5&gt;40939,LOOKUP(D4,Rates,UnitOne),LOOKUP(D4,PreRates,UnitThree)))</f>
        <v>0</v>
      </c>
      <c r="D5" s="461"/>
      <c r="E5" s="62"/>
      <c r="F5" s="454"/>
      <c r="G5" s="478"/>
      <c r="H5" s="62"/>
      <c r="I5" s="62"/>
      <c r="J5" s="295"/>
      <c r="M5" s="87">
        <f>F4</f>
        <v>0</v>
      </c>
    </row>
    <row r="6" spans="2:13" ht="49.5" customHeight="1" thickBot="1">
      <c r="B6" s="462" t="s">
        <v>487</v>
      </c>
      <c r="C6" s="463"/>
      <c r="D6" s="463"/>
      <c r="E6" s="62"/>
      <c r="F6" s="62"/>
      <c r="G6" s="62"/>
      <c r="H6" s="62"/>
      <c r="I6" s="464" t="s">
        <v>488</v>
      </c>
      <c r="J6" s="465"/>
      <c r="M6" s="311" t="str">
        <f>IF(M5=0,"clear","value")</f>
        <v>clear</v>
      </c>
    </row>
    <row r="7" spans="2:10" ht="15">
      <c r="B7" s="292" t="s">
        <v>489</v>
      </c>
      <c r="C7" s="298" t="s">
        <v>490</v>
      </c>
      <c r="D7" s="298" t="s">
        <v>491</v>
      </c>
      <c r="E7" s="298" t="s">
        <v>492</v>
      </c>
      <c r="F7" s="298" t="s">
        <v>493</v>
      </c>
      <c r="G7" s="299" t="s">
        <v>494</v>
      </c>
      <c r="H7" s="62"/>
      <c r="I7" s="292" t="s">
        <v>495</v>
      </c>
      <c r="J7" s="300">
        <f>SUM(E8:E27)</f>
        <v>0</v>
      </c>
    </row>
    <row r="8" spans="2:10" ht="15">
      <c r="B8" s="285"/>
      <c r="C8" s="282"/>
      <c r="D8" s="282"/>
      <c r="E8" s="301">
        <f aca="true" t="shared" si="0" ref="E8:E27">SUM(C8-B8)-D8</f>
        <v>0</v>
      </c>
      <c r="F8" s="302">
        <f aca="true" t="shared" si="1" ref="F8:F27">ROUNDUP(E8*24*60/150,0)</f>
        <v>0</v>
      </c>
      <c r="G8" s="303">
        <f aca="true" t="shared" si="2" ref="G8:G27">IF(E8&lt;=TIMEVALUE("1:00"),$C$5*F8,$C$4*F8)</f>
        <v>0</v>
      </c>
      <c r="H8" s="62"/>
      <c r="I8" s="304" t="s">
        <v>496</v>
      </c>
      <c r="J8" s="305">
        <f>ROUNDUP(SUM(J7*24*60)/150,0)</f>
        <v>0</v>
      </c>
    </row>
    <row r="9" spans="2:10" ht="15.75" thickBot="1">
      <c r="B9" s="285"/>
      <c r="C9" s="282"/>
      <c r="D9" s="282"/>
      <c r="E9" s="301">
        <f t="shared" si="0"/>
        <v>0</v>
      </c>
      <c r="F9" s="302">
        <f t="shared" si="1"/>
        <v>0</v>
      </c>
      <c r="G9" s="303">
        <f t="shared" si="2"/>
        <v>0</v>
      </c>
      <c r="H9" s="62"/>
      <c r="I9" s="296" t="s">
        <v>497</v>
      </c>
      <c r="J9" s="306">
        <f>C4*J8</f>
        <v>0</v>
      </c>
    </row>
    <row r="10" spans="2:10" ht="15">
      <c r="B10" s="285"/>
      <c r="C10" s="282"/>
      <c r="D10" s="282"/>
      <c r="E10" s="301">
        <f t="shared" si="0"/>
        <v>0</v>
      </c>
      <c r="F10" s="302">
        <f t="shared" si="1"/>
        <v>0</v>
      </c>
      <c r="G10" s="303">
        <f t="shared" si="2"/>
        <v>0</v>
      </c>
      <c r="H10" s="62"/>
      <c r="I10" s="62"/>
      <c r="J10" s="307"/>
    </row>
    <row r="11" spans="2:10" ht="15" customHeight="1">
      <c r="B11" s="285"/>
      <c r="C11" s="282"/>
      <c r="D11" s="282"/>
      <c r="E11" s="301">
        <f t="shared" si="0"/>
        <v>0</v>
      </c>
      <c r="F11" s="302">
        <f t="shared" si="1"/>
        <v>0</v>
      </c>
      <c r="G11" s="303">
        <f t="shared" si="2"/>
        <v>0</v>
      </c>
      <c r="H11" s="62"/>
      <c r="I11" s="464" t="s">
        <v>498</v>
      </c>
      <c r="J11" s="466"/>
    </row>
    <row r="12" spans="2:10" ht="15" customHeight="1">
      <c r="B12" s="285"/>
      <c r="C12" s="282"/>
      <c r="D12" s="282"/>
      <c r="E12" s="301">
        <f t="shared" si="0"/>
        <v>0</v>
      </c>
      <c r="F12" s="302">
        <f t="shared" si="1"/>
        <v>0</v>
      </c>
      <c r="G12" s="303">
        <f t="shared" si="2"/>
        <v>0</v>
      </c>
      <c r="H12" s="62"/>
      <c r="I12" s="464"/>
      <c r="J12" s="466"/>
    </row>
    <row r="13" spans="2:10" ht="15" customHeight="1" thickBot="1">
      <c r="B13" s="285"/>
      <c r="C13" s="282"/>
      <c r="D13" s="282"/>
      <c r="E13" s="301">
        <f t="shared" si="0"/>
        <v>0</v>
      </c>
      <c r="F13" s="302">
        <f t="shared" si="1"/>
        <v>0</v>
      </c>
      <c r="G13" s="303">
        <f t="shared" si="2"/>
        <v>0</v>
      </c>
      <c r="H13" s="62"/>
      <c r="I13" s="464"/>
      <c r="J13" s="466"/>
    </row>
    <row r="14" spans="2:10" ht="15">
      <c r="B14" s="285"/>
      <c r="C14" s="282"/>
      <c r="D14" s="282"/>
      <c r="E14" s="301">
        <f t="shared" si="0"/>
        <v>0</v>
      </c>
      <c r="F14" s="302">
        <f t="shared" si="1"/>
        <v>0</v>
      </c>
      <c r="G14" s="303">
        <f t="shared" si="2"/>
        <v>0</v>
      </c>
      <c r="H14" s="62"/>
      <c r="I14" s="292" t="s">
        <v>499</v>
      </c>
      <c r="J14" s="308">
        <f>SUM(F8:F27)</f>
        <v>0</v>
      </c>
    </row>
    <row r="15" spans="2:10" ht="15.75" thickBot="1">
      <c r="B15" s="283"/>
      <c r="C15" s="284"/>
      <c r="D15" s="284"/>
      <c r="E15" s="301">
        <f t="shared" si="0"/>
        <v>0</v>
      </c>
      <c r="F15" s="302">
        <f t="shared" si="1"/>
        <v>0</v>
      </c>
      <c r="G15" s="303">
        <f t="shared" si="2"/>
        <v>0</v>
      </c>
      <c r="H15" s="62"/>
      <c r="I15" s="296" t="s">
        <v>500</v>
      </c>
      <c r="J15" s="306">
        <f>SUM(G:G)</f>
        <v>0</v>
      </c>
    </row>
    <row r="16" spans="2:10" ht="15">
      <c r="B16" s="283"/>
      <c r="C16" s="284"/>
      <c r="D16" s="284"/>
      <c r="E16" s="301">
        <f t="shared" si="0"/>
        <v>0</v>
      </c>
      <c r="F16" s="302">
        <f t="shared" si="1"/>
        <v>0</v>
      </c>
      <c r="G16" s="303">
        <f t="shared" si="2"/>
        <v>0</v>
      </c>
      <c r="H16" s="62"/>
      <c r="I16" s="62"/>
      <c r="J16" s="295"/>
    </row>
    <row r="17" spans="2:10" ht="15">
      <c r="B17" s="283"/>
      <c r="C17" s="284"/>
      <c r="D17" s="284"/>
      <c r="E17" s="301">
        <f t="shared" si="0"/>
        <v>0</v>
      </c>
      <c r="F17" s="302">
        <f t="shared" si="1"/>
        <v>0</v>
      </c>
      <c r="G17" s="303">
        <f t="shared" si="2"/>
        <v>0</v>
      </c>
      <c r="H17" s="62"/>
      <c r="I17" s="467" t="s">
        <v>524</v>
      </c>
      <c r="J17" s="468"/>
    </row>
    <row r="18" spans="2:10" ht="15.75" thickBot="1">
      <c r="B18" s="283"/>
      <c r="C18" s="284"/>
      <c r="D18" s="284"/>
      <c r="E18" s="301">
        <f t="shared" si="0"/>
        <v>0</v>
      </c>
      <c r="F18" s="302">
        <f t="shared" si="1"/>
        <v>0</v>
      </c>
      <c r="G18" s="303">
        <f t="shared" si="2"/>
        <v>0</v>
      </c>
      <c r="H18" s="62"/>
      <c r="I18" s="469"/>
      <c r="J18" s="470"/>
    </row>
    <row r="19" spans="2:10" ht="15" customHeight="1">
      <c r="B19" s="283"/>
      <c r="C19" s="284"/>
      <c r="D19" s="284"/>
      <c r="E19" s="301">
        <f t="shared" si="0"/>
        <v>0</v>
      </c>
      <c r="F19" s="302">
        <f t="shared" si="1"/>
        <v>0</v>
      </c>
      <c r="G19" s="303">
        <f t="shared" si="2"/>
        <v>0</v>
      </c>
      <c r="H19" s="62"/>
      <c r="I19" s="471" t="s">
        <v>523</v>
      </c>
      <c r="J19" s="474" t="str">
        <f>IF(J9=J15,"Correct",J15-J9)</f>
        <v>Correct</v>
      </c>
    </row>
    <row r="20" spans="2:10" ht="15" customHeight="1">
      <c r="B20" s="283"/>
      <c r="C20" s="284"/>
      <c r="D20" s="284"/>
      <c r="E20" s="301">
        <f t="shared" si="0"/>
        <v>0</v>
      </c>
      <c r="F20" s="302">
        <f t="shared" si="1"/>
        <v>0</v>
      </c>
      <c r="G20" s="303">
        <f t="shared" si="2"/>
        <v>0</v>
      </c>
      <c r="H20" s="62"/>
      <c r="I20" s="472"/>
      <c r="J20" s="475"/>
    </row>
    <row r="21" spans="2:10" ht="15" customHeight="1">
      <c r="B21" s="283"/>
      <c r="C21" s="284"/>
      <c r="D21" s="284"/>
      <c r="E21" s="301">
        <f t="shared" si="0"/>
        <v>0</v>
      </c>
      <c r="F21" s="302">
        <f t="shared" si="1"/>
        <v>0</v>
      </c>
      <c r="G21" s="303">
        <f t="shared" si="2"/>
        <v>0</v>
      </c>
      <c r="H21" s="62"/>
      <c r="I21" s="472"/>
      <c r="J21" s="475"/>
    </row>
    <row r="22" spans="2:10" ht="15.75" customHeight="1" thickBot="1">
      <c r="B22" s="283"/>
      <c r="C22" s="284"/>
      <c r="D22" s="284"/>
      <c r="E22" s="301">
        <f t="shared" si="0"/>
        <v>0</v>
      </c>
      <c r="F22" s="302">
        <f t="shared" si="1"/>
        <v>0</v>
      </c>
      <c r="G22" s="303">
        <f t="shared" si="2"/>
        <v>0</v>
      </c>
      <c r="H22" s="62"/>
      <c r="I22" s="473"/>
      <c r="J22" s="476"/>
    </row>
    <row r="23" spans="2:10" ht="15">
      <c r="B23" s="285"/>
      <c r="C23" s="282"/>
      <c r="D23" s="284"/>
      <c r="E23" s="301">
        <f t="shared" si="0"/>
        <v>0</v>
      </c>
      <c r="F23" s="302">
        <f t="shared" si="1"/>
        <v>0</v>
      </c>
      <c r="G23" s="303">
        <f t="shared" si="2"/>
        <v>0</v>
      </c>
      <c r="H23" s="62"/>
      <c r="I23" s="62"/>
      <c r="J23" s="295"/>
    </row>
    <row r="24" spans="2:10" ht="15">
      <c r="B24" s="283"/>
      <c r="C24" s="284"/>
      <c r="D24" s="284"/>
      <c r="E24" s="301">
        <f t="shared" si="0"/>
        <v>0</v>
      </c>
      <c r="F24" s="302">
        <f t="shared" si="1"/>
        <v>0</v>
      </c>
      <c r="G24" s="303">
        <f t="shared" si="2"/>
        <v>0</v>
      </c>
      <c r="H24" s="62"/>
      <c r="I24" s="455" t="s">
        <v>522</v>
      </c>
      <c r="J24" s="456"/>
    </row>
    <row r="25" spans="2:10" ht="15">
      <c r="B25" s="283"/>
      <c r="C25" s="284"/>
      <c r="D25" s="284"/>
      <c r="E25" s="301">
        <f t="shared" si="0"/>
        <v>0</v>
      </c>
      <c r="F25" s="302">
        <f t="shared" si="1"/>
        <v>0</v>
      </c>
      <c r="G25" s="303">
        <f t="shared" si="2"/>
        <v>0</v>
      </c>
      <c r="H25" s="62"/>
      <c r="I25" s="455"/>
      <c r="J25" s="456"/>
    </row>
    <row r="26" spans="2:10" ht="15">
      <c r="B26" s="283"/>
      <c r="C26" s="284"/>
      <c r="D26" s="284"/>
      <c r="E26" s="301">
        <f t="shared" si="0"/>
        <v>0</v>
      </c>
      <c r="F26" s="302">
        <f t="shared" si="1"/>
        <v>0</v>
      </c>
      <c r="G26" s="303">
        <f t="shared" si="2"/>
        <v>0</v>
      </c>
      <c r="H26" s="62"/>
      <c r="I26" s="455"/>
      <c r="J26" s="456"/>
    </row>
    <row r="27" spans="2:10" ht="15.75" thickBot="1">
      <c r="B27" s="309"/>
      <c r="C27" s="310"/>
      <c r="D27" s="310"/>
      <c r="E27" s="301">
        <f t="shared" si="0"/>
        <v>0</v>
      </c>
      <c r="F27" s="302">
        <f t="shared" si="1"/>
        <v>0</v>
      </c>
      <c r="G27" s="303">
        <f t="shared" si="2"/>
        <v>0</v>
      </c>
      <c r="H27" s="62"/>
      <c r="I27" s="455"/>
      <c r="J27" s="456"/>
    </row>
    <row r="28" spans="2:10" ht="15.75" thickBot="1">
      <c r="B28" s="219"/>
      <c r="C28" s="220"/>
      <c r="D28" s="220"/>
      <c r="E28" s="220"/>
      <c r="F28" s="220"/>
      <c r="G28" s="220"/>
      <c r="H28" s="220"/>
      <c r="I28" s="220"/>
      <c r="J28" s="221"/>
    </row>
  </sheetData>
  <sheetProtection password="CFE1" sheet="1" selectLockedCells="1"/>
  <mergeCells count="11">
    <mergeCell ref="G4:G5"/>
    <mergeCell ref="F4:F5"/>
    <mergeCell ref="I24:J27"/>
    <mergeCell ref="B2:J2"/>
    <mergeCell ref="D4:D5"/>
    <mergeCell ref="B6:D6"/>
    <mergeCell ref="I6:J6"/>
    <mergeCell ref="I11:J13"/>
    <mergeCell ref="I17:J18"/>
    <mergeCell ref="I19:I22"/>
    <mergeCell ref="J19:J22"/>
  </mergeCells>
  <conditionalFormatting sqref="J15">
    <cfRule type="cellIs" priority="5" dxfId="18" operator="notEqual" stopIfTrue="1">
      <formula>$J$9</formula>
    </cfRule>
  </conditionalFormatting>
  <conditionalFormatting sqref="J14">
    <cfRule type="cellIs" priority="3" dxfId="19" operator="notEqual" stopIfTrue="1">
      <formula>$J$8</formula>
    </cfRule>
  </conditionalFormatting>
  <conditionalFormatting sqref="J19:J22">
    <cfRule type="cellIs" priority="1" dxfId="20" operator="equal" stopIfTrue="1">
      <formula>"Correct"</formula>
    </cfRule>
    <cfRule type="cellIs" priority="2" dxfId="21" operator="notEqual" stopIfTrue="1">
      <formula>$J$9</formula>
    </cfRule>
  </conditionalFormatting>
  <dataValidations count="2">
    <dataValidation type="list" allowBlank="1" showInputMessage="1" showErrorMessage="1" sqref="D4:D5">
      <formula1>Category</formula1>
    </dataValidation>
    <dataValidation type="date" operator="greaterThanOrEqual" allowBlank="1" showInputMessage="1" showErrorMessage="1" sqref="F4:F5">
      <formula1>40672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G17"/>
  <sheetViews>
    <sheetView zoomScalePageLayoutView="0" workbookViewId="0" topLeftCell="A1">
      <selection activeCell="I13" sqref="I13:O13"/>
    </sheetView>
  </sheetViews>
  <sheetFormatPr defaultColWidth="9.140625" defaultRowHeight="15"/>
  <cols>
    <col min="1" max="1" width="32.8515625" style="0" bestFit="1" customWidth="1"/>
    <col min="2" max="3" width="7.57421875" style="0" bestFit="1" customWidth="1"/>
    <col min="5" max="5" width="32.8515625" style="0" bestFit="1" customWidth="1"/>
  </cols>
  <sheetData>
    <row r="1" spans="1:7" ht="15">
      <c r="A1" s="286" t="s">
        <v>136</v>
      </c>
      <c r="B1" s="286" t="s">
        <v>501</v>
      </c>
      <c r="C1" s="286" t="s">
        <v>502</v>
      </c>
      <c r="E1" s="286" t="s">
        <v>517</v>
      </c>
      <c r="F1" s="286" t="s">
        <v>501</v>
      </c>
      <c r="G1" s="286" t="s">
        <v>502</v>
      </c>
    </row>
    <row r="2" spans="1:7" ht="15">
      <c r="A2" s="238" t="s">
        <v>503</v>
      </c>
      <c r="B2" s="287">
        <v>95.4</v>
      </c>
      <c r="C2" s="287">
        <v>238.46</v>
      </c>
      <c r="E2" s="238" t="s">
        <v>503</v>
      </c>
      <c r="F2" s="287">
        <v>106</v>
      </c>
      <c r="G2" s="287">
        <v>264.95</v>
      </c>
    </row>
    <row r="3" spans="1:7" ht="15">
      <c r="A3" s="238" t="s">
        <v>504</v>
      </c>
      <c r="B3" s="287">
        <v>81.5</v>
      </c>
      <c r="C3" s="287">
        <v>203.76</v>
      </c>
      <c r="E3" s="238" t="s">
        <v>504</v>
      </c>
      <c r="F3" s="287">
        <v>90.55</v>
      </c>
      <c r="G3" s="287">
        <v>226.4</v>
      </c>
    </row>
    <row r="4" spans="1:7" ht="15">
      <c r="A4" s="238" t="s">
        <v>521</v>
      </c>
      <c r="B4" s="287">
        <v>101.07</v>
      </c>
      <c r="C4" s="287">
        <v>252.72</v>
      </c>
      <c r="E4" s="238" t="s">
        <v>521</v>
      </c>
      <c r="F4" s="287">
        <v>112.3</v>
      </c>
      <c r="G4" s="287">
        <v>280.8</v>
      </c>
    </row>
    <row r="5" spans="1:7" ht="15">
      <c r="A5" s="238" t="s">
        <v>505</v>
      </c>
      <c r="B5" s="287">
        <v>63.18</v>
      </c>
      <c r="C5" s="287">
        <v>157.95</v>
      </c>
      <c r="E5" s="238" t="s">
        <v>505</v>
      </c>
      <c r="F5" s="287">
        <v>70.2</v>
      </c>
      <c r="G5" s="287">
        <v>175.5</v>
      </c>
    </row>
    <row r="6" spans="1:7" ht="15">
      <c r="A6" s="238" t="s">
        <v>506</v>
      </c>
      <c r="B6" s="287">
        <v>83.39</v>
      </c>
      <c r="C6" s="287">
        <v>208.53</v>
      </c>
      <c r="E6" s="238" t="s">
        <v>506</v>
      </c>
      <c r="F6" s="287">
        <v>92.65</v>
      </c>
      <c r="G6" s="287">
        <v>231.7</v>
      </c>
    </row>
    <row r="7" spans="1:7" ht="15">
      <c r="A7" s="238" t="s">
        <v>507</v>
      </c>
      <c r="B7" s="287">
        <v>68.94</v>
      </c>
      <c r="C7" s="287">
        <v>172.4</v>
      </c>
      <c r="E7" s="238" t="s">
        <v>507</v>
      </c>
      <c r="F7" s="287">
        <v>76.6</v>
      </c>
      <c r="G7" s="287">
        <v>191.55</v>
      </c>
    </row>
    <row r="8" spans="1:7" ht="15">
      <c r="A8" s="238" t="s">
        <v>508</v>
      </c>
      <c r="B8" s="287">
        <v>114.48</v>
      </c>
      <c r="C8" s="287">
        <v>286.16</v>
      </c>
      <c r="E8" s="238" t="s">
        <v>508</v>
      </c>
      <c r="F8" s="287">
        <v>127.2</v>
      </c>
      <c r="G8" s="287">
        <v>317.95</v>
      </c>
    </row>
    <row r="9" spans="1:7" ht="15">
      <c r="A9" s="238" t="s">
        <v>509</v>
      </c>
      <c r="B9" s="287">
        <v>81.5</v>
      </c>
      <c r="C9" s="287">
        <v>203.76</v>
      </c>
      <c r="E9" s="238" t="s">
        <v>509</v>
      </c>
      <c r="F9" s="287">
        <v>90.55</v>
      </c>
      <c r="G9" s="287">
        <v>226.4</v>
      </c>
    </row>
    <row r="10" spans="1:7" ht="15">
      <c r="A10" s="238" t="s">
        <v>520</v>
      </c>
      <c r="B10" s="287">
        <v>121.32</v>
      </c>
      <c r="C10" s="287">
        <v>303.26</v>
      </c>
      <c r="E10" s="238" t="s">
        <v>520</v>
      </c>
      <c r="F10" s="287">
        <v>134.8</v>
      </c>
      <c r="G10" s="287">
        <v>336.95</v>
      </c>
    </row>
    <row r="11" spans="1:7" ht="15">
      <c r="A11" s="238" t="s">
        <v>510</v>
      </c>
      <c r="B11" s="287">
        <v>75.83</v>
      </c>
      <c r="C11" s="287">
        <v>189.54</v>
      </c>
      <c r="E11" s="238" t="s">
        <v>510</v>
      </c>
      <c r="F11" s="287">
        <v>84.25</v>
      </c>
      <c r="G11" s="287">
        <v>210.6</v>
      </c>
    </row>
    <row r="12" spans="1:7" ht="15">
      <c r="A12" s="238" t="s">
        <v>511</v>
      </c>
      <c r="B12" s="287">
        <v>100.08</v>
      </c>
      <c r="C12" s="287">
        <v>250.2</v>
      </c>
      <c r="E12" s="238" t="s">
        <v>511</v>
      </c>
      <c r="F12" s="287">
        <v>111.2</v>
      </c>
      <c r="G12" s="287">
        <v>278</v>
      </c>
    </row>
    <row r="13" spans="1:7" ht="15">
      <c r="A13" s="238" t="s">
        <v>512</v>
      </c>
      <c r="B13" s="287">
        <v>82.76</v>
      </c>
      <c r="C13" s="287">
        <v>206.87</v>
      </c>
      <c r="E13" s="238" t="s">
        <v>512</v>
      </c>
      <c r="F13" s="287">
        <v>91.95</v>
      </c>
      <c r="G13" s="287">
        <v>229.85</v>
      </c>
    </row>
    <row r="14" spans="1:7" ht="15">
      <c r="A14" s="238" t="s">
        <v>513</v>
      </c>
      <c r="B14" s="287">
        <v>81.5</v>
      </c>
      <c r="C14" s="287">
        <v>203.76</v>
      </c>
      <c r="E14" s="238" t="s">
        <v>513</v>
      </c>
      <c r="F14" s="287">
        <v>90.55</v>
      </c>
      <c r="G14" s="287">
        <v>226.4</v>
      </c>
    </row>
    <row r="15" spans="1:7" ht="15">
      <c r="A15" s="238" t="s">
        <v>514</v>
      </c>
      <c r="B15" s="287">
        <v>86.72</v>
      </c>
      <c r="C15" s="287">
        <v>216.81</v>
      </c>
      <c r="E15" s="238" t="s">
        <v>514</v>
      </c>
      <c r="F15" s="287">
        <v>96.35</v>
      </c>
      <c r="G15" s="287">
        <v>240.9</v>
      </c>
    </row>
    <row r="16" spans="1:7" ht="15">
      <c r="A16" s="238" t="s">
        <v>515</v>
      </c>
      <c r="B16" s="287">
        <v>75.83</v>
      </c>
      <c r="C16" s="287">
        <v>189.59</v>
      </c>
      <c r="E16" s="238" t="s">
        <v>515</v>
      </c>
      <c r="F16" s="287">
        <v>84.25</v>
      </c>
      <c r="G16" s="287">
        <v>210.65</v>
      </c>
    </row>
    <row r="17" spans="1:7" ht="15">
      <c r="A17" s="238" t="s">
        <v>485</v>
      </c>
      <c r="B17" s="287">
        <v>62.69</v>
      </c>
      <c r="C17" s="287">
        <v>156.74</v>
      </c>
      <c r="E17" s="238" t="s">
        <v>485</v>
      </c>
      <c r="F17" s="287">
        <v>69.65</v>
      </c>
      <c r="G17" s="287">
        <v>174.15</v>
      </c>
    </row>
  </sheetData>
  <sheetProtection password="CFE1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N17"/>
  <sheetViews>
    <sheetView showGridLines="0" zoomScalePageLayoutView="0" workbookViewId="0" topLeftCell="B1">
      <selection activeCell="G5" sqref="G5"/>
    </sheetView>
  </sheetViews>
  <sheetFormatPr defaultColWidth="9.140625" defaultRowHeight="15"/>
  <cols>
    <col min="1" max="1" width="21.421875" style="255" hidden="1" customWidth="1"/>
    <col min="2" max="2" width="3.00390625" style="255" customWidth="1"/>
    <col min="3" max="3" width="10.57421875" style="255" customWidth="1"/>
    <col min="4" max="4" width="15.57421875" style="255" customWidth="1"/>
    <col min="5" max="6" width="10.57421875" style="255" customWidth="1"/>
    <col min="7" max="7" width="10.57421875" style="256" customWidth="1"/>
    <col min="8" max="8" width="3.00390625" style="256" customWidth="1"/>
    <col min="9" max="9" width="18.140625" style="256" customWidth="1"/>
    <col min="10" max="10" width="12.28125" style="256" customWidth="1"/>
    <col min="11" max="11" width="12.28125" style="255" customWidth="1"/>
    <col min="12" max="14" width="10.57421875" style="255" customWidth="1"/>
    <col min="15" max="17" width="9.140625" style="255" customWidth="1"/>
    <col min="18" max="18" width="16.421875" style="255" customWidth="1"/>
    <col min="19" max="16384" width="9.140625" style="255" customWidth="1"/>
  </cols>
  <sheetData>
    <row r="2" spans="3:14" ht="30" customHeight="1">
      <c r="C2" s="482" t="s">
        <v>465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ht="15.75" thickBot="1">
      <c r="A3" s="255">
        <f>COUNTIF(G5:G15,"Click Here")</f>
        <v>7</v>
      </c>
    </row>
    <row r="4" spans="1:14" ht="30" customHeight="1">
      <c r="A4" s="255" t="b">
        <f>OR(A3=7,A3=0)</f>
        <v>1</v>
      </c>
      <c r="C4" s="496" t="s">
        <v>457</v>
      </c>
      <c r="D4" s="497"/>
      <c r="E4" s="497"/>
      <c r="F4" s="497"/>
      <c r="G4" s="498"/>
      <c r="H4" s="255"/>
      <c r="I4" s="481">
        <f>IF(A7=TRUE,"Fee Scheme Does Not Apply To This Case",IF(A4=FALSE,"Please Answer All Questions Yes Or No",""))</f>
      </c>
      <c r="J4" s="481"/>
      <c r="K4" s="481"/>
      <c r="L4" s="481"/>
      <c r="M4" s="481"/>
      <c r="N4" s="481"/>
    </row>
    <row r="5" spans="1:10" ht="54.75" customHeight="1" thickBot="1">
      <c r="A5" s="256" t="e">
        <f>CONCATENATE(A10,A11,A15)</f>
        <v>#N/A</v>
      </c>
      <c r="B5" s="256"/>
      <c r="C5" s="499" t="s">
        <v>455</v>
      </c>
      <c r="D5" s="500"/>
      <c r="E5" s="500"/>
      <c r="F5" s="500"/>
      <c r="G5" s="261" t="s">
        <v>11</v>
      </c>
      <c r="H5" s="255"/>
      <c r="I5" s="255"/>
      <c r="J5" s="255"/>
    </row>
    <row r="6" spans="2:14" ht="30" customHeight="1">
      <c r="B6" s="256"/>
      <c r="C6" s="499" t="s">
        <v>454</v>
      </c>
      <c r="D6" s="500"/>
      <c r="E6" s="500"/>
      <c r="F6" s="500"/>
      <c r="G6" s="261" t="s">
        <v>11</v>
      </c>
      <c r="H6" s="255"/>
      <c r="I6" s="275" t="s">
        <v>464</v>
      </c>
      <c r="J6" s="274" t="s">
        <v>449</v>
      </c>
      <c r="K6" s="274" t="s">
        <v>433</v>
      </c>
      <c r="L6" s="489" t="s">
        <v>161</v>
      </c>
      <c r="M6" s="490"/>
      <c r="N6" s="491"/>
    </row>
    <row r="7" spans="1:14" ht="51.75" customHeight="1" thickBot="1">
      <c r="A7" s="256" t="b">
        <f>OR(G5="No",G6="No",G7="Yes")</f>
        <v>0</v>
      </c>
      <c r="B7" s="256"/>
      <c r="C7" s="479" t="s">
        <v>527</v>
      </c>
      <c r="D7" s="480"/>
      <c r="E7" s="480"/>
      <c r="F7" s="480"/>
      <c r="G7" s="261" t="s">
        <v>11</v>
      </c>
      <c r="I7" s="265" t="s">
        <v>444</v>
      </c>
      <c r="J7" s="263" t="e">
        <f>VLOOKUP($A$5,'VHCC Rates'!$A:$K,5,0)</f>
        <v>#N/A</v>
      </c>
      <c r="K7" s="263" t="e">
        <f>VLOOKUP($A$5,'VHCC Rates'!$A:$K,8,0)</f>
        <v>#N/A</v>
      </c>
      <c r="L7" s="486" t="e">
        <f>VLOOKUP($A$5,'VHCC Rates'!$A:$K,11,0)</f>
        <v>#N/A</v>
      </c>
      <c r="M7" s="487"/>
      <c r="N7" s="488"/>
    </row>
    <row r="8" spans="1:14" ht="30" customHeight="1" thickBot="1">
      <c r="A8" s="256" t="b">
        <f>IF(A7=TRUE,FALSE,IF(A4=FALSE,FALSE,TRUE))</f>
        <v>1</v>
      </c>
      <c r="I8" s="265" t="s">
        <v>443</v>
      </c>
      <c r="J8" s="263" t="e">
        <f>VLOOKUP($A$5,'VHCC Rates'!$A:$K,6,0)</f>
        <v>#N/A</v>
      </c>
      <c r="K8" s="263" t="e">
        <f>VLOOKUP($A$5,'VHCC Rates'!$A:$K,9,0)</f>
        <v>#N/A</v>
      </c>
      <c r="L8" s="486" t="e">
        <f>VLOOKUP($A$5,'VHCC Rates'!$A:$K,11,0)</f>
        <v>#N/A</v>
      </c>
      <c r="M8" s="487"/>
      <c r="N8" s="488"/>
    </row>
    <row r="9" spans="1:14" ht="30" customHeight="1" thickBot="1">
      <c r="A9" s="256"/>
      <c r="C9" s="496" t="s">
        <v>463</v>
      </c>
      <c r="D9" s="497"/>
      <c r="E9" s="497"/>
      <c r="F9" s="497"/>
      <c r="G9" s="498"/>
      <c r="H9" s="273"/>
      <c r="I9" s="260" t="s">
        <v>442</v>
      </c>
      <c r="J9" s="258" t="e">
        <f>VLOOKUP($A$5,'VHCC Rates'!$A:$K,7,0)</f>
        <v>#N/A</v>
      </c>
      <c r="K9" s="258" t="e">
        <f>VLOOKUP($A$5,'VHCC Rates'!$A:$K,10,0)</f>
        <v>#N/A</v>
      </c>
      <c r="L9" s="483" t="e">
        <f>VLOOKUP($A$5,'VHCC Rates'!$A:$K,11,0)</f>
        <v>#N/A</v>
      </c>
      <c r="M9" s="484"/>
      <c r="N9" s="485"/>
    </row>
    <row r="10" spans="1:8" ht="30" customHeight="1" thickBot="1">
      <c r="A10" s="256" t="str">
        <f>IF(G14="Yes","High","Other")</f>
        <v>Other</v>
      </c>
      <c r="B10" s="256"/>
      <c r="C10" s="499" t="s">
        <v>462</v>
      </c>
      <c r="D10" s="500"/>
      <c r="E10" s="500"/>
      <c r="F10" s="500"/>
      <c r="G10" s="261" t="s">
        <v>11</v>
      </c>
      <c r="H10" s="270"/>
    </row>
    <row r="11" spans="1:14" ht="30" customHeight="1" thickBot="1">
      <c r="A11" s="256" t="str">
        <f>IF(G15="Yes","Over","Under")</f>
        <v>Under</v>
      </c>
      <c r="B11" s="256"/>
      <c r="C11" s="479" t="s">
        <v>461</v>
      </c>
      <c r="D11" s="480"/>
      <c r="E11" s="480"/>
      <c r="F11" s="480"/>
      <c r="G11" s="261" t="s">
        <v>11</v>
      </c>
      <c r="H11" s="270"/>
      <c r="I11" s="272" t="s">
        <v>460</v>
      </c>
      <c r="J11" s="492" t="s">
        <v>459</v>
      </c>
      <c r="K11" s="493"/>
      <c r="L11" s="494" t="s">
        <v>433</v>
      </c>
      <c r="M11" s="495"/>
      <c r="N11" s="271" t="s">
        <v>31</v>
      </c>
    </row>
    <row r="12" spans="1:14" ht="30" customHeight="1" thickBot="1">
      <c r="A12" s="256"/>
      <c r="H12" s="270"/>
      <c r="I12" s="269" t="s">
        <v>444</v>
      </c>
      <c r="J12" s="268"/>
      <c r="K12" s="267" t="e">
        <f>J7*J12</f>
        <v>#N/A</v>
      </c>
      <c r="L12" s="268"/>
      <c r="M12" s="267" t="e">
        <f>K7*L12</f>
        <v>#N/A</v>
      </c>
      <c r="N12" s="266" t="e">
        <f>K12+M12</f>
        <v>#N/A</v>
      </c>
    </row>
    <row r="13" spans="1:14" ht="30" customHeight="1">
      <c r="A13" s="256"/>
      <c r="C13" s="496" t="s">
        <v>456</v>
      </c>
      <c r="D13" s="497"/>
      <c r="E13" s="497"/>
      <c r="F13" s="497"/>
      <c r="G13" s="498"/>
      <c r="I13" s="265" t="s">
        <v>443</v>
      </c>
      <c r="J13" s="264"/>
      <c r="K13" s="263" t="e">
        <f>J8*J13</f>
        <v>#N/A</v>
      </c>
      <c r="L13" s="264"/>
      <c r="M13" s="263" t="e">
        <f>K8*L13</f>
        <v>#N/A</v>
      </c>
      <c r="N13" s="262" t="e">
        <f>K13+M13</f>
        <v>#N/A</v>
      </c>
    </row>
    <row r="14" spans="1:14" ht="30" customHeight="1">
      <c r="A14" s="256" t="str">
        <f>CONCATENATE(G10,G11)</f>
        <v>Click HereClick Here</v>
      </c>
      <c r="B14" s="256"/>
      <c r="C14" s="499" t="s">
        <v>453</v>
      </c>
      <c r="D14" s="500"/>
      <c r="E14" s="500"/>
      <c r="F14" s="500"/>
      <c r="G14" s="261" t="s">
        <v>11</v>
      </c>
      <c r="I14" s="265" t="s">
        <v>442</v>
      </c>
      <c r="J14" s="264"/>
      <c r="K14" s="263" t="e">
        <f>J9*J14</f>
        <v>#N/A</v>
      </c>
      <c r="L14" s="264"/>
      <c r="M14" s="263" t="e">
        <f>K9*L14</f>
        <v>#N/A</v>
      </c>
      <c r="N14" s="262" t="e">
        <f>K14+M14</f>
        <v>#N/A</v>
      </c>
    </row>
    <row r="15" spans="1:14" ht="30" customHeight="1" thickBot="1">
      <c r="A15" s="256" t="e">
        <f>VLOOKUP(A14,'VHCC Rates'!A:D,4,0)</f>
        <v>#N/A</v>
      </c>
      <c r="B15" s="256"/>
      <c r="C15" s="479" t="s">
        <v>452</v>
      </c>
      <c r="D15" s="480"/>
      <c r="E15" s="480"/>
      <c r="F15" s="480"/>
      <c r="G15" s="261" t="s">
        <v>11</v>
      </c>
      <c r="I15" s="260" t="s">
        <v>31</v>
      </c>
      <c r="J15" s="259">
        <f>SUM(J12:J14)</f>
        <v>0</v>
      </c>
      <c r="K15" s="258" t="e">
        <f>SUM(K12:K14)</f>
        <v>#N/A</v>
      </c>
      <c r="L15" s="259">
        <f>SUM(L12:L14)</f>
        <v>0</v>
      </c>
      <c r="M15" s="258" t="e">
        <f>SUM(M12:M14)</f>
        <v>#N/A</v>
      </c>
      <c r="N15" s="257" t="e">
        <f>K15+M15</f>
        <v>#N/A</v>
      </c>
    </row>
    <row r="16" ht="15">
      <c r="B16" s="256"/>
    </row>
    <row r="17" spans="2:8" s="255" customFormat="1" ht="15">
      <c r="B17" s="256"/>
      <c r="G17" s="256"/>
      <c r="H17" s="256"/>
    </row>
    <row r="19" s="255" customFormat="1" ht="15"/>
    <row r="20" s="255" customFormat="1" ht="15"/>
  </sheetData>
  <sheetProtection password="CFE1" sheet="1" objects="1" scenarios="1"/>
  <mergeCells count="18">
    <mergeCell ref="C10:F10"/>
    <mergeCell ref="C11:F11"/>
    <mergeCell ref="C9:G9"/>
    <mergeCell ref="C13:G13"/>
    <mergeCell ref="C14:F14"/>
    <mergeCell ref="C5:F5"/>
    <mergeCell ref="C6:F6"/>
    <mergeCell ref="C7:F7"/>
    <mergeCell ref="C15:F15"/>
    <mergeCell ref="I4:N4"/>
    <mergeCell ref="C2:N2"/>
    <mergeCell ref="L9:N9"/>
    <mergeCell ref="L8:N8"/>
    <mergeCell ref="L7:N7"/>
    <mergeCell ref="L6:N6"/>
    <mergeCell ref="J11:K11"/>
    <mergeCell ref="L11:M11"/>
    <mergeCell ref="C4:G4"/>
  </mergeCells>
  <conditionalFormatting sqref="L7:L9">
    <cfRule type="cellIs" priority="3" dxfId="22" operator="equal" stopIfTrue="1">
      <formula>0</formula>
    </cfRule>
  </conditionalFormatting>
  <conditionalFormatting sqref="G10:G11 G14:G15 G5:G7">
    <cfRule type="cellIs" priority="2" dxfId="23" operator="equal" stopIfTrue="1">
      <formula>"Click Here"</formula>
    </cfRule>
  </conditionalFormatting>
  <conditionalFormatting sqref="I4:N4">
    <cfRule type="expression" priority="1" dxfId="24" stopIfTrue="1">
      <formula>$A$8=FALSE</formula>
    </cfRule>
  </conditionalFormatting>
  <dataValidations count="1">
    <dataValidation type="list" allowBlank="1" showInputMessage="1" showErrorMessage="1" sqref="G10:G11 G14:G15 G5:G7">
      <formula1>"Click Here, Yes, No"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M32"/>
  <sheetViews>
    <sheetView showGridLines="0" zoomScalePageLayoutView="0" workbookViewId="0" topLeftCell="B1">
      <selection activeCell="G5" sqref="G5"/>
    </sheetView>
  </sheetViews>
  <sheetFormatPr defaultColWidth="9.140625" defaultRowHeight="15"/>
  <cols>
    <col min="1" max="1" width="37.421875" style="0" hidden="1" customWidth="1"/>
    <col min="2" max="2" width="3.00390625" style="0" customWidth="1"/>
    <col min="3" max="3" width="10.57421875" style="0" customWidth="1"/>
    <col min="4" max="4" width="15.57421875" style="0" customWidth="1"/>
    <col min="5" max="5" width="11.8515625" style="0" customWidth="1"/>
    <col min="6" max="6" width="10.57421875" style="0" customWidth="1"/>
    <col min="7" max="7" width="10.57421875" style="104" customWidth="1"/>
    <col min="8" max="8" width="3.00390625" style="104" customWidth="1"/>
    <col min="9" max="9" width="18.28125" style="104" customWidth="1"/>
    <col min="10" max="10" width="12.421875" style="104" customWidth="1"/>
    <col min="11" max="11" width="12.421875" style="0" customWidth="1"/>
    <col min="12" max="12" width="12.57421875" style="0" customWidth="1"/>
    <col min="13" max="14" width="10.57421875" style="0" customWidth="1"/>
    <col min="18" max="18" width="16.421875" style="0" customWidth="1"/>
  </cols>
  <sheetData>
    <row r="2" spans="3:13" ht="30" customHeight="1">
      <c r="C2" s="525" t="s">
        <v>458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</row>
    <row r="3" ht="15.75" thickBot="1"/>
    <row r="4" spans="3:13" ht="30" customHeight="1">
      <c r="C4" s="535" t="s">
        <v>457</v>
      </c>
      <c r="D4" s="536"/>
      <c r="E4" s="536"/>
      <c r="F4" s="536"/>
      <c r="G4" s="537"/>
      <c r="H4"/>
      <c r="I4" s="531" t="s">
        <v>456</v>
      </c>
      <c r="J4" s="531"/>
      <c r="K4" s="531"/>
      <c r="L4" s="531"/>
      <c r="M4" s="531"/>
    </row>
    <row r="5" spans="1:13" ht="35.25" customHeight="1">
      <c r="A5" s="104" t="str">
        <f>CONCATENATE(A7,A10,A11)</f>
        <v>TRUEOtherUnder</v>
      </c>
      <c r="B5" s="104"/>
      <c r="C5" s="499" t="s">
        <v>455</v>
      </c>
      <c r="D5" s="500"/>
      <c r="E5" s="500"/>
      <c r="F5" s="500"/>
      <c r="G5" s="254" t="s">
        <v>11</v>
      </c>
      <c r="H5"/>
      <c r="I5" s="532"/>
      <c r="J5" s="532"/>
      <c r="K5" s="532"/>
      <c r="L5" s="532"/>
      <c r="M5" s="532"/>
    </row>
    <row r="6" spans="1:13" ht="32.25" customHeight="1">
      <c r="A6" t="b">
        <f>OR(G5="No",G6="No",G7="Yes")</f>
        <v>0</v>
      </c>
      <c r="B6" s="104"/>
      <c r="C6" s="499" t="s">
        <v>454</v>
      </c>
      <c r="D6" s="500"/>
      <c r="E6" s="500"/>
      <c r="F6" s="500"/>
      <c r="G6" s="254" t="s">
        <v>11</v>
      </c>
      <c r="H6"/>
      <c r="I6" s="528" t="s">
        <v>453</v>
      </c>
      <c r="J6" s="529"/>
      <c r="K6" s="529"/>
      <c r="L6" s="529"/>
      <c r="M6" s="254" t="s">
        <v>11</v>
      </c>
    </row>
    <row r="7" spans="1:13" ht="48.75" customHeight="1" thickBot="1">
      <c r="A7" s="104" t="b">
        <f>OR(A9&gt;0,A6=TRUE)</f>
        <v>1</v>
      </c>
      <c r="B7" s="104"/>
      <c r="C7" s="479" t="s">
        <v>527</v>
      </c>
      <c r="D7" s="480"/>
      <c r="E7" s="480"/>
      <c r="F7" s="480"/>
      <c r="G7" s="254" t="s">
        <v>11</v>
      </c>
      <c r="I7" s="539" t="s">
        <v>452</v>
      </c>
      <c r="J7" s="540"/>
      <c r="K7" s="540"/>
      <c r="L7" s="541"/>
      <c r="M7" s="254" t="s">
        <v>11</v>
      </c>
    </row>
    <row r="8" ht="9.75" customHeight="1">
      <c r="A8" s="104"/>
    </row>
    <row r="9" spans="1:13" ht="30" customHeight="1">
      <c r="A9" s="104">
        <f>COUNTIF(M6:M7,"Click Here")</f>
        <v>2</v>
      </c>
      <c r="C9" s="538" t="str">
        <f>IF(A6=TRUE,"Fee Scheme Does Not Apply To This Case",IF(A9&gt;0,"Please Answer All Questions Yes or No",""))</f>
        <v>Please Answer All Questions Yes or No</v>
      </c>
      <c r="D9" s="538"/>
      <c r="E9" s="538"/>
      <c r="F9" s="538"/>
      <c r="G9" s="538"/>
      <c r="H9" s="538"/>
      <c r="I9" s="538"/>
      <c r="J9" s="538"/>
      <c r="K9" s="538"/>
      <c r="L9" s="538"/>
      <c r="M9" s="538"/>
    </row>
    <row r="10" spans="1:8" ht="9" customHeight="1" thickBot="1">
      <c r="A10" s="104" t="str">
        <f>IF(M6="Yes","High","Other")</f>
        <v>Other</v>
      </c>
      <c r="B10" s="104"/>
      <c r="H10" s="76"/>
    </row>
    <row r="11" spans="1:13" ht="30" customHeight="1">
      <c r="A11" s="104" t="str">
        <f>IF(M7="Yes","Over","Under")</f>
        <v>Under</v>
      </c>
      <c r="B11" s="104"/>
      <c r="C11" s="526" t="s">
        <v>450</v>
      </c>
      <c r="D11" s="527"/>
      <c r="E11" s="527"/>
      <c r="F11" s="530" t="s">
        <v>449</v>
      </c>
      <c r="G11" s="530"/>
      <c r="H11" s="530" t="s">
        <v>433</v>
      </c>
      <c r="I11" s="530"/>
      <c r="J11" s="530" t="s">
        <v>161</v>
      </c>
      <c r="K11" s="530"/>
      <c r="L11" s="530"/>
      <c r="M11" s="542"/>
    </row>
    <row r="12" spans="1:13" ht="30" customHeight="1">
      <c r="A12" s="104"/>
      <c r="C12" s="519" t="s">
        <v>444</v>
      </c>
      <c r="D12" s="520"/>
      <c r="E12" s="520"/>
      <c r="F12" s="518" t="e">
        <f>VLOOKUP($A$5,'VHCC Rates'!$A:$K,5,0)</f>
        <v>#N/A</v>
      </c>
      <c r="G12" s="518"/>
      <c r="H12" s="518" t="e">
        <f>VLOOKUP($A$5,'VHCC Rates'!$A:$K,8,0)</f>
        <v>#N/A</v>
      </c>
      <c r="I12" s="518"/>
      <c r="J12" s="518" t="e">
        <f>VLOOKUP($A$5,'VHCC Rates'!$A:$K,11,0)</f>
        <v>#N/A</v>
      </c>
      <c r="K12" s="518"/>
      <c r="L12" s="518"/>
      <c r="M12" s="548"/>
    </row>
    <row r="13" spans="1:13" ht="30" customHeight="1">
      <c r="A13" s="104"/>
      <c r="C13" s="519" t="s">
        <v>443</v>
      </c>
      <c r="D13" s="520"/>
      <c r="E13" s="520"/>
      <c r="F13" s="518" t="e">
        <f>VLOOKUP($A$5,'VHCC Rates'!$A:$K,6,0)</f>
        <v>#N/A</v>
      </c>
      <c r="G13" s="518"/>
      <c r="H13" s="518" t="e">
        <f>VLOOKUP($A$5,'VHCC Rates'!$A:$K,9,0)</f>
        <v>#N/A</v>
      </c>
      <c r="I13" s="518"/>
      <c r="J13" s="518" t="e">
        <f>VLOOKUP($A$5,'VHCC Rates'!$A:$K,11,0)</f>
        <v>#N/A</v>
      </c>
      <c r="K13" s="518"/>
      <c r="L13" s="518"/>
      <c r="M13" s="548"/>
    </row>
    <row r="14" spans="1:13" ht="30" customHeight="1">
      <c r="A14" s="104"/>
      <c r="B14" s="104"/>
      <c r="C14" s="519" t="s">
        <v>442</v>
      </c>
      <c r="D14" s="520"/>
      <c r="E14" s="520"/>
      <c r="F14" s="518" t="e">
        <f>VLOOKUP($A$5,'VHCC Rates'!$A:$K,7,0)</f>
        <v>#N/A</v>
      </c>
      <c r="G14" s="518"/>
      <c r="H14" s="518" t="e">
        <f>VLOOKUP($A$5,'VHCC Rates'!$A:$K,10,0)</f>
        <v>#N/A</v>
      </c>
      <c r="I14" s="518"/>
      <c r="J14" s="518" t="e">
        <f>VLOOKUP($A$5,'VHCC Rates'!$A:$K,11,0)</f>
        <v>#N/A</v>
      </c>
      <c r="K14" s="518"/>
      <c r="L14" s="518"/>
      <c r="M14" s="548"/>
    </row>
    <row r="15" spans="1:13" ht="30" customHeight="1">
      <c r="A15" s="104"/>
      <c r="B15" s="104"/>
      <c r="C15" s="557" t="s">
        <v>447</v>
      </c>
      <c r="D15" s="549"/>
      <c r="E15" s="549"/>
      <c r="F15" s="549" t="s">
        <v>446</v>
      </c>
      <c r="G15" s="549"/>
      <c r="H15" s="549"/>
      <c r="I15" s="549" t="s">
        <v>445</v>
      </c>
      <c r="J15" s="549"/>
      <c r="K15" s="549"/>
      <c r="L15" s="549" t="s">
        <v>451</v>
      </c>
      <c r="M15" s="550"/>
    </row>
    <row r="16" spans="2:13" ht="15">
      <c r="B16" s="104"/>
      <c r="C16" s="519" t="s">
        <v>444</v>
      </c>
      <c r="D16" s="520"/>
      <c r="E16" s="520"/>
      <c r="F16" s="518" t="e">
        <f>VLOOKUP($A$5,'VHCC Rates'!$A:$U,12,0)</f>
        <v>#N/A</v>
      </c>
      <c r="G16" s="518"/>
      <c r="H16" s="518"/>
      <c r="I16" s="253" t="e">
        <f>VLOOKUP($A$5,'VHCC Rates'!$A:$U,15,0)</f>
        <v>#N/A</v>
      </c>
      <c r="J16" s="555" t="e">
        <f>VLOOKUP($A$5,'VHCC Rates'!$A:$U,16,0)</f>
        <v>#N/A</v>
      </c>
      <c r="K16" s="556"/>
      <c r="L16" s="549"/>
      <c r="M16" s="550"/>
    </row>
    <row r="17" spans="2:13" ht="15">
      <c r="B17" s="104"/>
      <c r="C17" s="519" t="s">
        <v>443</v>
      </c>
      <c r="D17" s="520"/>
      <c r="E17" s="520"/>
      <c r="F17" s="518" t="e">
        <f>VLOOKUP($A$5,'VHCC Rates'!$A:$U,13,0)</f>
        <v>#N/A</v>
      </c>
      <c r="G17" s="518"/>
      <c r="H17" s="518"/>
      <c r="I17" s="253" t="e">
        <f>VLOOKUP($A$5,'VHCC Rates'!$A:$U,17,0)</f>
        <v>#N/A</v>
      </c>
      <c r="J17" s="555" t="e">
        <f>VLOOKUP($A$5,'VHCC Rates'!$A:$U,16,0)</f>
        <v>#N/A</v>
      </c>
      <c r="K17" s="556"/>
      <c r="L17" s="549"/>
      <c r="M17" s="550"/>
    </row>
    <row r="18" spans="3:13" ht="15.75" thickBot="1">
      <c r="C18" s="521" t="s">
        <v>442</v>
      </c>
      <c r="D18" s="522"/>
      <c r="E18" s="522"/>
      <c r="F18" s="524" t="e">
        <f>VLOOKUP($A$5,'VHCC Rates'!$A:$U,14,0)</f>
        <v>#N/A</v>
      </c>
      <c r="G18" s="524"/>
      <c r="H18" s="524"/>
      <c r="I18" s="252" t="e">
        <f>VLOOKUP($A$5,'VHCC Rates'!$A:$U,18,0)</f>
        <v>#N/A</v>
      </c>
      <c r="J18" s="553" t="e">
        <f>VLOOKUP($A$5,'VHCC Rates'!$A:$U,19,0)</f>
        <v>#N/A</v>
      </c>
      <c r="K18" s="554"/>
      <c r="L18" s="551"/>
      <c r="M18" s="552"/>
    </row>
    <row r="19" ht="15.75" thickBot="1">
      <c r="H19"/>
    </row>
    <row r="20" spans="3:13" ht="30" customHeight="1">
      <c r="C20" s="569" t="s">
        <v>450</v>
      </c>
      <c r="D20" s="570"/>
      <c r="E20" s="573" t="s">
        <v>449</v>
      </c>
      <c r="F20" s="573"/>
      <c r="G20" s="574" t="s">
        <v>433</v>
      </c>
      <c r="H20" s="574"/>
      <c r="I20" s="575"/>
      <c r="J20" s="530" t="s">
        <v>31</v>
      </c>
      <c r="K20" s="558"/>
      <c r="L20" s="561" t="s">
        <v>448</v>
      </c>
      <c r="M20" s="562"/>
    </row>
    <row r="21" spans="3:13" ht="30" customHeight="1">
      <c r="C21" s="571" t="s">
        <v>444</v>
      </c>
      <c r="D21" s="572"/>
      <c r="E21" s="248"/>
      <c r="F21" s="247" t="e">
        <f>F12*E21</f>
        <v>#N/A</v>
      </c>
      <c r="G21" s="547"/>
      <c r="H21" s="547"/>
      <c r="I21" s="251" t="e">
        <f>H12*G21</f>
        <v>#N/A</v>
      </c>
      <c r="J21" s="518" t="e">
        <f>F21+I21</f>
        <v>#N/A</v>
      </c>
      <c r="K21" s="559"/>
      <c r="L21" s="563"/>
      <c r="M21" s="564"/>
    </row>
    <row r="22" spans="3:13" ht="30" customHeight="1">
      <c r="C22" s="571" t="s">
        <v>443</v>
      </c>
      <c r="D22" s="572"/>
      <c r="E22" s="248"/>
      <c r="F22" s="247" t="e">
        <f>F13*E22</f>
        <v>#N/A</v>
      </c>
      <c r="G22" s="547"/>
      <c r="H22" s="547"/>
      <c r="I22" s="251" t="e">
        <f>H13*G22</f>
        <v>#N/A</v>
      </c>
      <c r="J22" s="518" t="e">
        <f>F22+I22</f>
        <v>#N/A</v>
      </c>
      <c r="K22" s="559"/>
      <c r="L22" s="563"/>
      <c r="M22" s="564"/>
    </row>
    <row r="23" spans="3:13" ht="30" customHeight="1">
      <c r="C23" s="571" t="s">
        <v>442</v>
      </c>
      <c r="D23" s="572"/>
      <c r="E23" s="248"/>
      <c r="F23" s="247" t="e">
        <f>F14*E23</f>
        <v>#N/A</v>
      </c>
      <c r="G23" s="547"/>
      <c r="H23" s="547"/>
      <c r="I23" s="251" t="e">
        <f>H14*G23</f>
        <v>#N/A</v>
      </c>
      <c r="J23" s="518" t="e">
        <f>F23+I23</f>
        <v>#N/A</v>
      </c>
      <c r="K23" s="559"/>
      <c r="L23" s="563"/>
      <c r="M23" s="564"/>
    </row>
    <row r="24" spans="3:13" ht="30" customHeight="1" thickBot="1">
      <c r="C24" s="545" t="s">
        <v>447</v>
      </c>
      <c r="D24" s="546"/>
      <c r="E24" s="546"/>
      <c r="F24" s="546"/>
      <c r="G24" s="546" t="s">
        <v>446</v>
      </c>
      <c r="H24" s="546"/>
      <c r="I24" s="546" t="s">
        <v>445</v>
      </c>
      <c r="J24" s="546"/>
      <c r="K24" s="568"/>
      <c r="L24" s="563"/>
      <c r="M24" s="564"/>
    </row>
    <row r="25" spans="3:13" ht="30" customHeight="1">
      <c r="C25" s="543" t="s">
        <v>444</v>
      </c>
      <c r="D25" s="544"/>
      <c r="E25" s="544"/>
      <c r="F25" s="250"/>
      <c r="G25" s="523" t="e">
        <f>F16*F25</f>
        <v>#N/A</v>
      </c>
      <c r="H25" s="523"/>
      <c r="I25" s="249" t="e">
        <f>I16*F25</f>
        <v>#N/A</v>
      </c>
      <c r="J25" s="533" t="e">
        <f>J16</f>
        <v>#N/A</v>
      </c>
      <c r="K25" s="534"/>
      <c r="L25" s="563"/>
      <c r="M25" s="564"/>
    </row>
    <row r="26" spans="3:13" ht="30" customHeight="1">
      <c r="C26" s="519" t="s">
        <v>443</v>
      </c>
      <c r="D26" s="520"/>
      <c r="E26" s="520"/>
      <c r="F26" s="248"/>
      <c r="G26" s="518" t="e">
        <f>F17*F26</f>
        <v>#N/A</v>
      </c>
      <c r="H26" s="518"/>
      <c r="I26" s="247" t="e">
        <f>I17*F26</f>
        <v>#N/A</v>
      </c>
      <c r="J26" s="555" t="e">
        <f>J17</f>
        <v>#N/A</v>
      </c>
      <c r="K26" s="567"/>
      <c r="L26" s="563"/>
      <c r="M26" s="564"/>
    </row>
    <row r="27" spans="3:13" ht="30" customHeight="1" thickBot="1">
      <c r="C27" s="521" t="s">
        <v>442</v>
      </c>
      <c r="D27" s="522"/>
      <c r="E27" s="522"/>
      <c r="F27" s="246"/>
      <c r="G27" s="524" t="e">
        <f>F18*F27</f>
        <v>#N/A</v>
      </c>
      <c r="H27" s="524"/>
      <c r="I27" s="245" t="e">
        <f>I18*F27</f>
        <v>#N/A</v>
      </c>
      <c r="J27" s="554" t="e">
        <f>J18</f>
        <v>#N/A</v>
      </c>
      <c r="K27" s="560"/>
      <c r="L27" s="565"/>
      <c r="M27" s="566"/>
    </row>
    <row r="28" ht="15.75" thickBot="1">
      <c r="G28"/>
    </row>
    <row r="29" spans="3:13" ht="15">
      <c r="C29" s="507"/>
      <c r="D29" s="515" t="s">
        <v>441</v>
      </c>
      <c r="E29" s="515"/>
      <c r="F29" s="515"/>
      <c r="G29" s="515"/>
      <c r="H29" s="510"/>
      <c r="I29" s="515" t="s">
        <v>440</v>
      </c>
      <c r="J29" s="515"/>
      <c r="K29" s="515"/>
      <c r="L29" s="501"/>
      <c r="M29" s="502"/>
    </row>
    <row r="30" spans="3:13" ht="15">
      <c r="C30" s="508"/>
      <c r="D30" s="516" t="s">
        <v>439</v>
      </c>
      <c r="E30" s="516"/>
      <c r="F30" s="513" t="e">
        <f>SUM(F21:F23)+SUM(G25:H27)</f>
        <v>#N/A</v>
      </c>
      <c r="G30" s="513"/>
      <c r="H30" s="511"/>
      <c r="I30" s="244" t="s">
        <v>439</v>
      </c>
      <c r="J30" s="513" t="e">
        <f>SUM(F21:F23)+SUM(I25:I27)</f>
        <v>#N/A</v>
      </c>
      <c r="K30" s="513"/>
      <c r="L30" s="503"/>
      <c r="M30" s="504"/>
    </row>
    <row r="31" spans="3:13" ht="15">
      <c r="C31" s="508"/>
      <c r="D31" s="516" t="s">
        <v>438</v>
      </c>
      <c r="E31" s="516"/>
      <c r="F31" s="513" t="e">
        <f>SUM(I21:I23)</f>
        <v>#N/A</v>
      </c>
      <c r="G31" s="513"/>
      <c r="H31" s="511"/>
      <c r="I31" s="244" t="s">
        <v>438</v>
      </c>
      <c r="J31" s="513" t="e">
        <f>SUM(I21:I23)</f>
        <v>#N/A</v>
      </c>
      <c r="K31" s="513"/>
      <c r="L31" s="503"/>
      <c r="M31" s="504"/>
    </row>
    <row r="32" spans="3:13" ht="15.75" thickBot="1">
      <c r="C32" s="509"/>
      <c r="D32" s="517" t="s">
        <v>31</v>
      </c>
      <c r="E32" s="517"/>
      <c r="F32" s="514" t="e">
        <f>F30+F31</f>
        <v>#N/A</v>
      </c>
      <c r="G32" s="514"/>
      <c r="H32" s="512"/>
      <c r="I32" s="243" t="s">
        <v>31</v>
      </c>
      <c r="J32" s="514" t="e">
        <f>J30+J31</f>
        <v>#N/A</v>
      </c>
      <c r="K32" s="514"/>
      <c r="L32" s="505"/>
      <c r="M32" s="506"/>
    </row>
  </sheetData>
  <sheetProtection password="CFE1" sheet="1" objects="1" scenarios="1"/>
  <mergeCells count="78">
    <mergeCell ref="C20:D20"/>
    <mergeCell ref="C21:D21"/>
    <mergeCell ref="C22:D22"/>
    <mergeCell ref="C23:D23"/>
    <mergeCell ref="E20:F20"/>
    <mergeCell ref="G20:I20"/>
    <mergeCell ref="G21:H21"/>
    <mergeCell ref="J20:K20"/>
    <mergeCell ref="J21:K21"/>
    <mergeCell ref="J22:K22"/>
    <mergeCell ref="J23:K23"/>
    <mergeCell ref="J27:K27"/>
    <mergeCell ref="L20:M27"/>
    <mergeCell ref="J26:K26"/>
    <mergeCell ref="I24:K24"/>
    <mergeCell ref="C15:E15"/>
    <mergeCell ref="C16:E16"/>
    <mergeCell ref="C17:E17"/>
    <mergeCell ref="C18:E18"/>
    <mergeCell ref="F15:H15"/>
    <mergeCell ref="F16:H16"/>
    <mergeCell ref="F17:H17"/>
    <mergeCell ref="F18:H18"/>
    <mergeCell ref="J18:K18"/>
    <mergeCell ref="J17:K17"/>
    <mergeCell ref="J16:K16"/>
    <mergeCell ref="I15:K15"/>
    <mergeCell ref="H12:I12"/>
    <mergeCell ref="H13:I13"/>
    <mergeCell ref="H14:I14"/>
    <mergeCell ref="C25:E25"/>
    <mergeCell ref="C24:F24"/>
    <mergeCell ref="G22:H22"/>
    <mergeCell ref="G23:H23"/>
    <mergeCell ref="G24:H24"/>
    <mergeCell ref="J12:M12"/>
    <mergeCell ref="J13:M13"/>
    <mergeCell ref="J14:M14"/>
    <mergeCell ref="F13:G13"/>
    <mergeCell ref="L15:M18"/>
    <mergeCell ref="C4:G4"/>
    <mergeCell ref="C5:F5"/>
    <mergeCell ref="C6:F6"/>
    <mergeCell ref="C9:M9"/>
    <mergeCell ref="F11:G11"/>
    <mergeCell ref="F12:G12"/>
    <mergeCell ref="I7:L7"/>
    <mergeCell ref="J11:M11"/>
    <mergeCell ref="C2:M2"/>
    <mergeCell ref="C11:E11"/>
    <mergeCell ref="I6:L6"/>
    <mergeCell ref="H11:I11"/>
    <mergeCell ref="I4:M5"/>
    <mergeCell ref="J25:K25"/>
    <mergeCell ref="C12:E12"/>
    <mergeCell ref="C7:F7"/>
    <mergeCell ref="C13:E13"/>
    <mergeCell ref="C14:E14"/>
    <mergeCell ref="I29:K29"/>
    <mergeCell ref="J30:K30"/>
    <mergeCell ref="J31:K31"/>
    <mergeCell ref="J32:K32"/>
    <mergeCell ref="F14:G14"/>
    <mergeCell ref="C26:E26"/>
    <mergeCell ref="C27:E27"/>
    <mergeCell ref="G25:H25"/>
    <mergeCell ref="G26:H26"/>
    <mergeCell ref="G27:H27"/>
    <mergeCell ref="L29:M32"/>
    <mergeCell ref="C29:C32"/>
    <mergeCell ref="H29:H32"/>
    <mergeCell ref="F30:G30"/>
    <mergeCell ref="F31:G31"/>
    <mergeCell ref="F32:G32"/>
    <mergeCell ref="D29:G29"/>
    <mergeCell ref="D30:E30"/>
    <mergeCell ref="D31:E31"/>
    <mergeCell ref="D32:E32"/>
  </mergeCells>
  <conditionalFormatting sqref="J16:J18 J25:J27 J12:M14">
    <cfRule type="cellIs" priority="3" dxfId="22" operator="equal" stopIfTrue="1">
      <formula>0</formula>
    </cfRule>
  </conditionalFormatting>
  <conditionalFormatting sqref="C9">
    <cfRule type="expression" priority="2" dxfId="24" stopIfTrue="1">
      <formula>$A$7=TRUE</formula>
    </cfRule>
  </conditionalFormatting>
  <conditionalFormatting sqref="G5:G7 M6:M7">
    <cfRule type="cellIs" priority="1" dxfId="23" operator="equal" stopIfTrue="1">
      <formula>"Click Here"</formula>
    </cfRule>
  </conditionalFormatting>
  <dataValidations count="1">
    <dataValidation type="list" allowBlank="1" showInputMessage="1" showErrorMessage="1" sqref="M6:M7 G5:G7">
      <formula1>"Click Here, Yes, No"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Mjones2</dc:creator>
  <cp:keywords/>
  <dc:description/>
  <cp:lastModifiedBy>Jones, Michael (LAA)</cp:lastModifiedBy>
  <cp:lastPrinted>2017-01-27T09:49:24Z</cp:lastPrinted>
  <dcterms:created xsi:type="dcterms:W3CDTF">2011-08-19T08:54:18Z</dcterms:created>
  <dcterms:modified xsi:type="dcterms:W3CDTF">2022-09-28T12:34:27Z</dcterms:modified>
  <cp:category/>
  <cp:version/>
  <cp:contentType/>
  <cp:contentStatus/>
</cp:coreProperties>
</file>