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0F07BDD3-DFDD-4807-83F6-53C8092EE9B4}" xr6:coauthVersionLast="45" xr6:coauthVersionMax="45" xr10:uidLastSave="{00000000-0000-0000-0000-000000000000}"/>
  <workbookProtection workbookAlgorithmName="SHA-512" workbookHashValue="zXg6ztYaLk+gIV9NNjB1k5NinmoCHlgzPJXX2F+zfhjOEgvhNLyrHBk5JLl17PVzlF3rgzhvadJwvR7UMIp8vg==" workbookSaltValue="H3Oqt4n6BGpxmDoe2tnQyA==" workbookSpinCount="100000" lockStructure="1"/>
  <bookViews>
    <workbookView xWindow="372" yWindow="0" windowWidth="20220" windowHeight="12252" xr2:uid="{00000000-000D-0000-FFFF-FFFF00000000}"/>
  </bookViews>
  <sheets>
    <sheet name="Cover_sheet" sheetId="11" r:id="rId1"/>
    <sheet name="Contents" sheetId="12" r:id="rId2"/>
    <sheet name="raw" sheetId="7" state="hidden" r:id="rId3"/>
    <sheet name="(2016-17)" sheetId="1" state="hidden" r:id="rId4"/>
    <sheet name="(2017-18)" sheetId="2" state="hidden" r:id="rId5"/>
    <sheet name="(2018-19)" sheetId="8" state="hidden" r:id="rId6"/>
    <sheet name="(2019-20)" sheetId="10" state="hidden" r:id="rId7"/>
    <sheet name="(2020-21)" sheetId="13" state="hidden" r:id="rId8"/>
    <sheet name="FIRE1120_raw" sheetId="3" state="hidden" r:id="rId9"/>
    <sheet name="FIRE1120" sheetId="4" r:id="rId10"/>
    <sheet name="QA" sheetId="9" state="hidden" r:id="rId11"/>
    <sheet name="macro" sheetId="6" state="hidden" r:id="rId12"/>
    <sheet name="stats release" sheetId="5" state="hidden" r:id="rId13"/>
  </sheets>
  <definedNames>
    <definedName name="_xlnm._FilterDatabase" localSheetId="2" hidden="1">raw!$A$1:$G$737</definedName>
    <definedName name="_xlnm.Print_Area" localSheetId="1">Contents!$A$1:$D$8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3" l="1"/>
  <c r="X11"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56" i="13"/>
  <c r="X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10" i="13"/>
  <c r="N10" i="13" s="1"/>
  <c r="AC10" i="13" s="1"/>
  <c r="D11" i="13"/>
  <c r="N11" i="13" s="1"/>
  <c r="AC11" i="13" s="1"/>
  <c r="D12" i="13"/>
  <c r="N12" i="13" s="1"/>
  <c r="AC12" i="13" s="1"/>
  <c r="D13" i="13"/>
  <c r="N13" i="13" s="1"/>
  <c r="AC13" i="13" s="1"/>
  <c r="D14" i="13"/>
  <c r="N14" i="13" s="1"/>
  <c r="AC14" i="13" s="1"/>
  <c r="D15" i="13"/>
  <c r="D16" i="13"/>
  <c r="N16" i="13" s="1"/>
  <c r="D17" i="13"/>
  <c r="D18" i="13"/>
  <c r="N18" i="13" s="1"/>
  <c r="D19" i="13"/>
  <c r="N19" i="13" s="1"/>
  <c r="AC19" i="13" s="1"/>
  <c r="D20" i="13"/>
  <c r="N20" i="13" s="1"/>
  <c r="AC20" i="13" s="1"/>
  <c r="D21" i="13"/>
  <c r="N21" i="13" s="1"/>
  <c r="AC21" i="13" s="1"/>
  <c r="D22" i="13"/>
  <c r="N22" i="13" s="1"/>
  <c r="AC22" i="13" s="1"/>
  <c r="D23" i="13"/>
  <c r="D24" i="13"/>
  <c r="N24" i="13" s="1"/>
  <c r="D25" i="13"/>
  <c r="D26" i="13"/>
  <c r="N26" i="13" s="1"/>
  <c r="D27" i="13"/>
  <c r="N27" i="13" s="1"/>
  <c r="AC27" i="13" s="1"/>
  <c r="D28" i="13"/>
  <c r="N28" i="13" s="1"/>
  <c r="AC28" i="13" s="1"/>
  <c r="D29" i="13"/>
  <c r="N29" i="13" s="1"/>
  <c r="AC29" i="13" s="1"/>
  <c r="D30" i="13"/>
  <c r="N30" i="13" s="1"/>
  <c r="AC30" i="13" s="1"/>
  <c r="D31" i="13"/>
  <c r="D32" i="13"/>
  <c r="N32" i="13" s="1"/>
  <c r="D33" i="13"/>
  <c r="D34" i="13"/>
  <c r="N34" i="13" s="1"/>
  <c r="D35" i="13"/>
  <c r="N35" i="13" s="1"/>
  <c r="AC35" i="13" s="1"/>
  <c r="D36" i="13"/>
  <c r="N36" i="13" s="1"/>
  <c r="AC36" i="13" s="1"/>
  <c r="D37" i="13"/>
  <c r="N37" i="13" s="1"/>
  <c r="AC37" i="13" s="1"/>
  <c r="D38" i="13"/>
  <c r="N38" i="13" s="1"/>
  <c r="AC38" i="13" s="1"/>
  <c r="D39" i="13"/>
  <c r="D40" i="13"/>
  <c r="N40" i="13" s="1"/>
  <c r="D41" i="13"/>
  <c r="D42" i="13"/>
  <c r="N42" i="13" s="1"/>
  <c r="D43" i="13"/>
  <c r="N43" i="13" s="1"/>
  <c r="AC43" i="13" s="1"/>
  <c r="D44" i="13"/>
  <c r="N44" i="13" s="1"/>
  <c r="AC44" i="13" s="1"/>
  <c r="D45" i="13"/>
  <c r="N45" i="13" s="1"/>
  <c r="AC45" i="13" s="1"/>
  <c r="D46" i="13"/>
  <c r="N46" i="13" s="1"/>
  <c r="AC46" i="13" s="1"/>
  <c r="D47" i="13"/>
  <c r="D48" i="13"/>
  <c r="N48" i="13" s="1"/>
  <c r="D49" i="13"/>
  <c r="D50" i="13"/>
  <c r="N50" i="13" s="1"/>
  <c r="D51" i="13"/>
  <c r="N51" i="13" s="1"/>
  <c r="AC51" i="13" s="1"/>
  <c r="D52" i="13"/>
  <c r="N52" i="13" s="1"/>
  <c r="AC52" i="13" s="1"/>
  <c r="D53" i="13"/>
  <c r="N53" i="13" s="1"/>
  <c r="AC53" i="13" s="1"/>
  <c r="D54" i="13"/>
  <c r="D55" i="13"/>
  <c r="D56" i="13"/>
  <c r="N56" i="13" s="1"/>
  <c r="W56" i="13"/>
  <c r="V56" i="13"/>
  <c r="R56" i="13"/>
  <c r="Q56" i="13"/>
  <c r="H56" i="13"/>
  <c r="G56" i="13"/>
  <c r="C56" i="13"/>
  <c r="B56" i="13"/>
  <c r="W55" i="13"/>
  <c r="V55" i="13"/>
  <c r="R55" i="13"/>
  <c r="Q55" i="13"/>
  <c r="H55" i="13"/>
  <c r="G55" i="13"/>
  <c r="C55" i="13"/>
  <c r="B55" i="13"/>
  <c r="W54" i="13"/>
  <c r="V54" i="13"/>
  <c r="R54" i="13"/>
  <c r="Q54" i="13"/>
  <c r="H54" i="13"/>
  <c r="G54" i="13"/>
  <c r="C54" i="13"/>
  <c r="B54" i="13"/>
  <c r="W53" i="13"/>
  <c r="V53" i="13"/>
  <c r="R53" i="13"/>
  <c r="Q53" i="13"/>
  <c r="H53" i="13"/>
  <c r="G53" i="13"/>
  <c r="C53" i="13"/>
  <c r="B53" i="13"/>
  <c r="W52" i="13"/>
  <c r="V52" i="13"/>
  <c r="R52" i="13"/>
  <c r="Q52" i="13"/>
  <c r="H52" i="13"/>
  <c r="G52" i="13"/>
  <c r="C52" i="13"/>
  <c r="M52" i="13" s="1"/>
  <c r="B52" i="13"/>
  <c r="L52" i="13" s="1"/>
  <c r="W51" i="13"/>
  <c r="V51" i="13"/>
  <c r="R51" i="13"/>
  <c r="Q51" i="13"/>
  <c r="H51" i="13"/>
  <c r="G51" i="13"/>
  <c r="C51" i="13"/>
  <c r="M51" i="13" s="1"/>
  <c r="B51" i="13"/>
  <c r="W50" i="13"/>
  <c r="W49" i="13" s="1"/>
  <c r="V50" i="13"/>
  <c r="R50" i="13"/>
  <c r="Q50" i="13"/>
  <c r="H50" i="13"/>
  <c r="G50" i="13"/>
  <c r="C50" i="13"/>
  <c r="M50" i="13" s="1"/>
  <c r="B50" i="13"/>
  <c r="B49" i="13" s="1"/>
  <c r="W48" i="13"/>
  <c r="V48" i="13"/>
  <c r="R48" i="13"/>
  <c r="Q48" i="13"/>
  <c r="H48" i="13"/>
  <c r="G48" i="13"/>
  <c r="C48" i="13"/>
  <c r="M48" i="13" s="1"/>
  <c r="AB48" i="13" s="1"/>
  <c r="B48" i="13"/>
  <c r="W47" i="13"/>
  <c r="V47" i="13"/>
  <c r="R47" i="13"/>
  <c r="Q47" i="13"/>
  <c r="H47" i="13"/>
  <c r="G47" i="13"/>
  <c r="C47" i="13"/>
  <c r="B47" i="13"/>
  <c r="W46" i="13"/>
  <c r="V46" i="13"/>
  <c r="R46" i="13"/>
  <c r="Q46" i="13"/>
  <c r="H46" i="13"/>
  <c r="G46" i="13"/>
  <c r="C46" i="13"/>
  <c r="M46" i="13" s="1"/>
  <c r="AB46" i="13" s="1"/>
  <c r="B46" i="13"/>
  <c r="W45" i="13"/>
  <c r="V45" i="13"/>
  <c r="R45" i="13"/>
  <c r="Q45" i="13"/>
  <c r="H45" i="13"/>
  <c r="G45" i="13"/>
  <c r="C45" i="13"/>
  <c r="B45" i="13"/>
  <c r="W44" i="13"/>
  <c r="V44" i="13"/>
  <c r="R44" i="13"/>
  <c r="Q44" i="13"/>
  <c r="H44" i="13"/>
  <c r="G44" i="13"/>
  <c r="C44" i="13"/>
  <c r="B44" i="13"/>
  <c r="W43" i="13"/>
  <c r="V43" i="13"/>
  <c r="R43" i="13"/>
  <c r="Q43" i="13"/>
  <c r="H43" i="13"/>
  <c r="G43" i="13"/>
  <c r="C43" i="13"/>
  <c r="B43" i="13"/>
  <c r="W42" i="13"/>
  <c r="V42" i="13"/>
  <c r="R42" i="13"/>
  <c r="Q42" i="13"/>
  <c r="H42" i="13"/>
  <c r="G42" i="13"/>
  <c r="C42" i="13"/>
  <c r="B42" i="13"/>
  <c r="W41" i="13"/>
  <c r="V41" i="13"/>
  <c r="R41" i="13"/>
  <c r="Q41" i="13"/>
  <c r="H41" i="13"/>
  <c r="G41" i="13"/>
  <c r="C41" i="13"/>
  <c r="B41" i="13"/>
  <c r="W40" i="13"/>
  <c r="V40" i="13"/>
  <c r="R40" i="13"/>
  <c r="Q40" i="13"/>
  <c r="H40" i="13"/>
  <c r="G40" i="13"/>
  <c r="C40" i="13"/>
  <c r="B40" i="13"/>
  <c r="W39" i="13"/>
  <c r="V39" i="13"/>
  <c r="R39" i="13"/>
  <c r="Q39" i="13"/>
  <c r="H39" i="13"/>
  <c r="G39" i="13"/>
  <c r="C39" i="13"/>
  <c r="B39" i="13"/>
  <c r="W38" i="13"/>
  <c r="V38" i="13"/>
  <c r="R38" i="13"/>
  <c r="Q38" i="13"/>
  <c r="H38" i="13"/>
  <c r="G38" i="13"/>
  <c r="C38" i="13"/>
  <c r="B38" i="13"/>
  <c r="W37" i="13"/>
  <c r="V37" i="13"/>
  <c r="R37" i="13"/>
  <c r="Q37" i="13"/>
  <c r="H37" i="13"/>
  <c r="G37" i="13"/>
  <c r="C37" i="13"/>
  <c r="B37" i="13"/>
  <c r="W36" i="13"/>
  <c r="V36" i="13"/>
  <c r="R36" i="13"/>
  <c r="Q36" i="13"/>
  <c r="H36" i="13"/>
  <c r="G36" i="13"/>
  <c r="C36" i="13"/>
  <c r="B36" i="13"/>
  <c r="W35" i="13"/>
  <c r="V35" i="13"/>
  <c r="R35" i="13"/>
  <c r="Q35" i="13"/>
  <c r="H35" i="13"/>
  <c r="G35" i="13"/>
  <c r="C35" i="13"/>
  <c r="B35" i="13"/>
  <c r="W34" i="13"/>
  <c r="V34" i="13"/>
  <c r="R34" i="13"/>
  <c r="Q34" i="13"/>
  <c r="H34" i="13"/>
  <c r="G34" i="13"/>
  <c r="C34" i="13"/>
  <c r="B34" i="13"/>
  <c r="W33" i="13"/>
  <c r="V33" i="13"/>
  <c r="R33" i="13"/>
  <c r="Q33" i="13"/>
  <c r="H33" i="13"/>
  <c r="G33" i="13"/>
  <c r="C33" i="13"/>
  <c r="B33" i="13"/>
  <c r="W32" i="13"/>
  <c r="V32" i="13"/>
  <c r="R32" i="13"/>
  <c r="Q32" i="13"/>
  <c r="H32" i="13"/>
  <c r="G32" i="13"/>
  <c r="C32" i="13"/>
  <c r="B32" i="13"/>
  <c r="W31" i="13"/>
  <c r="V31" i="13"/>
  <c r="R31" i="13"/>
  <c r="Q31" i="13"/>
  <c r="H31" i="13"/>
  <c r="G31" i="13"/>
  <c r="C31" i="13"/>
  <c r="B31" i="13"/>
  <c r="W30" i="13"/>
  <c r="V30" i="13"/>
  <c r="R30" i="13"/>
  <c r="Q30" i="13"/>
  <c r="H30" i="13"/>
  <c r="G30" i="13"/>
  <c r="C30" i="13"/>
  <c r="B30" i="13"/>
  <c r="E30" i="13" s="1"/>
  <c r="W29" i="13"/>
  <c r="V29" i="13"/>
  <c r="R29" i="13"/>
  <c r="Q29" i="13"/>
  <c r="H29" i="13"/>
  <c r="G29" i="13"/>
  <c r="C29" i="13"/>
  <c r="B29" i="13"/>
  <c r="E29" i="13" s="1"/>
  <c r="W28" i="13"/>
  <c r="V28" i="13"/>
  <c r="R28" i="13"/>
  <c r="Q28" i="13"/>
  <c r="H28" i="13"/>
  <c r="G28" i="13"/>
  <c r="C28" i="13"/>
  <c r="B28" i="13"/>
  <c r="E28" i="13" s="1"/>
  <c r="W27" i="13"/>
  <c r="V27" i="13"/>
  <c r="R27" i="13"/>
  <c r="Q27" i="13"/>
  <c r="H27" i="13"/>
  <c r="G27" i="13"/>
  <c r="C27" i="13"/>
  <c r="B27" i="13"/>
  <c r="E27" i="13" s="1"/>
  <c r="W26" i="13"/>
  <c r="V26" i="13"/>
  <c r="R26" i="13"/>
  <c r="Q26" i="13"/>
  <c r="H26" i="13"/>
  <c r="G26" i="13"/>
  <c r="C26" i="13"/>
  <c r="B26" i="13"/>
  <c r="L26" i="13" s="1"/>
  <c r="W25" i="13"/>
  <c r="V25" i="13"/>
  <c r="R25" i="13"/>
  <c r="Q25" i="13"/>
  <c r="H25" i="13"/>
  <c r="G25" i="13"/>
  <c r="C25" i="13"/>
  <c r="B25" i="13"/>
  <c r="E25" i="13" s="1"/>
  <c r="W24" i="13"/>
  <c r="V24" i="13"/>
  <c r="R24" i="13"/>
  <c r="Q24" i="13"/>
  <c r="H24" i="13"/>
  <c r="G24" i="13"/>
  <c r="C24" i="13"/>
  <c r="B24" i="13"/>
  <c r="E24" i="13" s="1"/>
  <c r="W23" i="13"/>
  <c r="V23" i="13"/>
  <c r="R23" i="13"/>
  <c r="Q23" i="13"/>
  <c r="H23" i="13"/>
  <c r="G23" i="13"/>
  <c r="C23" i="13"/>
  <c r="B23" i="13"/>
  <c r="E23" i="13" s="1"/>
  <c r="W22" i="13"/>
  <c r="V22" i="13"/>
  <c r="R22" i="13"/>
  <c r="Q22" i="13"/>
  <c r="H22" i="13"/>
  <c r="G22" i="13"/>
  <c r="C22" i="13"/>
  <c r="M22" i="13" s="1"/>
  <c r="B22" i="13"/>
  <c r="L22" i="13" s="1"/>
  <c r="W21" i="13"/>
  <c r="V21" i="13"/>
  <c r="R21" i="13"/>
  <c r="Q21" i="13"/>
  <c r="H21" i="13"/>
  <c r="G21" i="13"/>
  <c r="C21" i="13"/>
  <c r="M21" i="13" s="1"/>
  <c r="B21" i="13"/>
  <c r="E21" i="13" s="1"/>
  <c r="W20" i="13"/>
  <c r="V20" i="13"/>
  <c r="R20" i="13"/>
  <c r="Q20" i="13"/>
  <c r="H20" i="13"/>
  <c r="G20" i="13"/>
  <c r="C20" i="13"/>
  <c r="M20" i="13" s="1"/>
  <c r="B20" i="13"/>
  <c r="L20" i="13" s="1"/>
  <c r="O20" i="13" s="1"/>
  <c r="W19" i="13"/>
  <c r="V19" i="13"/>
  <c r="R19" i="13"/>
  <c r="Q19" i="13"/>
  <c r="H19" i="13"/>
  <c r="G19" i="13"/>
  <c r="C19" i="13"/>
  <c r="B19" i="13"/>
  <c r="E19" i="13" s="1"/>
  <c r="W18" i="13"/>
  <c r="V18" i="13"/>
  <c r="R18" i="13"/>
  <c r="Q18" i="13"/>
  <c r="H18" i="13"/>
  <c r="G18" i="13"/>
  <c r="C18" i="13"/>
  <c r="M18" i="13" s="1"/>
  <c r="B18" i="13"/>
  <c r="L18" i="13" s="1"/>
  <c r="W17" i="13"/>
  <c r="V17" i="13"/>
  <c r="R17" i="13"/>
  <c r="Q17" i="13"/>
  <c r="H17" i="13"/>
  <c r="G17" i="13"/>
  <c r="C17" i="13"/>
  <c r="M17" i="13" s="1"/>
  <c r="AB17" i="13" s="1"/>
  <c r="B17" i="13"/>
  <c r="E17" i="13" s="1"/>
  <c r="W16" i="13"/>
  <c r="V16" i="13"/>
  <c r="R16" i="13"/>
  <c r="Q16" i="13"/>
  <c r="H16" i="13"/>
  <c r="G16" i="13"/>
  <c r="C16" i="13"/>
  <c r="M16" i="13" s="1"/>
  <c r="AB16" i="13" s="1"/>
  <c r="B16" i="13"/>
  <c r="L16" i="13" s="1"/>
  <c r="W15" i="13"/>
  <c r="V15" i="13"/>
  <c r="R15" i="13"/>
  <c r="Q15" i="13"/>
  <c r="H15" i="13"/>
  <c r="G15" i="13"/>
  <c r="C15" i="13"/>
  <c r="M15" i="13" s="1"/>
  <c r="AB15" i="13" s="1"/>
  <c r="B15" i="13"/>
  <c r="E15" i="13" s="1"/>
  <c r="W14" i="13"/>
  <c r="V14" i="13"/>
  <c r="R14" i="13"/>
  <c r="Q14" i="13"/>
  <c r="H14" i="13"/>
  <c r="G14" i="13"/>
  <c r="C14" i="13"/>
  <c r="M14" i="13" s="1"/>
  <c r="AB14" i="13" s="1"/>
  <c r="B14" i="13"/>
  <c r="E14" i="13" s="1"/>
  <c r="W13" i="13"/>
  <c r="V13" i="13"/>
  <c r="R13" i="13"/>
  <c r="Q13" i="13"/>
  <c r="H13" i="13"/>
  <c r="G13" i="13"/>
  <c r="C13" i="13"/>
  <c r="B13" i="13"/>
  <c r="E13" i="13" s="1"/>
  <c r="W12" i="13"/>
  <c r="V12" i="13"/>
  <c r="R12" i="13"/>
  <c r="Q12" i="13"/>
  <c r="H12" i="13"/>
  <c r="G12" i="13"/>
  <c r="C12" i="13"/>
  <c r="B12" i="13"/>
  <c r="E12" i="13" s="1"/>
  <c r="W11" i="13"/>
  <c r="V11" i="13"/>
  <c r="R11" i="13"/>
  <c r="Q11" i="13"/>
  <c r="H11" i="13"/>
  <c r="G11" i="13"/>
  <c r="C11" i="13"/>
  <c r="B11" i="13"/>
  <c r="E11" i="13" s="1"/>
  <c r="W10" i="13"/>
  <c r="V10" i="13"/>
  <c r="R10" i="13"/>
  <c r="Q10" i="13"/>
  <c r="H10" i="13"/>
  <c r="G10" i="13"/>
  <c r="C10" i="13"/>
  <c r="B10" i="13"/>
  <c r="E31" i="13" l="1"/>
  <c r="E32" i="13"/>
  <c r="AB52" i="13"/>
  <c r="N47" i="13"/>
  <c r="AC47" i="13" s="1"/>
  <c r="N39" i="13"/>
  <c r="AC39" i="13" s="1"/>
  <c r="N31" i="13"/>
  <c r="AC31" i="13" s="1"/>
  <c r="N23" i="13"/>
  <c r="AC23" i="13" s="1"/>
  <c r="N15" i="13"/>
  <c r="AC15" i="13" s="1"/>
  <c r="N49" i="13"/>
  <c r="AC49" i="13" s="1"/>
  <c r="N41" i="13"/>
  <c r="AC41" i="13" s="1"/>
  <c r="N33" i="13"/>
  <c r="AC33" i="13" s="1"/>
  <c r="N25" i="13"/>
  <c r="AC25" i="13" s="1"/>
  <c r="N17" i="13"/>
  <c r="AC17" i="13" s="1"/>
  <c r="T11" i="13"/>
  <c r="T32" i="13"/>
  <c r="T33" i="13"/>
  <c r="T34" i="13"/>
  <c r="T35" i="13"/>
  <c r="T36" i="13"/>
  <c r="T37" i="13"/>
  <c r="T38" i="13"/>
  <c r="T39" i="13"/>
  <c r="T40" i="13"/>
  <c r="T44" i="13"/>
  <c r="T45" i="13"/>
  <c r="T46" i="13"/>
  <c r="T47" i="13"/>
  <c r="T52" i="13"/>
  <c r="T55" i="13"/>
  <c r="Y54" i="13"/>
  <c r="M53" i="13"/>
  <c r="AB53" i="13" s="1"/>
  <c r="T12" i="13"/>
  <c r="J11" i="13"/>
  <c r="J25" i="13"/>
  <c r="E33" i="13"/>
  <c r="E37" i="13"/>
  <c r="O52" i="13"/>
  <c r="L56" i="13"/>
  <c r="E34" i="13"/>
  <c r="Y11" i="13"/>
  <c r="Y12" i="13"/>
  <c r="Y13" i="13"/>
  <c r="Y14" i="13"/>
  <c r="Y15" i="13"/>
  <c r="Y16" i="13"/>
  <c r="Y17" i="13"/>
  <c r="Y18" i="13"/>
  <c r="Y19" i="13"/>
  <c r="Y20" i="13"/>
  <c r="Y21" i="13"/>
  <c r="Y22" i="13"/>
  <c r="Y23" i="13"/>
  <c r="Y24" i="13"/>
  <c r="Y25" i="13"/>
  <c r="Y26" i="13"/>
  <c r="Y27" i="13"/>
  <c r="Y28" i="13"/>
  <c r="Y29" i="13"/>
  <c r="Y30" i="13"/>
  <c r="Y31" i="13"/>
  <c r="Y33" i="13"/>
  <c r="Y35" i="13"/>
  <c r="Y36" i="13"/>
  <c r="Y37" i="13"/>
  <c r="Y38" i="13"/>
  <c r="Y39" i="13"/>
  <c r="Y41" i="13"/>
  <c r="Y43" i="13"/>
  <c r="Y44" i="13"/>
  <c r="Y45" i="13"/>
  <c r="Y46" i="13"/>
  <c r="Y47" i="13"/>
  <c r="Y52" i="13"/>
  <c r="Y53" i="13"/>
  <c r="Y55" i="13"/>
  <c r="E35" i="13"/>
  <c r="E36" i="13"/>
  <c r="E38" i="13"/>
  <c r="E39" i="13"/>
  <c r="E40" i="13"/>
  <c r="E41" i="13"/>
  <c r="E42" i="13"/>
  <c r="E43" i="13"/>
  <c r="E45" i="13"/>
  <c r="E46" i="13"/>
  <c r="E47" i="13"/>
  <c r="E48" i="13"/>
  <c r="E51" i="13"/>
  <c r="J12" i="13"/>
  <c r="J13" i="13"/>
  <c r="J14" i="13"/>
  <c r="J15" i="13"/>
  <c r="J16" i="13"/>
  <c r="J17" i="13"/>
  <c r="J18" i="13"/>
  <c r="J19" i="13"/>
  <c r="J20" i="13"/>
  <c r="J21" i="13"/>
  <c r="J22" i="13"/>
  <c r="J23" i="13"/>
  <c r="J24" i="13"/>
  <c r="J26" i="13"/>
  <c r="J27" i="13"/>
  <c r="J28" i="13"/>
  <c r="J29" i="13"/>
  <c r="J30" i="13"/>
  <c r="J31" i="13"/>
  <c r="J32" i="13"/>
  <c r="J33" i="13"/>
  <c r="J34" i="13"/>
  <c r="J36" i="13"/>
  <c r="J37" i="13"/>
  <c r="J38" i="13"/>
  <c r="J39" i="13"/>
  <c r="J40" i="13"/>
  <c r="J41" i="13"/>
  <c r="J42" i="13"/>
  <c r="J47" i="13"/>
  <c r="J48" i="13"/>
  <c r="J56" i="13"/>
  <c r="T13" i="13"/>
  <c r="T14" i="13"/>
  <c r="T15" i="13"/>
  <c r="T16" i="13"/>
  <c r="T17" i="13"/>
  <c r="T18" i="13"/>
  <c r="T19" i="13"/>
  <c r="T20" i="13"/>
  <c r="T21" i="13"/>
  <c r="T22" i="13"/>
  <c r="T23" i="13"/>
  <c r="T24" i="13"/>
  <c r="T25" i="13"/>
  <c r="T26" i="13"/>
  <c r="T27" i="13"/>
  <c r="T28" i="13"/>
  <c r="T29" i="13"/>
  <c r="T30" i="13"/>
  <c r="T31" i="13"/>
  <c r="AC50" i="13"/>
  <c r="AC42" i="13"/>
  <c r="AC34" i="13"/>
  <c r="AC26" i="13"/>
  <c r="O18" i="13"/>
  <c r="AC18" i="13"/>
  <c r="AC56" i="13"/>
  <c r="AC48" i="13"/>
  <c r="AC40" i="13"/>
  <c r="AC32" i="13"/>
  <c r="AC24" i="13"/>
  <c r="O16" i="13"/>
  <c r="AC16" i="13"/>
  <c r="O22" i="13"/>
  <c r="E22" i="13"/>
  <c r="E55" i="13"/>
  <c r="J54" i="13"/>
  <c r="J46" i="13"/>
  <c r="Y51" i="13"/>
  <c r="E54" i="13"/>
  <c r="J53" i="13"/>
  <c r="J45" i="13"/>
  <c r="T51" i="13"/>
  <c r="T43" i="13"/>
  <c r="Y50" i="13"/>
  <c r="Y42" i="13"/>
  <c r="Y34" i="13"/>
  <c r="E20" i="13"/>
  <c r="E53" i="13"/>
  <c r="J52" i="13"/>
  <c r="J44" i="13"/>
  <c r="T50" i="13"/>
  <c r="T42" i="13"/>
  <c r="Y10" i="13"/>
  <c r="E52" i="13"/>
  <c r="E44" i="13"/>
  <c r="J51" i="13"/>
  <c r="J43" i="13"/>
  <c r="J35" i="13"/>
  <c r="T41" i="13"/>
  <c r="Y56" i="13"/>
  <c r="Y48" i="13"/>
  <c r="Y40" i="13"/>
  <c r="Y32" i="13"/>
  <c r="E26" i="13"/>
  <c r="E18" i="13"/>
  <c r="J50" i="13"/>
  <c r="T56" i="13"/>
  <c r="T48" i="13"/>
  <c r="E50" i="13"/>
  <c r="J10" i="13"/>
  <c r="M55" i="13"/>
  <c r="AB55" i="13" s="1"/>
  <c r="M56" i="13"/>
  <c r="AB56" i="13" s="1"/>
  <c r="E16" i="13"/>
  <c r="N55" i="13"/>
  <c r="AC55" i="13" s="1"/>
  <c r="T54" i="13"/>
  <c r="E56" i="13"/>
  <c r="J55" i="13"/>
  <c r="N54" i="13"/>
  <c r="AC54" i="13" s="1"/>
  <c r="T53" i="13"/>
  <c r="X9" i="13"/>
  <c r="S9" i="13"/>
  <c r="S8" i="13" s="1"/>
  <c r="T10" i="13"/>
  <c r="I9" i="13"/>
  <c r="D9" i="13"/>
  <c r="D8" i="13" s="1"/>
  <c r="E10" i="13"/>
  <c r="AB50" i="13"/>
  <c r="AB51" i="13"/>
  <c r="M29" i="13"/>
  <c r="AB29" i="13" s="1"/>
  <c r="M41" i="13"/>
  <c r="AB41" i="13" s="1"/>
  <c r="G9" i="13"/>
  <c r="M13" i="13"/>
  <c r="AB13" i="13" s="1"/>
  <c r="M25" i="13"/>
  <c r="AB25" i="13" s="1"/>
  <c r="M30" i="13"/>
  <c r="AB30" i="13" s="1"/>
  <c r="M32" i="13"/>
  <c r="AB32" i="13" s="1"/>
  <c r="M33" i="13"/>
  <c r="AB33" i="13" s="1"/>
  <c r="M34" i="13"/>
  <c r="AB34" i="13" s="1"/>
  <c r="M35" i="13"/>
  <c r="AB35" i="13" s="1"/>
  <c r="M36" i="13"/>
  <c r="AB36" i="13" s="1"/>
  <c r="M39" i="13"/>
  <c r="AB39" i="13" s="1"/>
  <c r="L35" i="13"/>
  <c r="L39" i="13"/>
  <c r="AB18" i="13"/>
  <c r="L13" i="13"/>
  <c r="L31" i="13"/>
  <c r="L36" i="13"/>
  <c r="L37" i="13"/>
  <c r="M45" i="13"/>
  <c r="AB45" i="13" s="1"/>
  <c r="L47" i="13"/>
  <c r="AA47" i="13" s="1"/>
  <c r="AB21" i="13"/>
  <c r="AB22" i="13"/>
  <c r="L24" i="13"/>
  <c r="AA24" i="13" s="1"/>
  <c r="L25" i="13"/>
  <c r="M37" i="13"/>
  <c r="AB37" i="13" s="1"/>
  <c r="L19" i="13"/>
  <c r="M24" i="13"/>
  <c r="AB24" i="13" s="1"/>
  <c r="L34" i="13"/>
  <c r="AA34" i="13" s="1"/>
  <c r="L40" i="13"/>
  <c r="L41" i="13"/>
  <c r="W9" i="13"/>
  <c r="W8" i="13" s="1"/>
  <c r="L10" i="13"/>
  <c r="AA10" i="13" s="1"/>
  <c r="L12" i="13"/>
  <c r="M26" i="13"/>
  <c r="AB26" i="13" s="1"/>
  <c r="M27" i="13"/>
  <c r="AB27" i="13" s="1"/>
  <c r="L42" i="13"/>
  <c r="M10" i="13"/>
  <c r="AB10" i="13" s="1"/>
  <c r="M28" i="13"/>
  <c r="AB28" i="13" s="1"/>
  <c r="M42" i="13"/>
  <c r="AB42" i="13" s="1"/>
  <c r="L44" i="13"/>
  <c r="AB20" i="13"/>
  <c r="L21" i="13"/>
  <c r="M23" i="13"/>
  <c r="AB23" i="13" s="1"/>
  <c r="L45" i="13"/>
  <c r="L54" i="13"/>
  <c r="L38" i="13"/>
  <c r="L55" i="13"/>
  <c r="L15" i="13"/>
  <c r="O15" i="13" s="1"/>
  <c r="L23" i="13"/>
  <c r="L50" i="13"/>
  <c r="O50" i="13" s="1"/>
  <c r="R9" i="13"/>
  <c r="M11" i="13"/>
  <c r="AB11" i="13" s="1"/>
  <c r="M40" i="13"/>
  <c r="AB40" i="13" s="1"/>
  <c r="M43" i="13"/>
  <c r="AB43" i="13" s="1"/>
  <c r="Q49" i="13"/>
  <c r="G49" i="13"/>
  <c r="M12" i="13"/>
  <c r="AB12" i="13" s="1"/>
  <c r="L17" i="13"/>
  <c r="L28" i="13"/>
  <c r="M47" i="13"/>
  <c r="AB47" i="13" s="1"/>
  <c r="H9" i="13"/>
  <c r="Q9" i="13"/>
  <c r="L11" i="13"/>
  <c r="L27" i="13"/>
  <c r="L29" i="13"/>
  <c r="L30" i="13"/>
  <c r="M31" i="13"/>
  <c r="AB31" i="13" s="1"/>
  <c r="M38" i="13"/>
  <c r="AB38" i="13" s="1"/>
  <c r="L43" i="13"/>
  <c r="M44" i="13"/>
  <c r="AB44" i="13" s="1"/>
  <c r="L46" i="13"/>
  <c r="L48" i="13"/>
  <c r="O48" i="13" s="1"/>
  <c r="L53" i="13"/>
  <c r="M54" i="13"/>
  <c r="AB54" i="13" s="1"/>
  <c r="M19" i="13"/>
  <c r="AB19" i="13" s="1"/>
  <c r="L32" i="13"/>
  <c r="V49" i="13"/>
  <c r="Y49" i="13" s="1"/>
  <c r="L33" i="13"/>
  <c r="AA56" i="13"/>
  <c r="AA52" i="13"/>
  <c r="AD52" i="13" s="1"/>
  <c r="AA16" i="13"/>
  <c r="AA20" i="13"/>
  <c r="L14" i="13"/>
  <c r="O14" i="13" s="1"/>
  <c r="C9" i="13"/>
  <c r="AA18" i="13"/>
  <c r="AA22" i="13"/>
  <c r="AA26" i="13"/>
  <c r="C49" i="13"/>
  <c r="E49" i="13" s="1"/>
  <c r="R49" i="13"/>
  <c r="L51" i="13"/>
  <c r="O51" i="13" s="1"/>
  <c r="V9" i="13"/>
  <c r="H49" i="13"/>
  <c r="B9" i="13"/>
  <c r="E21" i="9"/>
  <c r="N9" i="13" l="1"/>
  <c r="N8" i="13" s="1"/>
  <c r="AD10" i="13"/>
  <c r="O11" i="13"/>
  <c r="T49" i="13"/>
  <c r="AA48" i="13"/>
  <c r="T9" i="13"/>
  <c r="O55" i="13"/>
  <c r="AD24" i="13"/>
  <c r="AD20" i="13"/>
  <c r="O32" i="13"/>
  <c r="O40" i="13"/>
  <c r="O39" i="13"/>
  <c r="O45" i="13"/>
  <c r="O29" i="13"/>
  <c r="AD47" i="13"/>
  <c r="O27" i="13"/>
  <c r="AC9" i="13"/>
  <c r="AC8" i="13" s="1"/>
  <c r="AA43" i="13"/>
  <c r="AD43" i="13" s="1"/>
  <c r="O43" i="13"/>
  <c r="AA41" i="13"/>
  <c r="AD41" i="13" s="1"/>
  <c r="O41" i="13"/>
  <c r="O42" i="13"/>
  <c r="AD18" i="13"/>
  <c r="AD22" i="13"/>
  <c r="AD16" i="13"/>
  <c r="O30" i="13"/>
  <c r="AA17" i="13"/>
  <c r="AD17" i="13" s="1"/>
  <c r="O17" i="13"/>
  <c r="AD26" i="13"/>
  <c r="AA53" i="13"/>
  <c r="AD53" i="13" s="1"/>
  <c r="O53" i="13"/>
  <c r="AA55" i="13"/>
  <c r="AD55" i="13" s="1"/>
  <c r="AA37" i="13"/>
  <c r="AD37" i="13" s="1"/>
  <c r="O37" i="13"/>
  <c r="O26" i="13"/>
  <c r="L49" i="13"/>
  <c r="AA49" i="13" s="1"/>
  <c r="J49" i="13"/>
  <c r="AA23" i="13"/>
  <c r="AD23" i="13" s="1"/>
  <c r="O23" i="13"/>
  <c r="AA12" i="13"/>
  <c r="AD12" i="13" s="1"/>
  <c r="O12" i="13"/>
  <c r="O36" i="13"/>
  <c r="O10" i="13"/>
  <c r="AD34" i="13"/>
  <c r="AA13" i="13"/>
  <c r="AD13" i="13" s="1"/>
  <c r="O13" i="13"/>
  <c r="AA21" i="13"/>
  <c r="AD21" i="13" s="1"/>
  <c r="O21" i="13"/>
  <c r="AA19" i="13"/>
  <c r="AD19" i="13" s="1"/>
  <c r="O19" i="13"/>
  <c r="AD56" i="13"/>
  <c r="AA46" i="13"/>
  <c r="AD46" i="13" s="1"/>
  <c r="O46" i="13"/>
  <c r="AA44" i="13"/>
  <c r="AD44" i="13" s="1"/>
  <c r="O44" i="13"/>
  <c r="AA25" i="13"/>
  <c r="AD25" i="13" s="1"/>
  <c r="O25" i="13"/>
  <c r="O31" i="13"/>
  <c r="O34" i="13"/>
  <c r="AA33" i="13"/>
  <c r="AD33" i="13" s="1"/>
  <c r="O33" i="13"/>
  <c r="AA38" i="13"/>
  <c r="AD38" i="13" s="1"/>
  <c r="O38" i="13"/>
  <c r="AD48" i="13"/>
  <c r="AA54" i="13"/>
  <c r="AD54" i="13" s="1"/>
  <c r="O54" i="13"/>
  <c r="AA39" i="13"/>
  <c r="AD39" i="13" s="1"/>
  <c r="O28" i="13"/>
  <c r="O47" i="13"/>
  <c r="O35" i="13"/>
  <c r="O24" i="13"/>
  <c r="O56" i="13"/>
  <c r="X8" i="13"/>
  <c r="Y9" i="13"/>
  <c r="I8" i="13"/>
  <c r="J9" i="13"/>
  <c r="E9" i="13"/>
  <c r="AA31" i="13"/>
  <c r="AD31" i="13" s="1"/>
  <c r="H8" i="13"/>
  <c r="Q8" i="13"/>
  <c r="AA15" i="13"/>
  <c r="AD15" i="13" s="1"/>
  <c r="AA50" i="13"/>
  <c r="AD50" i="13" s="1"/>
  <c r="G8" i="13"/>
  <c r="AA40" i="13"/>
  <c r="AD40" i="13" s="1"/>
  <c r="AA35" i="13"/>
  <c r="AD35" i="13" s="1"/>
  <c r="AA27" i="13"/>
  <c r="AD27" i="13" s="1"/>
  <c r="AA29" i="13"/>
  <c r="AD29" i="13" s="1"/>
  <c r="AA36" i="13"/>
  <c r="AD36" i="13" s="1"/>
  <c r="R8" i="13"/>
  <c r="AA42" i="13"/>
  <c r="AD42" i="13" s="1"/>
  <c r="AA45" i="13"/>
  <c r="AD45" i="13" s="1"/>
  <c r="AA11" i="13"/>
  <c r="AD11" i="13" s="1"/>
  <c r="AA28" i="13"/>
  <c r="AD28" i="13" s="1"/>
  <c r="AA30" i="13"/>
  <c r="AD30" i="13" s="1"/>
  <c r="AB9" i="13"/>
  <c r="AA32" i="13"/>
  <c r="AD32" i="13" s="1"/>
  <c r="L9" i="13"/>
  <c r="M9" i="13"/>
  <c r="M49" i="13"/>
  <c r="AB49" i="13" s="1"/>
  <c r="B8" i="13"/>
  <c r="C8" i="13"/>
  <c r="V8" i="13"/>
  <c r="AA51" i="13"/>
  <c r="AD51" i="13" s="1"/>
  <c r="AA14" i="13"/>
  <c r="AD14" i="13" s="1"/>
  <c r="W56" i="10"/>
  <c r="V56" i="10"/>
  <c r="R56" i="10"/>
  <c r="Q56" i="10"/>
  <c r="H56" i="10"/>
  <c r="G56" i="10"/>
  <c r="C56" i="10"/>
  <c r="B56" i="10"/>
  <c r="W55" i="10"/>
  <c r="V55" i="10"/>
  <c r="R55" i="10"/>
  <c r="Q55" i="10"/>
  <c r="H55" i="10"/>
  <c r="G55" i="10"/>
  <c r="C55" i="10"/>
  <c r="B55" i="10"/>
  <c r="W54" i="10"/>
  <c r="V54" i="10"/>
  <c r="R54" i="10"/>
  <c r="Q54" i="10"/>
  <c r="H54" i="10"/>
  <c r="G54" i="10"/>
  <c r="C54" i="10"/>
  <c r="B54" i="10"/>
  <c r="W53" i="10"/>
  <c r="V53" i="10"/>
  <c r="R53" i="10"/>
  <c r="Q53" i="10"/>
  <c r="H53" i="10"/>
  <c r="G53" i="10"/>
  <c r="C53" i="10"/>
  <c r="B53" i="10"/>
  <c r="W52" i="10"/>
  <c r="V52" i="10"/>
  <c r="R52" i="10"/>
  <c r="Q52" i="10"/>
  <c r="H52" i="10"/>
  <c r="G52" i="10"/>
  <c r="C52" i="10"/>
  <c r="B52" i="10"/>
  <c r="W51" i="10"/>
  <c r="V51" i="10"/>
  <c r="R51" i="10"/>
  <c r="Q51" i="10"/>
  <c r="H51" i="10"/>
  <c r="G51" i="10"/>
  <c r="C51" i="10"/>
  <c r="B51" i="10"/>
  <c r="W50" i="10"/>
  <c r="V50" i="10"/>
  <c r="Y50" i="10" s="1"/>
  <c r="R50" i="10"/>
  <c r="Q50" i="10"/>
  <c r="H50" i="10"/>
  <c r="G50" i="10"/>
  <c r="C50" i="10"/>
  <c r="B50" i="10"/>
  <c r="W48" i="10"/>
  <c r="V48" i="10"/>
  <c r="Y48" i="10" s="1"/>
  <c r="R48" i="10"/>
  <c r="Q48" i="10"/>
  <c r="H48" i="10"/>
  <c r="G48" i="10"/>
  <c r="C48" i="10"/>
  <c r="B48" i="10"/>
  <c r="W47" i="10"/>
  <c r="V47" i="10"/>
  <c r="Y47" i="10" s="1"/>
  <c r="R47" i="10"/>
  <c r="Q47" i="10"/>
  <c r="H47" i="10"/>
  <c r="G47" i="10"/>
  <c r="C47" i="10"/>
  <c r="B47" i="10"/>
  <c r="W46" i="10"/>
  <c r="V46" i="10"/>
  <c r="Y46" i="10" s="1"/>
  <c r="R46" i="10"/>
  <c r="Q46" i="10"/>
  <c r="H46" i="10"/>
  <c r="G46" i="10"/>
  <c r="C46" i="10"/>
  <c r="B46" i="10"/>
  <c r="W45" i="10"/>
  <c r="V45" i="10"/>
  <c r="Y45" i="10" s="1"/>
  <c r="R45" i="10"/>
  <c r="Q45" i="10"/>
  <c r="H45" i="10"/>
  <c r="G45" i="10"/>
  <c r="C45" i="10"/>
  <c r="B45" i="10"/>
  <c r="W44" i="10"/>
  <c r="V44" i="10"/>
  <c r="Y44" i="10" s="1"/>
  <c r="R44" i="10"/>
  <c r="Q44" i="10"/>
  <c r="H44" i="10"/>
  <c r="G44" i="10"/>
  <c r="C44" i="10"/>
  <c r="B44" i="10"/>
  <c r="W43" i="10"/>
  <c r="V43" i="10"/>
  <c r="Y43" i="10" s="1"/>
  <c r="R43" i="10"/>
  <c r="Q43" i="10"/>
  <c r="H43" i="10"/>
  <c r="G43" i="10"/>
  <c r="C43" i="10"/>
  <c r="B43" i="10"/>
  <c r="W42" i="10"/>
  <c r="V42" i="10"/>
  <c r="Y42" i="10" s="1"/>
  <c r="R42" i="10"/>
  <c r="Q42" i="10"/>
  <c r="H42" i="10"/>
  <c r="G42" i="10"/>
  <c r="C42" i="10"/>
  <c r="B42" i="10"/>
  <c r="W41" i="10"/>
  <c r="V41" i="10"/>
  <c r="Y41" i="10" s="1"/>
  <c r="R41" i="10"/>
  <c r="Q41" i="10"/>
  <c r="H41" i="10"/>
  <c r="G41" i="10"/>
  <c r="C41" i="10"/>
  <c r="B41" i="10"/>
  <c r="W40" i="10"/>
  <c r="V40" i="10"/>
  <c r="Y40" i="10" s="1"/>
  <c r="R40" i="10"/>
  <c r="Q40" i="10"/>
  <c r="H40" i="10"/>
  <c r="G40" i="10"/>
  <c r="C40" i="10"/>
  <c r="B40" i="10"/>
  <c r="W39" i="10"/>
  <c r="V39" i="10"/>
  <c r="Y39" i="10" s="1"/>
  <c r="R39" i="10"/>
  <c r="Q39" i="10"/>
  <c r="H39" i="10"/>
  <c r="G39" i="10"/>
  <c r="C39" i="10"/>
  <c r="B39" i="10"/>
  <c r="W38" i="10"/>
  <c r="V38" i="10"/>
  <c r="Y38" i="10" s="1"/>
  <c r="R38" i="10"/>
  <c r="Q38" i="10"/>
  <c r="H38" i="10"/>
  <c r="G38" i="10"/>
  <c r="C38" i="10"/>
  <c r="B38" i="10"/>
  <c r="W37" i="10"/>
  <c r="V37" i="10"/>
  <c r="Y37" i="10" s="1"/>
  <c r="R37" i="10"/>
  <c r="Q37" i="10"/>
  <c r="H37" i="10"/>
  <c r="G37" i="10"/>
  <c r="C37" i="10"/>
  <c r="B37" i="10"/>
  <c r="W36" i="10"/>
  <c r="V36" i="10"/>
  <c r="Y36" i="10" s="1"/>
  <c r="R36" i="10"/>
  <c r="Q36" i="10"/>
  <c r="H36" i="10"/>
  <c r="G36" i="10"/>
  <c r="C36" i="10"/>
  <c r="B36" i="10"/>
  <c r="W35" i="10"/>
  <c r="V35" i="10"/>
  <c r="Y35" i="10" s="1"/>
  <c r="R35" i="10"/>
  <c r="Q35" i="10"/>
  <c r="H35" i="10"/>
  <c r="G35" i="10"/>
  <c r="C35" i="10"/>
  <c r="B35" i="10"/>
  <c r="W34" i="10"/>
  <c r="V34" i="10"/>
  <c r="Y34" i="10" s="1"/>
  <c r="R34" i="10"/>
  <c r="Q34" i="10"/>
  <c r="H34" i="10"/>
  <c r="G34" i="10"/>
  <c r="C34" i="10"/>
  <c r="B34" i="10"/>
  <c r="W33" i="10"/>
  <c r="V33" i="10"/>
  <c r="Y33" i="10" s="1"/>
  <c r="R33" i="10"/>
  <c r="Q33" i="10"/>
  <c r="H33" i="10"/>
  <c r="G33" i="10"/>
  <c r="C33" i="10"/>
  <c r="B33" i="10"/>
  <c r="W32" i="10"/>
  <c r="V32" i="10"/>
  <c r="Y32" i="10" s="1"/>
  <c r="R32" i="10"/>
  <c r="Q32" i="10"/>
  <c r="H32" i="10"/>
  <c r="G32" i="10"/>
  <c r="C32" i="10"/>
  <c r="B32" i="10"/>
  <c r="W31" i="10"/>
  <c r="V31" i="10"/>
  <c r="Y31" i="10" s="1"/>
  <c r="R31" i="10"/>
  <c r="Q31" i="10"/>
  <c r="H31" i="10"/>
  <c r="G31" i="10"/>
  <c r="C31" i="10"/>
  <c r="B31" i="10"/>
  <c r="W30" i="10"/>
  <c r="V30" i="10"/>
  <c r="Y30" i="10" s="1"/>
  <c r="R30" i="10"/>
  <c r="Q30" i="10"/>
  <c r="H30" i="10"/>
  <c r="G30" i="10"/>
  <c r="C30" i="10"/>
  <c r="B30" i="10"/>
  <c r="W29" i="10"/>
  <c r="V29" i="10"/>
  <c r="Y29" i="10" s="1"/>
  <c r="R29" i="10"/>
  <c r="Q29" i="10"/>
  <c r="H29" i="10"/>
  <c r="G29" i="10"/>
  <c r="C29" i="10"/>
  <c r="B29" i="10"/>
  <c r="W28" i="10"/>
  <c r="V28" i="10"/>
  <c r="Y28" i="10" s="1"/>
  <c r="R28" i="10"/>
  <c r="Q28" i="10"/>
  <c r="H28" i="10"/>
  <c r="G28" i="10"/>
  <c r="C28" i="10"/>
  <c r="B28" i="10"/>
  <c r="W27" i="10"/>
  <c r="V27" i="10"/>
  <c r="Y27" i="10" s="1"/>
  <c r="R27" i="10"/>
  <c r="Q27" i="10"/>
  <c r="H27" i="10"/>
  <c r="G27" i="10"/>
  <c r="C27" i="10"/>
  <c r="B27" i="10"/>
  <c r="W26" i="10"/>
  <c r="V26" i="10"/>
  <c r="Y26" i="10" s="1"/>
  <c r="R26" i="10"/>
  <c r="Q26" i="10"/>
  <c r="H26" i="10"/>
  <c r="G26" i="10"/>
  <c r="C26" i="10"/>
  <c r="B26" i="10"/>
  <c r="W25" i="10"/>
  <c r="V25" i="10"/>
  <c r="Y25" i="10" s="1"/>
  <c r="R25" i="10"/>
  <c r="Q25" i="10"/>
  <c r="H25" i="10"/>
  <c r="G25" i="10"/>
  <c r="C25" i="10"/>
  <c r="B25" i="10"/>
  <c r="W24" i="10"/>
  <c r="V24" i="10"/>
  <c r="Y24" i="10" s="1"/>
  <c r="R24" i="10"/>
  <c r="Q24" i="10"/>
  <c r="H24" i="10"/>
  <c r="G24" i="10"/>
  <c r="C24" i="10"/>
  <c r="B24" i="10"/>
  <c r="W23" i="10"/>
  <c r="V23" i="10"/>
  <c r="Y23" i="10" s="1"/>
  <c r="R23" i="10"/>
  <c r="Q23" i="10"/>
  <c r="H23" i="10"/>
  <c r="G23" i="10"/>
  <c r="C23" i="10"/>
  <c r="B23" i="10"/>
  <c r="W22" i="10"/>
  <c r="V22" i="10"/>
  <c r="Y22" i="10" s="1"/>
  <c r="R22" i="10"/>
  <c r="Q22" i="10"/>
  <c r="H22" i="10"/>
  <c r="G22" i="10"/>
  <c r="C22" i="10"/>
  <c r="B22" i="10"/>
  <c r="W21" i="10"/>
  <c r="V21" i="10"/>
  <c r="Y21" i="10" s="1"/>
  <c r="R21" i="10"/>
  <c r="Q21" i="10"/>
  <c r="H21" i="10"/>
  <c r="G21" i="10"/>
  <c r="C21" i="10"/>
  <c r="B21" i="10"/>
  <c r="W20" i="10"/>
  <c r="V20" i="10"/>
  <c r="Y20" i="10" s="1"/>
  <c r="R20" i="10"/>
  <c r="Q20" i="10"/>
  <c r="H20" i="10"/>
  <c r="G20" i="10"/>
  <c r="C20" i="10"/>
  <c r="B20" i="10"/>
  <c r="W19" i="10"/>
  <c r="V19" i="10"/>
  <c r="Y19" i="10" s="1"/>
  <c r="R19" i="10"/>
  <c r="Q19" i="10"/>
  <c r="H19" i="10"/>
  <c r="G19" i="10"/>
  <c r="C19" i="10"/>
  <c r="B19" i="10"/>
  <c r="W18" i="10"/>
  <c r="V18" i="10"/>
  <c r="Y18" i="10" s="1"/>
  <c r="R18" i="10"/>
  <c r="Q18" i="10"/>
  <c r="H18" i="10"/>
  <c r="G18" i="10"/>
  <c r="C18" i="10"/>
  <c r="B18" i="10"/>
  <c r="W17" i="10"/>
  <c r="V17" i="10"/>
  <c r="Y17" i="10" s="1"/>
  <c r="R17" i="10"/>
  <c r="Q17" i="10"/>
  <c r="H17" i="10"/>
  <c r="G17" i="10"/>
  <c r="C17" i="10"/>
  <c r="B17" i="10"/>
  <c r="W16" i="10"/>
  <c r="V16" i="10"/>
  <c r="Y16" i="10" s="1"/>
  <c r="R16" i="10"/>
  <c r="Q16" i="10"/>
  <c r="H16" i="10"/>
  <c r="G16" i="10"/>
  <c r="C16" i="10"/>
  <c r="B16" i="10"/>
  <c r="W15" i="10"/>
  <c r="V15" i="10"/>
  <c r="Y15" i="10" s="1"/>
  <c r="R15" i="10"/>
  <c r="Q15" i="10"/>
  <c r="H15" i="10"/>
  <c r="G15" i="10"/>
  <c r="C15" i="10"/>
  <c r="B15" i="10"/>
  <c r="W14" i="10"/>
  <c r="V14" i="10"/>
  <c r="Y14" i="10" s="1"/>
  <c r="R14" i="10"/>
  <c r="Q14" i="10"/>
  <c r="H14" i="10"/>
  <c r="G14" i="10"/>
  <c r="C14" i="10"/>
  <c r="B14" i="10"/>
  <c r="W13" i="10"/>
  <c r="V13" i="10"/>
  <c r="Y13" i="10" s="1"/>
  <c r="R13" i="10"/>
  <c r="Q13" i="10"/>
  <c r="H13" i="10"/>
  <c r="G13" i="10"/>
  <c r="C13" i="10"/>
  <c r="B13" i="10"/>
  <c r="W12" i="10"/>
  <c r="V12" i="10"/>
  <c r="Y12" i="10" s="1"/>
  <c r="R12" i="10"/>
  <c r="Q12" i="10"/>
  <c r="H12" i="10"/>
  <c r="G12" i="10"/>
  <c r="C12" i="10"/>
  <c r="B12" i="10"/>
  <c r="W11" i="10"/>
  <c r="V11" i="10"/>
  <c r="Y11" i="10" s="1"/>
  <c r="R11" i="10"/>
  <c r="Q11" i="10"/>
  <c r="H11" i="10"/>
  <c r="G11" i="10"/>
  <c r="C11" i="10"/>
  <c r="B11" i="10"/>
  <c r="W10" i="10"/>
  <c r="V10" i="10"/>
  <c r="Y10" i="10" s="1"/>
  <c r="R10" i="10"/>
  <c r="Q10" i="10"/>
  <c r="H10" i="10"/>
  <c r="G10" i="10"/>
  <c r="C10" i="10"/>
  <c r="B10" i="10"/>
  <c r="W56" i="8"/>
  <c r="V56" i="8"/>
  <c r="Y56" i="8" s="1"/>
  <c r="R56" i="8"/>
  <c r="Q56" i="8"/>
  <c r="H56" i="8"/>
  <c r="G56" i="8"/>
  <c r="C56" i="8"/>
  <c r="B56" i="8"/>
  <c r="W55" i="8"/>
  <c r="V55" i="8"/>
  <c r="Y55" i="8" s="1"/>
  <c r="R55" i="8"/>
  <c r="Q55" i="8"/>
  <c r="H55" i="8"/>
  <c r="G55" i="8"/>
  <c r="C55" i="8"/>
  <c r="B55" i="8"/>
  <c r="W54" i="8"/>
  <c r="V54" i="8"/>
  <c r="Y54" i="8" s="1"/>
  <c r="R54" i="8"/>
  <c r="Q54" i="8"/>
  <c r="H54" i="8"/>
  <c r="G54" i="8"/>
  <c r="C54" i="8"/>
  <c r="B54" i="8"/>
  <c r="W53" i="8"/>
  <c r="V53" i="8"/>
  <c r="Y53" i="8" s="1"/>
  <c r="R53" i="8"/>
  <c r="Q53" i="8"/>
  <c r="H53" i="8"/>
  <c r="G53" i="8"/>
  <c r="C53" i="8"/>
  <c r="B53" i="8"/>
  <c r="E53" i="8" s="1"/>
  <c r="W52" i="8"/>
  <c r="V52" i="8"/>
  <c r="Y52" i="8" s="1"/>
  <c r="R52" i="8"/>
  <c r="Q52" i="8"/>
  <c r="H52" i="8"/>
  <c r="G52" i="8"/>
  <c r="C52" i="8"/>
  <c r="B52" i="8"/>
  <c r="E52" i="8" s="1"/>
  <c r="W51" i="8"/>
  <c r="V51" i="8"/>
  <c r="Y51" i="8" s="1"/>
  <c r="R51" i="8"/>
  <c r="Q51" i="8"/>
  <c r="H51" i="8"/>
  <c r="G51" i="8"/>
  <c r="C51" i="8"/>
  <c r="B51" i="8"/>
  <c r="E51" i="8" s="1"/>
  <c r="W50" i="8"/>
  <c r="V50" i="8"/>
  <c r="Y50" i="8" s="1"/>
  <c r="R50" i="8"/>
  <c r="Q50" i="8"/>
  <c r="H50" i="8"/>
  <c r="G50" i="8"/>
  <c r="C50" i="8"/>
  <c r="B50" i="8"/>
  <c r="E50" i="8" s="1"/>
  <c r="W48" i="8"/>
  <c r="V48" i="8"/>
  <c r="Y48" i="8" s="1"/>
  <c r="R48" i="8"/>
  <c r="Q48" i="8"/>
  <c r="H48" i="8"/>
  <c r="G48" i="8"/>
  <c r="C48" i="8"/>
  <c r="B48" i="8"/>
  <c r="E48" i="8" s="1"/>
  <c r="W47" i="8"/>
  <c r="V47" i="8"/>
  <c r="Y47" i="8" s="1"/>
  <c r="R47" i="8"/>
  <c r="Q47" i="8"/>
  <c r="H47" i="8"/>
  <c r="G47" i="8"/>
  <c r="C47" i="8"/>
  <c r="B47" i="8"/>
  <c r="E47" i="8" s="1"/>
  <c r="W46" i="8"/>
  <c r="V46" i="8"/>
  <c r="Y46" i="8" s="1"/>
  <c r="R46" i="8"/>
  <c r="Q46" i="8"/>
  <c r="H46" i="8"/>
  <c r="G46" i="8"/>
  <c r="C46" i="8"/>
  <c r="B46" i="8"/>
  <c r="E46" i="8" s="1"/>
  <c r="W45" i="8"/>
  <c r="V45" i="8"/>
  <c r="Y45" i="8" s="1"/>
  <c r="R45" i="8"/>
  <c r="Q45" i="8"/>
  <c r="H45" i="8"/>
  <c r="G45" i="8"/>
  <c r="C45" i="8"/>
  <c r="B45" i="8"/>
  <c r="E45" i="8" s="1"/>
  <c r="W44" i="8"/>
  <c r="V44" i="8"/>
  <c r="Y44" i="8" s="1"/>
  <c r="R44" i="8"/>
  <c r="Q44" i="8"/>
  <c r="H44" i="8"/>
  <c r="G44" i="8"/>
  <c r="C44" i="8"/>
  <c r="B44" i="8"/>
  <c r="E44" i="8" s="1"/>
  <c r="W43" i="8"/>
  <c r="V43" i="8"/>
  <c r="Y43" i="8" s="1"/>
  <c r="R43" i="8"/>
  <c r="Q43" i="8"/>
  <c r="H43" i="8"/>
  <c r="G43" i="8"/>
  <c r="C43" i="8"/>
  <c r="B43" i="8"/>
  <c r="E43" i="8" s="1"/>
  <c r="W42" i="8"/>
  <c r="V42" i="8"/>
  <c r="Y42" i="8" s="1"/>
  <c r="R42" i="8"/>
  <c r="Q42" i="8"/>
  <c r="H42" i="8"/>
  <c r="G42" i="8"/>
  <c r="C42" i="8"/>
  <c r="B42" i="8"/>
  <c r="E42" i="8" s="1"/>
  <c r="W41" i="8"/>
  <c r="V41" i="8"/>
  <c r="Y41" i="8" s="1"/>
  <c r="R41" i="8"/>
  <c r="Q41" i="8"/>
  <c r="H41" i="8"/>
  <c r="G41" i="8"/>
  <c r="C41" i="8"/>
  <c r="B41" i="8"/>
  <c r="E41" i="8" s="1"/>
  <c r="W40" i="8"/>
  <c r="V40" i="8"/>
  <c r="Y40" i="8" s="1"/>
  <c r="R40" i="8"/>
  <c r="Q40" i="8"/>
  <c r="H40" i="8"/>
  <c r="G40" i="8"/>
  <c r="C40" i="8"/>
  <c r="B40" i="8"/>
  <c r="E40" i="8" s="1"/>
  <c r="W39" i="8"/>
  <c r="V39" i="8"/>
  <c r="Y39" i="8" s="1"/>
  <c r="R39" i="8"/>
  <c r="Q39" i="8"/>
  <c r="H39" i="8"/>
  <c r="G39" i="8"/>
  <c r="C39" i="8"/>
  <c r="B39" i="8"/>
  <c r="E39" i="8" s="1"/>
  <c r="W38" i="8"/>
  <c r="V38" i="8"/>
  <c r="Y38" i="8" s="1"/>
  <c r="R38" i="8"/>
  <c r="Q38" i="8"/>
  <c r="H38" i="8"/>
  <c r="G38" i="8"/>
  <c r="C38" i="8"/>
  <c r="B38" i="8"/>
  <c r="E38" i="8" s="1"/>
  <c r="W37" i="8"/>
  <c r="V37" i="8"/>
  <c r="Y37" i="8" s="1"/>
  <c r="R37" i="8"/>
  <c r="Q37" i="8"/>
  <c r="H37" i="8"/>
  <c r="G37" i="8"/>
  <c r="C37" i="8"/>
  <c r="B37" i="8"/>
  <c r="E37" i="8" s="1"/>
  <c r="W36" i="8"/>
  <c r="V36" i="8"/>
  <c r="Y36" i="8" s="1"/>
  <c r="R36" i="8"/>
  <c r="Q36" i="8"/>
  <c r="H36" i="8"/>
  <c r="G36" i="8"/>
  <c r="C36" i="8"/>
  <c r="B36" i="8"/>
  <c r="E36" i="8" s="1"/>
  <c r="W35" i="8"/>
  <c r="V35" i="8"/>
  <c r="Y35" i="8" s="1"/>
  <c r="R35" i="8"/>
  <c r="Q35" i="8"/>
  <c r="H35" i="8"/>
  <c r="G35" i="8"/>
  <c r="C35" i="8"/>
  <c r="B35" i="8"/>
  <c r="E35" i="8" s="1"/>
  <c r="W34" i="8"/>
  <c r="V34" i="8"/>
  <c r="Y34" i="8" s="1"/>
  <c r="R34" i="8"/>
  <c r="Q34" i="8"/>
  <c r="H34" i="8"/>
  <c r="G34" i="8"/>
  <c r="C34" i="8"/>
  <c r="B34" i="8"/>
  <c r="E34" i="8" s="1"/>
  <c r="W33" i="8"/>
  <c r="V33" i="8"/>
  <c r="R33" i="8"/>
  <c r="Q33" i="8"/>
  <c r="H33" i="8"/>
  <c r="G33" i="8"/>
  <c r="C33" i="8"/>
  <c r="B33" i="8"/>
  <c r="E33" i="8" s="1"/>
  <c r="W32" i="8"/>
  <c r="V32" i="8"/>
  <c r="R32" i="8"/>
  <c r="Q32" i="8"/>
  <c r="H32" i="8"/>
  <c r="G32" i="8"/>
  <c r="C32" i="8"/>
  <c r="B32" i="8"/>
  <c r="E32" i="8" s="1"/>
  <c r="W31" i="8"/>
  <c r="V31" i="8"/>
  <c r="R31" i="8"/>
  <c r="Q31" i="8"/>
  <c r="H31" i="8"/>
  <c r="G31" i="8"/>
  <c r="C31" i="8"/>
  <c r="B31" i="8"/>
  <c r="E31" i="8" s="1"/>
  <c r="W30" i="8"/>
  <c r="V30" i="8"/>
  <c r="R30" i="8"/>
  <c r="Q30" i="8"/>
  <c r="H30" i="8"/>
  <c r="G30" i="8"/>
  <c r="C30" i="8"/>
  <c r="B30" i="8"/>
  <c r="E30" i="8" s="1"/>
  <c r="W29" i="8"/>
  <c r="V29" i="8"/>
  <c r="R29" i="8"/>
  <c r="Q29" i="8"/>
  <c r="H29" i="8"/>
  <c r="G29" i="8"/>
  <c r="C29" i="8"/>
  <c r="B29" i="8"/>
  <c r="E29" i="8" s="1"/>
  <c r="W28" i="8"/>
  <c r="V28" i="8"/>
  <c r="R28" i="8"/>
  <c r="Q28" i="8"/>
  <c r="H28" i="8"/>
  <c r="G28" i="8"/>
  <c r="C28" i="8"/>
  <c r="B28" i="8"/>
  <c r="E28" i="8" s="1"/>
  <c r="W27" i="8"/>
  <c r="V27" i="8"/>
  <c r="R27" i="8"/>
  <c r="Q27" i="8"/>
  <c r="H27" i="8"/>
  <c r="G27" i="8"/>
  <c r="C27" i="8"/>
  <c r="B27" i="8"/>
  <c r="E27" i="8" s="1"/>
  <c r="W26" i="8"/>
  <c r="V26" i="8"/>
  <c r="R26" i="8"/>
  <c r="Q26" i="8"/>
  <c r="H26" i="8"/>
  <c r="G26" i="8"/>
  <c r="C26" i="8"/>
  <c r="B26" i="8"/>
  <c r="E26" i="8" s="1"/>
  <c r="W25" i="8"/>
  <c r="V25" i="8"/>
  <c r="R25" i="8"/>
  <c r="Q25" i="8"/>
  <c r="H25" i="8"/>
  <c r="G25" i="8"/>
  <c r="C25" i="8"/>
  <c r="B25" i="8"/>
  <c r="E25" i="8" s="1"/>
  <c r="W24" i="8"/>
  <c r="V24" i="8"/>
  <c r="R24" i="8"/>
  <c r="Q24" i="8"/>
  <c r="H24" i="8"/>
  <c r="G24" i="8"/>
  <c r="C24" i="8"/>
  <c r="B24" i="8"/>
  <c r="E24" i="8" s="1"/>
  <c r="W23" i="8"/>
  <c r="V23" i="8"/>
  <c r="R23" i="8"/>
  <c r="Q23" i="8"/>
  <c r="H23" i="8"/>
  <c r="G23" i="8"/>
  <c r="C23" i="8"/>
  <c r="B23" i="8"/>
  <c r="E23" i="8" s="1"/>
  <c r="W22" i="8"/>
  <c r="V22" i="8"/>
  <c r="R22" i="8"/>
  <c r="Q22" i="8"/>
  <c r="H22" i="8"/>
  <c r="G22" i="8"/>
  <c r="C22" i="8"/>
  <c r="B22" i="8"/>
  <c r="E22" i="8" s="1"/>
  <c r="W21" i="8"/>
  <c r="V21" i="8"/>
  <c r="R21" i="8"/>
  <c r="Q21" i="8"/>
  <c r="H21" i="8"/>
  <c r="G21" i="8"/>
  <c r="C21" i="8"/>
  <c r="B21" i="8"/>
  <c r="E21" i="8" s="1"/>
  <c r="W20" i="8"/>
  <c r="V20" i="8"/>
  <c r="R20" i="8"/>
  <c r="Q20" i="8"/>
  <c r="H20" i="8"/>
  <c r="G20" i="8"/>
  <c r="C20" i="8"/>
  <c r="B20" i="8"/>
  <c r="E20" i="8" s="1"/>
  <c r="W19" i="8"/>
  <c r="V19" i="8"/>
  <c r="R19" i="8"/>
  <c r="Q19" i="8"/>
  <c r="H19" i="8"/>
  <c r="G19" i="8"/>
  <c r="C19" i="8"/>
  <c r="B19" i="8"/>
  <c r="E19" i="8" s="1"/>
  <c r="W18" i="8"/>
  <c r="V18" i="8"/>
  <c r="R18" i="8"/>
  <c r="Q18" i="8"/>
  <c r="H18" i="8"/>
  <c r="G18" i="8"/>
  <c r="C18" i="8"/>
  <c r="B18" i="8"/>
  <c r="E18" i="8" s="1"/>
  <c r="W17" i="8"/>
  <c r="V17" i="8"/>
  <c r="R17" i="8"/>
  <c r="Q17" i="8"/>
  <c r="H17" i="8"/>
  <c r="G17" i="8"/>
  <c r="C17" i="8"/>
  <c r="B17" i="8"/>
  <c r="E17" i="8" s="1"/>
  <c r="W16" i="8"/>
  <c r="V16" i="8"/>
  <c r="R16" i="8"/>
  <c r="Q16" i="8"/>
  <c r="H16" i="8"/>
  <c r="G16" i="8"/>
  <c r="C16" i="8"/>
  <c r="B16" i="8"/>
  <c r="E16" i="8" s="1"/>
  <c r="W15" i="8"/>
  <c r="V15" i="8"/>
  <c r="R15" i="8"/>
  <c r="Q15" i="8"/>
  <c r="H15" i="8"/>
  <c r="G15" i="8"/>
  <c r="C15" i="8"/>
  <c r="B15" i="8"/>
  <c r="E15" i="8" s="1"/>
  <c r="W14" i="8"/>
  <c r="V14" i="8"/>
  <c r="R14" i="8"/>
  <c r="Q14" i="8"/>
  <c r="H14" i="8"/>
  <c r="G14" i="8"/>
  <c r="C14" i="8"/>
  <c r="B14" i="8"/>
  <c r="E14" i="8" s="1"/>
  <c r="W13" i="8"/>
  <c r="V13" i="8"/>
  <c r="R13" i="8"/>
  <c r="Q13" i="8"/>
  <c r="H13" i="8"/>
  <c r="G13" i="8"/>
  <c r="C13" i="8"/>
  <c r="B13" i="8"/>
  <c r="E13" i="8" s="1"/>
  <c r="W12" i="8"/>
  <c r="V12" i="8"/>
  <c r="R12" i="8"/>
  <c r="Q12" i="8"/>
  <c r="H12" i="8"/>
  <c r="G12" i="8"/>
  <c r="C12" i="8"/>
  <c r="B12" i="8"/>
  <c r="E12" i="8" s="1"/>
  <c r="W11" i="8"/>
  <c r="V11" i="8"/>
  <c r="R11" i="8"/>
  <c r="Q11" i="8"/>
  <c r="H11" i="8"/>
  <c r="G11" i="8"/>
  <c r="C11" i="8"/>
  <c r="B11" i="8"/>
  <c r="E11" i="8" s="1"/>
  <c r="W10" i="8"/>
  <c r="V10" i="8"/>
  <c r="R10" i="8"/>
  <c r="Q10" i="8"/>
  <c r="H10" i="8"/>
  <c r="G10" i="8"/>
  <c r="C10" i="8"/>
  <c r="B10" i="8"/>
  <c r="E10" i="8" s="1"/>
  <c r="T10" i="8" l="1"/>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50" i="8"/>
  <c r="T51" i="8"/>
  <c r="T52" i="8"/>
  <c r="T53" i="8"/>
  <c r="T54" i="8"/>
  <c r="T55" i="8"/>
  <c r="T56" i="8"/>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52" i="10"/>
  <c r="T56" i="10"/>
  <c r="Y52" i="10"/>
  <c r="Y53" i="10"/>
  <c r="Y56" i="10"/>
  <c r="E54" i="8"/>
  <c r="E55" i="8"/>
  <c r="E56" i="8"/>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50" i="10"/>
  <c r="E51" i="10"/>
  <c r="E52" i="10"/>
  <c r="E53" i="10"/>
  <c r="E54" i="10"/>
  <c r="E55" i="10"/>
  <c r="E56" i="10"/>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50" i="8"/>
  <c r="J51" i="8"/>
  <c r="J52" i="8"/>
  <c r="J53" i="8"/>
  <c r="J54" i="8"/>
  <c r="J55" i="8"/>
  <c r="J56" i="8"/>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50" i="10"/>
  <c r="J51" i="10"/>
  <c r="J52" i="10"/>
  <c r="J53" i="10"/>
  <c r="J54" i="10"/>
  <c r="J55" i="10"/>
  <c r="J56" i="10"/>
  <c r="T39" i="10"/>
  <c r="T40" i="10"/>
  <c r="T41" i="10"/>
  <c r="T42" i="10"/>
  <c r="T43" i="10"/>
  <c r="T44" i="10"/>
  <c r="T45" i="10"/>
  <c r="T46" i="10"/>
  <c r="T47" i="10"/>
  <c r="T48" i="10"/>
  <c r="T50" i="10"/>
  <c r="T51" i="10"/>
  <c r="T53" i="10"/>
  <c r="T54" i="10"/>
  <c r="T55" i="10"/>
  <c r="Y10" i="8"/>
  <c r="Y11" i="8"/>
  <c r="Y12" i="8"/>
  <c r="Y13" i="8"/>
  <c r="Y14" i="8"/>
  <c r="Y15" i="8"/>
  <c r="Y16" i="8"/>
  <c r="Y17" i="8"/>
  <c r="Y18" i="8"/>
  <c r="Y19" i="8"/>
  <c r="Y20" i="8"/>
  <c r="Y21" i="8"/>
  <c r="Y22" i="8"/>
  <c r="Y23" i="8"/>
  <c r="Y24" i="8"/>
  <c r="Y25" i="8"/>
  <c r="Y26" i="8"/>
  <c r="Y27" i="8"/>
  <c r="Y28" i="8"/>
  <c r="Y29" i="8"/>
  <c r="Y30" i="8"/>
  <c r="Y31" i="8"/>
  <c r="Y32" i="8"/>
  <c r="Y33" i="8"/>
  <c r="Y51" i="10"/>
  <c r="Y54" i="10"/>
  <c r="Y55" i="10"/>
  <c r="T8" i="13"/>
  <c r="O9" i="13"/>
  <c r="AD49" i="13"/>
  <c r="O49" i="13"/>
  <c r="E8" i="13"/>
  <c r="L8" i="13"/>
  <c r="Y8" i="13"/>
  <c r="J8" i="13"/>
  <c r="AB8" i="13"/>
  <c r="M8" i="13"/>
  <c r="AA9" i="13"/>
  <c r="AD9" i="13" s="1"/>
  <c r="L41" i="10"/>
  <c r="L37" i="10"/>
  <c r="L35" i="10"/>
  <c r="L34" i="10"/>
  <c r="L33" i="10"/>
  <c r="L32" i="10"/>
  <c r="L28" i="10"/>
  <c r="L24" i="10"/>
  <c r="L23" i="10"/>
  <c r="M20" i="10"/>
  <c r="AB20" i="10" s="1"/>
  <c r="M19" i="10"/>
  <c r="AB19" i="10" s="1"/>
  <c r="L19" i="10"/>
  <c r="M18" i="10"/>
  <c r="AB18" i="10" s="1"/>
  <c r="L18" i="10"/>
  <c r="M17" i="10"/>
  <c r="AB17" i="10" s="1"/>
  <c r="L17" i="10"/>
  <c r="M16" i="10"/>
  <c r="AB16" i="10" s="1"/>
  <c r="L16" i="10"/>
  <c r="L14" i="10"/>
  <c r="M13" i="10"/>
  <c r="AB13" i="10" s="1"/>
  <c r="L13" i="10"/>
  <c r="O13" i="10" s="1"/>
  <c r="M12" i="10"/>
  <c r="AB12" i="10" s="1"/>
  <c r="L12" i="10"/>
  <c r="Q9" i="10"/>
  <c r="M10" i="10"/>
  <c r="L10" i="10"/>
  <c r="L56" i="10"/>
  <c r="M56" i="10"/>
  <c r="AB56" i="10" s="1"/>
  <c r="M55" i="10"/>
  <c r="AB55" i="10" s="1"/>
  <c r="L55" i="10"/>
  <c r="L54" i="10"/>
  <c r="M54" i="10"/>
  <c r="AB54" i="10" s="1"/>
  <c r="M53" i="10"/>
  <c r="AB53" i="10" s="1"/>
  <c r="L53" i="10"/>
  <c r="M52" i="10"/>
  <c r="AB52" i="10" s="1"/>
  <c r="L52" i="10"/>
  <c r="M51" i="10"/>
  <c r="AB51" i="10" s="1"/>
  <c r="L51" i="10"/>
  <c r="R49" i="10"/>
  <c r="M50" i="10"/>
  <c r="AB50" i="10" s="1"/>
  <c r="L50" i="10"/>
  <c r="W49" i="10"/>
  <c r="V49" i="10"/>
  <c r="Q49" i="10"/>
  <c r="H49" i="10"/>
  <c r="C49" i="10"/>
  <c r="B49" i="10"/>
  <c r="L48" i="10"/>
  <c r="O48" i="10" s="1"/>
  <c r="M48" i="10"/>
  <c r="AB48" i="10" s="1"/>
  <c r="M47" i="10"/>
  <c r="AB47" i="10" s="1"/>
  <c r="L47" i="10"/>
  <c r="M46" i="10"/>
  <c r="AB46" i="10" s="1"/>
  <c r="L46" i="10"/>
  <c r="O46" i="10" s="1"/>
  <c r="M45" i="10"/>
  <c r="AB45" i="10" s="1"/>
  <c r="L45" i="10"/>
  <c r="M44" i="10"/>
  <c r="AB44" i="10" s="1"/>
  <c r="L44" i="10"/>
  <c r="M43" i="10"/>
  <c r="AB43" i="10" s="1"/>
  <c r="L43" i="10"/>
  <c r="L42" i="10"/>
  <c r="M42" i="10"/>
  <c r="AB42" i="10" s="1"/>
  <c r="M41" i="10"/>
  <c r="AB41" i="10" s="1"/>
  <c r="L40" i="10"/>
  <c r="M40" i="10"/>
  <c r="AB40" i="10" s="1"/>
  <c r="M39" i="10"/>
  <c r="AB39" i="10" s="1"/>
  <c r="L39" i="10"/>
  <c r="M38" i="10"/>
  <c r="AB38" i="10" s="1"/>
  <c r="L38" i="10"/>
  <c r="M37" i="10"/>
  <c r="AB37" i="10" s="1"/>
  <c r="M36" i="10"/>
  <c r="AB36" i="10" s="1"/>
  <c r="M35" i="10"/>
  <c r="AB35" i="10" s="1"/>
  <c r="M34" i="10"/>
  <c r="AB34" i="10" s="1"/>
  <c r="M33" i="10"/>
  <c r="AB33" i="10" s="1"/>
  <c r="M32" i="10"/>
  <c r="AB32" i="10" s="1"/>
  <c r="M31" i="10"/>
  <c r="AB31" i="10" s="1"/>
  <c r="L31" i="10"/>
  <c r="M30" i="10"/>
  <c r="AB30" i="10" s="1"/>
  <c r="L30" i="10"/>
  <c r="M28" i="10"/>
  <c r="AB28" i="10" s="1"/>
  <c r="M27" i="10"/>
  <c r="AB27" i="10" s="1"/>
  <c r="M26" i="10"/>
  <c r="M25" i="10"/>
  <c r="AB25" i="10" s="1"/>
  <c r="M24" i="10"/>
  <c r="AB24" i="10" s="1"/>
  <c r="M23" i="10"/>
  <c r="AB23" i="10" s="1"/>
  <c r="L22" i="10"/>
  <c r="M22" i="10"/>
  <c r="AB22" i="10" s="1"/>
  <c r="M21" i="10"/>
  <c r="AB21" i="10" s="1"/>
  <c r="L21" i="10"/>
  <c r="M15" i="10"/>
  <c r="AB15" i="10" s="1"/>
  <c r="L15" i="10"/>
  <c r="M14" i="10"/>
  <c r="AB14" i="10" s="1"/>
  <c r="M11" i="10"/>
  <c r="AB11" i="10" s="1"/>
  <c r="L11" i="10"/>
  <c r="O11" i="10" s="1"/>
  <c r="H9" i="10"/>
  <c r="W9" i="10"/>
  <c r="R9" i="10"/>
  <c r="G9" i="10"/>
  <c r="O43" i="10" l="1"/>
  <c r="O47" i="10"/>
  <c r="O56" i="10"/>
  <c r="H8" i="10"/>
  <c r="O30" i="10"/>
  <c r="O51" i="10"/>
  <c r="O55" i="10"/>
  <c r="O18" i="10"/>
  <c r="O15" i="10"/>
  <c r="O39" i="10"/>
  <c r="O53" i="10"/>
  <c r="O10" i="10"/>
  <c r="O16" i="10"/>
  <c r="O21" i="10"/>
  <c r="O17" i="10"/>
  <c r="O40" i="10"/>
  <c r="O45" i="10"/>
  <c r="E49" i="10"/>
  <c r="O54" i="10"/>
  <c r="O12" i="10"/>
  <c r="O28" i="10"/>
  <c r="O32" i="10"/>
  <c r="O33" i="10"/>
  <c r="O22" i="10"/>
  <c r="O31" i="10"/>
  <c r="O38" i="10"/>
  <c r="O42" i="10"/>
  <c r="T49" i="10"/>
  <c r="O52" i="10"/>
  <c r="O19" i="10"/>
  <c r="O34" i="10"/>
  <c r="Y49" i="10"/>
  <c r="O14" i="10"/>
  <c r="O35" i="10"/>
  <c r="O37" i="10"/>
  <c r="J9" i="10"/>
  <c r="O44" i="10"/>
  <c r="O50" i="10"/>
  <c r="AA23" i="10"/>
  <c r="AD23" i="10" s="1"/>
  <c r="O23" i="10"/>
  <c r="O41" i="10"/>
  <c r="T9" i="10"/>
  <c r="O24" i="10"/>
  <c r="O8" i="13"/>
  <c r="AA8" i="13"/>
  <c r="AD8" i="13" s="1"/>
  <c r="R8" i="10"/>
  <c r="M49" i="10"/>
  <c r="AB49" i="10" s="1"/>
  <c r="Q8" i="10"/>
  <c r="W8" i="10"/>
  <c r="L20" i="10"/>
  <c r="O20" i="10" s="1"/>
  <c r="L36" i="10"/>
  <c r="O36" i="10" s="1"/>
  <c r="AA11" i="10"/>
  <c r="AD11" i="10" s="1"/>
  <c r="AA12" i="10"/>
  <c r="AD12" i="10" s="1"/>
  <c r="AA13" i="10"/>
  <c r="AD13" i="10" s="1"/>
  <c r="AA14" i="10"/>
  <c r="AD14" i="10" s="1"/>
  <c r="AA21" i="10"/>
  <c r="AD21" i="10" s="1"/>
  <c r="AB10" i="10"/>
  <c r="AA15" i="10"/>
  <c r="AD15" i="10" s="1"/>
  <c r="AA16" i="10"/>
  <c r="AD16" i="10" s="1"/>
  <c r="AA19" i="10"/>
  <c r="AD19" i="10" s="1"/>
  <c r="AA17" i="10"/>
  <c r="AD17" i="10" s="1"/>
  <c r="AA10" i="10"/>
  <c r="AD10" i="10" s="1"/>
  <c r="L29" i="10"/>
  <c r="AA43" i="10"/>
  <c r="AD43" i="10" s="1"/>
  <c r="AA45" i="10"/>
  <c r="AD45" i="10" s="1"/>
  <c r="AA47" i="10"/>
  <c r="AD47" i="10" s="1"/>
  <c r="AA55" i="10"/>
  <c r="AD55" i="10" s="1"/>
  <c r="B9" i="10"/>
  <c r="V9" i="10"/>
  <c r="Y9" i="10" s="1"/>
  <c r="L25" i="10"/>
  <c r="O25" i="10" s="1"/>
  <c r="L26" i="10"/>
  <c r="O26" i="10" s="1"/>
  <c r="M29" i="10"/>
  <c r="AB29" i="10" s="1"/>
  <c r="AA41" i="10"/>
  <c r="AD41" i="10" s="1"/>
  <c r="AA51" i="10"/>
  <c r="AD51" i="10" s="1"/>
  <c r="AA53" i="10"/>
  <c r="AD53" i="10" s="1"/>
  <c r="C9" i="10"/>
  <c r="C8" i="10" s="1"/>
  <c r="AA18" i="10"/>
  <c r="AD18" i="10" s="1"/>
  <c r="AA22" i="10"/>
  <c r="AD22" i="10" s="1"/>
  <c r="AB26" i="10"/>
  <c r="L27" i="10"/>
  <c r="O27" i="10" s="1"/>
  <c r="AA31" i="10"/>
  <c r="AD31" i="10" s="1"/>
  <c r="AA33" i="10"/>
  <c r="AD33" i="10" s="1"/>
  <c r="AA35" i="10"/>
  <c r="AD35" i="10" s="1"/>
  <c r="AA37" i="10"/>
  <c r="AD37" i="10" s="1"/>
  <c r="AA39" i="10"/>
  <c r="AD39" i="10" s="1"/>
  <c r="AA24" i="10"/>
  <c r="AD24" i="10" s="1"/>
  <c r="AA28" i="10"/>
  <c r="AD28" i="10" s="1"/>
  <c r="AA30" i="10"/>
  <c r="AD30" i="10" s="1"/>
  <c r="AA32" i="10"/>
  <c r="AD32" i="10" s="1"/>
  <c r="AA34" i="10"/>
  <c r="AD34" i="10" s="1"/>
  <c r="AA38" i="10"/>
  <c r="AD38" i="10" s="1"/>
  <c r="AA40" i="10"/>
  <c r="AD40" i="10" s="1"/>
  <c r="AA42" i="10"/>
  <c r="AD42" i="10" s="1"/>
  <c r="AA44" i="10"/>
  <c r="AD44" i="10" s="1"/>
  <c r="AA46" i="10"/>
  <c r="AD46" i="10" s="1"/>
  <c r="AA48" i="10"/>
  <c r="AD48" i="10" s="1"/>
  <c r="AA50" i="10"/>
  <c r="AD50" i="10" s="1"/>
  <c r="AA52" i="10"/>
  <c r="AD52" i="10" s="1"/>
  <c r="AA54" i="10"/>
  <c r="AD54" i="10" s="1"/>
  <c r="AA56" i="10"/>
  <c r="AD56" i="10" s="1"/>
  <c r="G49" i="10"/>
  <c r="J49" i="10" s="1"/>
  <c r="E5" i="9"/>
  <c r="E6" i="9"/>
  <c r="E7" i="9"/>
  <c r="E8" i="9"/>
  <c r="E9" i="9"/>
  <c r="E10" i="9"/>
  <c r="E11" i="9"/>
  <c r="E12" i="9"/>
  <c r="E13" i="9"/>
  <c r="E14" i="9"/>
  <c r="E15" i="9"/>
  <c r="E16" i="9"/>
  <c r="E17" i="9"/>
  <c r="E18" i="9"/>
  <c r="E19" i="9"/>
  <c r="E20" i="9"/>
  <c r="O29" i="10" l="1"/>
  <c r="E9" i="10"/>
  <c r="T8" i="10"/>
  <c r="AA20" i="10"/>
  <c r="AD20" i="10" s="1"/>
  <c r="AA36" i="10"/>
  <c r="AD36" i="10" s="1"/>
  <c r="M9" i="10"/>
  <c r="M8" i="10" s="1"/>
  <c r="AA29" i="10"/>
  <c r="AD29" i="10" s="1"/>
  <c r="G8" i="10"/>
  <c r="J8" i="10" s="1"/>
  <c r="AA25" i="10"/>
  <c r="AD25" i="10" s="1"/>
  <c r="V8" i="10"/>
  <c r="Y8" i="10" s="1"/>
  <c r="L9" i="10"/>
  <c r="AA27" i="10"/>
  <c r="AD27" i="10" s="1"/>
  <c r="L49" i="10"/>
  <c r="O49" i="10" s="1"/>
  <c r="B8" i="10"/>
  <c r="E8" i="10" s="1"/>
  <c r="AB9" i="10"/>
  <c r="AB8" i="10" s="1"/>
  <c r="AA26" i="10"/>
  <c r="AD26" i="10" s="1"/>
  <c r="E4" i="9"/>
  <c r="C23" i="9" s="1"/>
  <c r="O9" i="10" l="1"/>
  <c r="L8" i="10"/>
  <c r="O8" i="10" s="1"/>
  <c r="AA49" i="10"/>
  <c r="AD49" i="10" s="1"/>
  <c r="AA9" i="10"/>
  <c r="AD9" i="10" s="1"/>
  <c r="M56" i="8"/>
  <c r="L56" i="8"/>
  <c r="O56" i="8" s="1"/>
  <c r="M55" i="8"/>
  <c r="AB55" i="8" s="1"/>
  <c r="L54" i="8"/>
  <c r="M52" i="8"/>
  <c r="L50" i="8"/>
  <c r="L13" i="8"/>
  <c r="M16" i="8"/>
  <c r="L17" i="8"/>
  <c r="L21" i="8"/>
  <c r="L23" i="8"/>
  <c r="M25" i="8"/>
  <c r="L26" i="8"/>
  <c r="M27" i="8"/>
  <c r="AB27" i="8" s="1"/>
  <c r="M30" i="8"/>
  <c r="L32" i="8"/>
  <c r="M33" i="8"/>
  <c r="AB33" i="8" s="1"/>
  <c r="M35" i="8"/>
  <c r="AB35" i="8" s="1"/>
  <c r="M36" i="8"/>
  <c r="M39" i="8"/>
  <c r="AB39" i="8" s="1"/>
  <c r="M40" i="8"/>
  <c r="M41" i="8"/>
  <c r="AB41" i="8" s="1"/>
  <c r="L42" i="8"/>
  <c r="M43" i="8"/>
  <c r="AB43" i="8" s="1"/>
  <c r="L44" i="8"/>
  <c r="M45" i="8"/>
  <c r="M47" i="8"/>
  <c r="L48" i="8"/>
  <c r="AA8" i="10" l="1"/>
  <c r="AD8" i="10" s="1"/>
  <c r="M54" i="8"/>
  <c r="AB54" i="8" s="1"/>
  <c r="M19" i="8"/>
  <c r="AB19" i="8" s="1"/>
  <c r="L30" i="8"/>
  <c r="O30" i="8" s="1"/>
  <c r="M29" i="8"/>
  <c r="AB29" i="8" s="1"/>
  <c r="AB45" i="8"/>
  <c r="M37" i="8"/>
  <c r="AB37" i="8" s="1"/>
  <c r="M15" i="8"/>
  <c r="AB15" i="8" s="1"/>
  <c r="AB25" i="8"/>
  <c r="AB47" i="8"/>
  <c r="M31" i="8"/>
  <c r="AB31" i="8" s="1"/>
  <c r="B49" i="8"/>
  <c r="L28" i="8"/>
  <c r="L38" i="8"/>
  <c r="L36" i="8"/>
  <c r="G49" i="8"/>
  <c r="M21" i="8"/>
  <c r="AB21" i="8" s="1"/>
  <c r="M23" i="8"/>
  <c r="O23" i="8" s="1"/>
  <c r="M13" i="8"/>
  <c r="AB13" i="8" s="1"/>
  <c r="M11" i="8"/>
  <c r="AB11" i="8" s="1"/>
  <c r="M17" i="8"/>
  <c r="AB17" i="8" s="1"/>
  <c r="M51" i="8"/>
  <c r="AB51" i="8" s="1"/>
  <c r="M53" i="8"/>
  <c r="AB53" i="8" s="1"/>
  <c r="M48" i="8"/>
  <c r="O48" i="8" s="1"/>
  <c r="M46" i="8"/>
  <c r="AB46" i="8" s="1"/>
  <c r="M42" i="8"/>
  <c r="O42" i="8" s="1"/>
  <c r="M38" i="8"/>
  <c r="M34" i="8"/>
  <c r="AB34" i="8" s="1"/>
  <c r="M32" i="8"/>
  <c r="O32" i="8" s="1"/>
  <c r="M28" i="8"/>
  <c r="M26" i="8"/>
  <c r="O26" i="8" s="1"/>
  <c r="M24" i="8"/>
  <c r="AB24" i="8" s="1"/>
  <c r="M12" i="8"/>
  <c r="AB12" i="8" s="1"/>
  <c r="L52" i="8"/>
  <c r="O52" i="8" s="1"/>
  <c r="L46" i="8"/>
  <c r="O46" i="8" s="1"/>
  <c r="L40" i="8"/>
  <c r="O40" i="8" s="1"/>
  <c r="L34" i="8"/>
  <c r="W49" i="8"/>
  <c r="V49" i="8"/>
  <c r="Y49" i="8" s="1"/>
  <c r="AB16" i="8"/>
  <c r="AB36" i="8"/>
  <c r="M20" i="8"/>
  <c r="AB20" i="8" s="1"/>
  <c r="M44" i="8"/>
  <c r="AB44" i="8" s="1"/>
  <c r="H9" i="8"/>
  <c r="M50" i="8"/>
  <c r="AB50" i="8" s="1"/>
  <c r="AA13" i="8"/>
  <c r="AA17" i="8"/>
  <c r="AA21" i="8"/>
  <c r="L18" i="8"/>
  <c r="AA23" i="8"/>
  <c r="L24" i="8"/>
  <c r="L35" i="8"/>
  <c r="O35" i="8" s="1"/>
  <c r="R9" i="8"/>
  <c r="V9" i="8"/>
  <c r="L14" i="8"/>
  <c r="O14" i="8" s="1"/>
  <c r="L22" i="8"/>
  <c r="G9" i="8"/>
  <c r="M10" i="8"/>
  <c r="C9" i="8"/>
  <c r="W9" i="8"/>
  <c r="L11" i="8"/>
  <c r="O11" i="8" s="1"/>
  <c r="M14" i="8"/>
  <c r="AB14" i="8" s="1"/>
  <c r="L15" i="8"/>
  <c r="O15" i="8" s="1"/>
  <c r="M18" i="8"/>
  <c r="AB18" i="8" s="1"/>
  <c r="L19" i="8"/>
  <c r="O19" i="8" s="1"/>
  <c r="M22" i="8"/>
  <c r="AB22" i="8" s="1"/>
  <c r="L43" i="8"/>
  <c r="O43" i="8" s="1"/>
  <c r="L10" i="8"/>
  <c r="O10" i="8" s="1"/>
  <c r="B9" i="8"/>
  <c r="E9" i="8" s="1"/>
  <c r="Q9" i="8"/>
  <c r="L12" i="8"/>
  <c r="O12" i="8" s="1"/>
  <c r="L16" i="8"/>
  <c r="O16" i="8" s="1"/>
  <c r="L20" i="8"/>
  <c r="O20" i="8" s="1"/>
  <c r="AA50" i="8"/>
  <c r="L55" i="8"/>
  <c r="O55" i="8" s="1"/>
  <c r="AB56" i="8"/>
  <c r="AA26" i="8"/>
  <c r="L31" i="8"/>
  <c r="L39" i="8"/>
  <c r="O39" i="8" s="1"/>
  <c r="AB40" i="8"/>
  <c r="AA42" i="8"/>
  <c r="L47" i="8"/>
  <c r="O47" i="8" s="1"/>
  <c r="L53" i="8"/>
  <c r="AA56" i="8"/>
  <c r="L27" i="8"/>
  <c r="O27" i="8" s="1"/>
  <c r="L33" i="8"/>
  <c r="O33" i="8" s="1"/>
  <c r="L41" i="8"/>
  <c r="O41" i="8" s="1"/>
  <c r="AA44" i="8"/>
  <c r="L25" i="8"/>
  <c r="O25" i="8" s="1"/>
  <c r="L29" i="8"/>
  <c r="AB30" i="8"/>
  <c r="AA32" i="8"/>
  <c r="L37" i="8"/>
  <c r="O37" i="8" s="1"/>
  <c r="L45" i="8"/>
  <c r="O45" i="8" s="1"/>
  <c r="AA48" i="8"/>
  <c r="H49" i="8"/>
  <c r="R49" i="8"/>
  <c r="L51" i="8"/>
  <c r="AB52" i="8"/>
  <c r="AA54" i="8"/>
  <c r="AD54" i="8" s="1"/>
  <c r="C49" i="8"/>
  <c r="Q49" i="8"/>
  <c r="P25" i="6"/>
  <c r="Q25" i="6" s="1"/>
  <c r="R25" i="6" s="1"/>
  <c r="O24" i="6"/>
  <c r="P14" i="6"/>
  <c r="Q14" i="6" s="1"/>
  <c r="R14" i="6" s="1"/>
  <c r="O13" i="6"/>
  <c r="D9" i="6"/>
  <c r="D8" i="6"/>
  <c r="K7" i="6"/>
  <c r="I7" i="6"/>
  <c r="H6" i="6"/>
  <c r="O24" i="8" l="1"/>
  <c r="O51" i="8"/>
  <c r="O53" i="8"/>
  <c r="O29" i="8"/>
  <c r="AD56" i="8"/>
  <c r="O18" i="8"/>
  <c r="AA34" i="8"/>
  <c r="AD34" i="8" s="1"/>
  <c r="O34" i="8"/>
  <c r="AA28" i="8"/>
  <c r="O28" i="8"/>
  <c r="O17" i="8"/>
  <c r="E49" i="8"/>
  <c r="O50" i="8"/>
  <c r="AD50" i="8"/>
  <c r="O21" i="8"/>
  <c r="J9" i="8"/>
  <c r="AD44" i="8"/>
  <c r="O22" i="8"/>
  <c r="AD21" i="8"/>
  <c r="J49" i="8"/>
  <c r="O44" i="8"/>
  <c r="AD17" i="8"/>
  <c r="AA36" i="8"/>
  <c r="AD36" i="8" s="1"/>
  <c r="O36" i="8"/>
  <c r="O13" i="8"/>
  <c r="T49" i="8"/>
  <c r="O31" i="8"/>
  <c r="T9" i="8"/>
  <c r="Y9" i="8"/>
  <c r="AD13" i="8"/>
  <c r="AA38" i="8"/>
  <c r="O38" i="8"/>
  <c r="O54" i="8"/>
  <c r="AA30" i="8"/>
  <c r="AD30" i="8" s="1"/>
  <c r="AB26" i="8"/>
  <c r="AD26" i="8" s="1"/>
  <c r="L49" i="8"/>
  <c r="AB32" i="8"/>
  <c r="AD32" i="8" s="1"/>
  <c r="AA46" i="8"/>
  <c r="AD46" i="8" s="1"/>
  <c r="AB48" i="8"/>
  <c r="AD48" i="8" s="1"/>
  <c r="AB42" i="8"/>
  <c r="AD42" i="8" s="1"/>
  <c r="W8" i="8"/>
  <c r="AA40" i="8"/>
  <c r="AD40" i="8" s="1"/>
  <c r="AB23" i="8"/>
  <c r="AD23" i="8" s="1"/>
  <c r="H8" i="8"/>
  <c r="AB28" i="8"/>
  <c r="AA52" i="8"/>
  <c r="AD52" i="8" s="1"/>
  <c r="AB38" i="8"/>
  <c r="C8" i="8"/>
  <c r="AA37" i="8"/>
  <c r="AD37" i="8" s="1"/>
  <c r="AA25" i="8"/>
  <c r="AD25" i="8" s="1"/>
  <c r="AA45" i="8"/>
  <c r="AD45" i="8" s="1"/>
  <c r="AA31" i="8"/>
  <c r="AD31" i="8" s="1"/>
  <c r="AA20" i="8"/>
  <c r="AD20" i="8" s="1"/>
  <c r="AA16" i="8"/>
  <c r="AD16" i="8" s="1"/>
  <c r="AA12" i="8"/>
  <c r="AD12" i="8" s="1"/>
  <c r="B8" i="8"/>
  <c r="E8" i="8" s="1"/>
  <c r="AA43" i="8"/>
  <c r="AD43" i="8" s="1"/>
  <c r="AB10" i="8"/>
  <c r="M9" i="8"/>
  <c r="R8" i="8"/>
  <c r="AA24" i="8"/>
  <c r="AD24" i="8" s="1"/>
  <c r="AA33" i="8"/>
  <c r="AD33" i="8" s="1"/>
  <c r="AA22" i="8"/>
  <c r="AD22" i="8" s="1"/>
  <c r="AA51" i="8"/>
  <c r="AD51" i="8" s="1"/>
  <c r="AA27" i="8"/>
  <c r="AD27" i="8" s="1"/>
  <c r="AA19" i="8"/>
  <c r="AD19" i="8" s="1"/>
  <c r="AA11" i="8"/>
  <c r="AD11" i="8" s="1"/>
  <c r="G8" i="8"/>
  <c r="J8" i="8" s="1"/>
  <c r="AA14" i="8"/>
  <c r="AD14" i="8" s="1"/>
  <c r="AA18" i="8"/>
  <c r="AD18" i="8" s="1"/>
  <c r="AA39" i="8"/>
  <c r="AD39" i="8" s="1"/>
  <c r="AA15" i="8"/>
  <c r="AD15" i="8" s="1"/>
  <c r="M49" i="8"/>
  <c r="AB49" i="8" s="1"/>
  <c r="AA29" i="8"/>
  <c r="AD29" i="8" s="1"/>
  <c r="AA41" i="8"/>
  <c r="AD41" i="8" s="1"/>
  <c r="AA53" i="8"/>
  <c r="AD53" i="8" s="1"/>
  <c r="AA47" i="8"/>
  <c r="AD47" i="8" s="1"/>
  <c r="AA55" i="8"/>
  <c r="AD55" i="8" s="1"/>
  <c r="Q8" i="8"/>
  <c r="T8" i="8" s="1"/>
  <c r="AA10" i="8"/>
  <c r="AD10" i="8" s="1"/>
  <c r="L9" i="8"/>
  <c r="V8" i="8"/>
  <c r="AA35" i="8"/>
  <c r="AD35" i="8" s="1"/>
  <c r="O9" i="8" l="1"/>
  <c r="AD38" i="8"/>
  <c r="AA49" i="8"/>
  <c r="AD49" i="8" s="1"/>
  <c r="O49" i="8"/>
  <c r="AD28" i="8"/>
  <c r="Y8" i="8"/>
  <c r="AB9" i="8"/>
  <c r="AB8" i="8" s="1"/>
  <c r="AA9" i="8"/>
  <c r="AD9" i="8" s="1"/>
  <c r="M8" i="8"/>
  <c r="L8" i="8"/>
  <c r="O8" i="8" l="1"/>
  <c r="AA8" i="8"/>
  <c r="AD8" i="8" s="1"/>
  <c r="T10" i="1"/>
  <c r="M10" i="1"/>
  <c r="Y56" i="1"/>
  <c r="T56" i="1"/>
  <c r="L56" i="1"/>
  <c r="J56" i="1"/>
  <c r="M56" i="1"/>
  <c r="AB56" i="1" s="1"/>
  <c r="Y55" i="1"/>
  <c r="T55" i="1"/>
  <c r="M55" i="1"/>
  <c r="AB55" i="1" s="1"/>
  <c r="J55" i="1"/>
  <c r="L55" i="1"/>
  <c r="Y54" i="1"/>
  <c r="T54" i="1"/>
  <c r="L54" i="1"/>
  <c r="J54" i="1"/>
  <c r="M54" i="1"/>
  <c r="AB54" i="1" s="1"/>
  <c r="Y53" i="1"/>
  <c r="T53" i="1"/>
  <c r="M53" i="1"/>
  <c r="AB53" i="1" s="1"/>
  <c r="J53" i="1"/>
  <c r="L53" i="1"/>
  <c r="Y52" i="1"/>
  <c r="T52" i="1"/>
  <c r="L52" i="1"/>
  <c r="J52" i="1"/>
  <c r="M52" i="1"/>
  <c r="AB52" i="1" s="1"/>
  <c r="Y51" i="1"/>
  <c r="T51" i="1"/>
  <c r="M51" i="1"/>
  <c r="AB51" i="1" s="1"/>
  <c r="J51" i="1"/>
  <c r="L51" i="1"/>
  <c r="W49" i="1"/>
  <c r="R49" i="1"/>
  <c r="T50" i="1"/>
  <c r="L50" i="1"/>
  <c r="J50" i="1"/>
  <c r="M50" i="1"/>
  <c r="AB50" i="1" s="1"/>
  <c r="V49" i="1"/>
  <c r="H49" i="1"/>
  <c r="G49" i="1"/>
  <c r="B49" i="1"/>
  <c r="Y48" i="1"/>
  <c r="T48" i="1"/>
  <c r="L48" i="1"/>
  <c r="J48" i="1"/>
  <c r="M48" i="1"/>
  <c r="AB48" i="1" s="1"/>
  <c r="Y47" i="1"/>
  <c r="T47" i="1"/>
  <c r="M47" i="1"/>
  <c r="AB47" i="1" s="1"/>
  <c r="J47" i="1"/>
  <c r="L47" i="1"/>
  <c r="Y46" i="1"/>
  <c r="T46" i="1"/>
  <c r="L46" i="1"/>
  <c r="J46" i="1"/>
  <c r="M46" i="1"/>
  <c r="AB46" i="1" s="1"/>
  <c r="Y45" i="1"/>
  <c r="T45" i="1"/>
  <c r="M45" i="1"/>
  <c r="AB45" i="1" s="1"/>
  <c r="J45" i="1"/>
  <c r="L45" i="1"/>
  <c r="Y44" i="1"/>
  <c r="T44" i="1"/>
  <c r="L44" i="1"/>
  <c r="J44" i="1"/>
  <c r="M44" i="1"/>
  <c r="AB44" i="1" s="1"/>
  <c r="Y43" i="1"/>
  <c r="T43" i="1"/>
  <c r="M43" i="1"/>
  <c r="AB43" i="1" s="1"/>
  <c r="J43" i="1"/>
  <c r="L43" i="1"/>
  <c r="Y42" i="1"/>
  <c r="T42" i="1"/>
  <c r="J42" i="1"/>
  <c r="M42" i="1"/>
  <c r="AB42" i="1" s="1"/>
  <c r="L42" i="1"/>
  <c r="Y41" i="1"/>
  <c r="T41" i="1"/>
  <c r="M41" i="1"/>
  <c r="AB41" i="1" s="1"/>
  <c r="J41" i="1"/>
  <c r="E41" i="1"/>
  <c r="T40" i="1"/>
  <c r="J40" i="1"/>
  <c r="M40" i="1"/>
  <c r="L40" i="1"/>
  <c r="Y39" i="1"/>
  <c r="T39" i="1"/>
  <c r="M39" i="1"/>
  <c r="AB39" i="1" s="1"/>
  <c r="E39" i="1"/>
  <c r="Y38" i="1"/>
  <c r="T38" i="1"/>
  <c r="J38" i="1"/>
  <c r="M38" i="1"/>
  <c r="L38" i="1"/>
  <c r="Y37" i="1"/>
  <c r="T37" i="1"/>
  <c r="M37" i="1"/>
  <c r="AB37" i="1" s="1"/>
  <c r="E37" i="1"/>
  <c r="Y36" i="1"/>
  <c r="T36" i="1"/>
  <c r="J36" i="1"/>
  <c r="M36" i="1"/>
  <c r="AB36" i="1" s="1"/>
  <c r="L36" i="1"/>
  <c r="Y35" i="1"/>
  <c r="T35" i="1"/>
  <c r="M35" i="1"/>
  <c r="AB35" i="1" s="1"/>
  <c r="E35" i="1"/>
  <c r="T34" i="1"/>
  <c r="J34" i="1"/>
  <c r="M34" i="1"/>
  <c r="L34" i="1"/>
  <c r="Y33" i="1"/>
  <c r="T33" i="1"/>
  <c r="M33" i="1"/>
  <c r="AB33" i="1" s="1"/>
  <c r="J33" i="1"/>
  <c r="L33" i="1"/>
  <c r="T32" i="1"/>
  <c r="J32" i="1"/>
  <c r="M32" i="1"/>
  <c r="AB32" i="1" s="1"/>
  <c r="L32" i="1"/>
  <c r="Y31" i="1"/>
  <c r="T31" i="1"/>
  <c r="M31" i="1"/>
  <c r="AB31" i="1" s="1"/>
  <c r="J31" i="1"/>
  <c r="L31" i="1"/>
  <c r="Y30" i="1"/>
  <c r="T30" i="1"/>
  <c r="J30" i="1"/>
  <c r="M30" i="1"/>
  <c r="AB30" i="1" s="1"/>
  <c r="L30" i="1"/>
  <c r="Y29" i="1"/>
  <c r="T29" i="1"/>
  <c r="M29" i="1"/>
  <c r="AB29" i="1" s="1"/>
  <c r="J29" i="1"/>
  <c r="L29" i="1"/>
  <c r="Y28" i="1"/>
  <c r="T28" i="1"/>
  <c r="J28" i="1"/>
  <c r="M28" i="1"/>
  <c r="L28" i="1"/>
  <c r="Y27" i="1"/>
  <c r="T27" i="1"/>
  <c r="M27" i="1"/>
  <c r="AB27" i="1" s="1"/>
  <c r="J27" i="1"/>
  <c r="T26" i="1"/>
  <c r="J26" i="1"/>
  <c r="M26" i="1"/>
  <c r="L26" i="1"/>
  <c r="Y25" i="1"/>
  <c r="T25" i="1"/>
  <c r="M25" i="1"/>
  <c r="AB25" i="1" s="1"/>
  <c r="J25" i="1"/>
  <c r="L25" i="1"/>
  <c r="T24" i="1"/>
  <c r="J24" i="1"/>
  <c r="M24" i="1"/>
  <c r="AB24" i="1" s="1"/>
  <c r="L24" i="1"/>
  <c r="Y23" i="1"/>
  <c r="T23" i="1"/>
  <c r="M23" i="1"/>
  <c r="AB23" i="1" s="1"/>
  <c r="J23" i="1"/>
  <c r="L23" i="1"/>
  <c r="Y22" i="1"/>
  <c r="T22" i="1"/>
  <c r="J22" i="1"/>
  <c r="M22" i="1"/>
  <c r="AB22" i="1" s="1"/>
  <c r="L22" i="1"/>
  <c r="Y21" i="1"/>
  <c r="T21" i="1"/>
  <c r="M21" i="1"/>
  <c r="AB21" i="1" s="1"/>
  <c r="J21" i="1"/>
  <c r="L21" i="1"/>
  <c r="Y20" i="1"/>
  <c r="T20" i="1"/>
  <c r="J20" i="1"/>
  <c r="M20" i="1"/>
  <c r="AB20" i="1" s="1"/>
  <c r="L20" i="1"/>
  <c r="Y19" i="1"/>
  <c r="T19" i="1"/>
  <c r="M19" i="1"/>
  <c r="AB19" i="1" s="1"/>
  <c r="J19" i="1"/>
  <c r="L19" i="1"/>
  <c r="Y18" i="1"/>
  <c r="T18" i="1"/>
  <c r="J18" i="1"/>
  <c r="M18" i="1"/>
  <c r="AB18" i="1" s="1"/>
  <c r="L18" i="1"/>
  <c r="Y17" i="1"/>
  <c r="T17" i="1"/>
  <c r="M17" i="1"/>
  <c r="AB17" i="1" s="1"/>
  <c r="J17" i="1"/>
  <c r="L17" i="1"/>
  <c r="Y16" i="1"/>
  <c r="T16" i="1"/>
  <c r="J16" i="1"/>
  <c r="M16" i="1"/>
  <c r="AB16" i="1" s="1"/>
  <c r="L16" i="1"/>
  <c r="Y15" i="1"/>
  <c r="T15" i="1"/>
  <c r="M15" i="1"/>
  <c r="AB15" i="1" s="1"/>
  <c r="L15" i="1"/>
  <c r="E15" i="1"/>
  <c r="Y14" i="1"/>
  <c r="T14" i="1"/>
  <c r="J14" i="1"/>
  <c r="M14" i="1"/>
  <c r="AB14" i="1" s="1"/>
  <c r="L14" i="1"/>
  <c r="Y13" i="1"/>
  <c r="T13" i="1"/>
  <c r="M13" i="1"/>
  <c r="AB13" i="1" s="1"/>
  <c r="L13" i="1"/>
  <c r="E13" i="1"/>
  <c r="Y12" i="1"/>
  <c r="T12" i="1"/>
  <c r="J12" i="1"/>
  <c r="M12" i="1"/>
  <c r="AB12" i="1" s="1"/>
  <c r="L12" i="1"/>
  <c r="Y11" i="1"/>
  <c r="T11" i="1"/>
  <c r="M11" i="1"/>
  <c r="AB11" i="1" s="1"/>
  <c r="L11" i="1"/>
  <c r="E11" i="1"/>
  <c r="W9" i="1"/>
  <c r="W8" i="1" s="1"/>
  <c r="Y10" i="1"/>
  <c r="J10" i="1"/>
  <c r="L10" i="1"/>
  <c r="V9" i="1"/>
  <c r="H9" i="1"/>
  <c r="G9" i="1"/>
  <c r="B9" i="1"/>
  <c r="O31" i="1" l="1"/>
  <c r="L49" i="1"/>
  <c r="H8" i="1"/>
  <c r="J49" i="1"/>
  <c r="Y9" i="1"/>
  <c r="V8" i="1"/>
  <c r="Y8" i="1" s="1"/>
  <c r="J9" i="1"/>
  <c r="O25" i="1"/>
  <c r="B8" i="1"/>
  <c r="O33" i="1"/>
  <c r="R9" i="1"/>
  <c r="R8" i="1" s="1"/>
  <c r="O29" i="1"/>
  <c r="AA15" i="1"/>
  <c r="O15" i="1"/>
  <c r="AA21" i="1"/>
  <c r="O21" i="1"/>
  <c r="O16" i="1"/>
  <c r="AA16" i="1"/>
  <c r="AA19" i="1"/>
  <c r="O19" i="1"/>
  <c r="AA24" i="1"/>
  <c r="O24" i="1"/>
  <c r="O14" i="1"/>
  <c r="AA14" i="1"/>
  <c r="O18" i="1"/>
  <c r="AA18" i="1"/>
  <c r="O10" i="1"/>
  <c r="AA10" i="1"/>
  <c r="O11" i="1"/>
  <c r="AA11" i="1"/>
  <c r="AA17" i="1"/>
  <c r="O17" i="1"/>
  <c r="O22" i="1"/>
  <c r="AA22" i="1"/>
  <c r="AB10" i="1"/>
  <c r="M9" i="1"/>
  <c r="O12" i="1"/>
  <c r="AA12" i="1"/>
  <c r="AA13" i="1"/>
  <c r="O13" i="1"/>
  <c r="O20" i="1"/>
  <c r="AA20" i="1"/>
  <c r="AA23" i="1"/>
  <c r="O23" i="1"/>
  <c r="E10" i="1"/>
  <c r="E12" i="1"/>
  <c r="E14" i="1"/>
  <c r="E16" i="1"/>
  <c r="E18" i="1"/>
  <c r="E20" i="1"/>
  <c r="E22" i="1"/>
  <c r="E24" i="1"/>
  <c r="AB26" i="1"/>
  <c r="O28" i="1"/>
  <c r="AA28" i="1"/>
  <c r="AA29" i="1"/>
  <c r="AB34" i="1"/>
  <c r="L35" i="1"/>
  <c r="J35" i="1"/>
  <c r="O38" i="1"/>
  <c r="AA38" i="1"/>
  <c r="AB40" i="1"/>
  <c r="AA51" i="1"/>
  <c r="O51" i="1"/>
  <c r="AA53" i="1"/>
  <c r="O53" i="1"/>
  <c r="AA55" i="1"/>
  <c r="O55" i="1"/>
  <c r="G8" i="1"/>
  <c r="C9" i="1"/>
  <c r="E9" i="1" s="1"/>
  <c r="Q9" i="1"/>
  <c r="J11" i="1"/>
  <c r="J13" i="1"/>
  <c r="J15" i="1"/>
  <c r="Y24" i="1"/>
  <c r="L27" i="1"/>
  <c r="AB28" i="1"/>
  <c r="O30" i="1"/>
  <c r="AA30" i="1"/>
  <c r="AA31" i="1"/>
  <c r="Y32" i="1"/>
  <c r="O36" i="1"/>
  <c r="AA36" i="1"/>
  <c r="AB38" i="1"/>
  <c r="L39" i="1"/>
  <c r="J39" i="1"/>
  <c r="L41" i="1"/>
  <c r="O42" i="1"/>
  <c r="AA42" i="1"/>
  <c r="O44" i="1"/>
  <c r="O46" i="1"/>
  <c r="O48" i="1"/>
  <c r="Y49" i="1"/>
  <c r="E17" i="1"/>
  <c r="E19" i="1"/>
  <c r="E21" i="1"/>
  <c r="E23" i="1"/>
  <c r="AA25" i="1"/>
  <c r="Y26" i="1"/>
  <c r="O32" i="1"/>
  <c r="AA32" i="1"/>
  <c r="AA33" i="1"/>
  <c r="Y34" i="1"/>
  <c r="L37" i="1"/>
  <c r="J37" i="1"/>
  <c r="Y40" i="1"/>
  <c r="AA43" i="1"/>
  <c r="O43" i="1"/>
  <c r="AA45" i="1"/>
  <c r="O45" i="1"/>
  <c r="AA47" i="1"/>
  <c r="O47" i="1"/>
  <c r="O26" i="1"/>
  <c r="AA26" i="1"/>
  <c r="O34" i="1"/>
  <c r="AA34" i="1"/>
  <c r="O40" i="1"/>
  <c r="AA40" i="1"/>
  <c r="O50" i="1"/>
  <c r="O52" i="1"/>
  <c r="O54" i="1"/>
  <c r="O56" i="1"/>
  <c r="E26" i="1"/>
  <c r="E28" i="1"/>
  <c r="E30" i="1"/>
  <c r="E32" i="1"/>
  <c r="E34" i="1"/>
  <c r="E36" i="1"/>
  <c r="E38" i="1"/>
  <c r="E40" i="1"/>
  <c r="E42" i="1"/>
  <c r="E44" i="1"/>
  <c r="E46" i="1"/>
  <c r="E48" i="1"/>
  <c r="E50" i="1"/>
  <c r="Y50" i="1"/>
  <c r="E52" i="1"/>
  <c r="E54" i="1"/>
  <c r="E56" i="1"/>
  <c r="AA44" i="1"/>
  <c r="AA46" i="1"/>
  <c r="AA48" i="1"/>
  <c r="C49" i="1"/>
  <c r="M49" i="1" s="1"/>
  <c r="AB49" i="1" s="1"/>
  <c r="Q49" i="1"/>
  <c r="T49" i="1" s="1"/>
  <c r="AA50" i="1"/>
  <c r="AA52" i="1"/>
  <c r="AA54" i="1"/>
  <c r="AA56" i="1"/>
  <c r="E25" i="1"/>
  <c r="E27" i="1"/>
  <c r="E29" i="1"/>
  <c r="E31" i="1"/>
  <c r="E33" i="1"/>
  <c r="E43" i="1"/>
  <c r="E45" i="1"/>
  <c r="E47" i="1"/>
  <c r="E51" i="1"/>
  <c r="E53" i="1"/>
  <c r="E55" i="1"/>
  <c r="AD29" i="1" l="1"/>
  <c r="AD14" i="1"/>
  <c r="AD51" i="1"/>
  <c r="AD19" i="1"/>
  <c r="AD50" i="1"/>
  <c r="AD46" i="1"/>
  <c r="AD33" i="1"/>
  <c r="AD25" i="1"/>
  <c r="AD20" i="1"/>
  <c r="AD12" i="1"/>
  <c r="AD22" i="1"/>
  <c r="AD11" i="1"/>
  <c r="AD18" i="1"/>
  <c r="AD16" i="1"/>
  <c r="AD54" i="1"/>
  <c r="AD52" i="1"/>
  <c r="AD48" i="1"/>
  <c r="AD47" i="1"/>
  <c r="AD43" i="1"/>
  <c r="AD36" i="1"/>
  <c r="AD30" i="1"/>
  <c r="AD55" i="1"/>
  <c r="AD23" i="1"/>
  <c r="AD13" i="1"/>
  <c r="AD17" i="1"/>
  <c r="AD21" i="1"/>
  <c r="AD56" i="1"/>
  <c r="AD44" i="1"/>
  <c r="AD34" i="1"/>
  <c r="O49" i="1"/>
  <c r="AD45" i="1"/>
  <c r="AD32" i="1"/>
  <c r="AD42" i="1"/>
  <c r="J8" i="1"/>
  <c r="AD53" i="1"/>
  <c r="AD38" i="1"/>
  <c r="AD24" i="1"/>
  <c r="AD15" i="1"/>
  <c r="AD31" i="1"/>
  <c r="E49" i="1"/>
  <c r="AD26" i="1"/>
  <c r="AA49" i="1"/>
  <c r="O39" i="1"/>
  <c r="AA39" i="1"/>
  <c r="AD40" i="1"/>
  <c r="O37" i="1"/>
  <c r="AA37" i="1"/>
  <c r="O27" i="1"/>
  <c r="AA27" i="1"/>
  <c r="M8" i="1"/>
  <c r="O41" i="1"/>
  <c r="AA41" i="1"/>
  <c r="T9" i="1"/>
  <c r="Q8" i="1"/>
  <c r="T8" i="1" s="1"/>
  <c r="AD28" i="1"/>
  <c r="AB9" i="1"/>
  <c r="AB8" i="1" s="1"/>
  <c r="AD10" i="1"/>
  <c r="C8" i="1"/>
  <c r="E8" i="1" s="1"/>
  <c r="O35" i="1"/>
  <c r="AA35" i="1"/>
  <c r="L9" i="1"/>
  <c r="AD35" i="1" l="1"/>
  <c r="AD37" i="1"/>
  <c r="AD49" i="1"/>
  <c r="AD41" i="1"/>
  <c r="AD39" i="1"/>
  <c r="AD27" i="1"/>
  <c r="AA9" i="1"/>
  <c r="L8" i="1"/>
  <c r="O8" i="1" s="1"/>
  <c r="O9" i="1"/>
  <c r="AD9" i="1" l="1"/>
  <c r="AA8" i="1"/>
  <c r="AD8" i="1" l="1"/>
  <c r="A4" i="3" l="1"/>
  <c r="Y45" i="2" l="1"/>
  <c r="Y41" i="2"/>
  <c r="J46" i="2"/>
  <c r="Y48" i="2"/>
  <c r="Y24" i="2"/>
  <c r="J39" i="2"/>
  <c r="Y40" i="2" l="1"/>
  <c r="J41" i="2"/>
  <c r="Y53" i="2"/>
  <c r="J54" i="2"/>
  <c r="Y43" i="2"/>
  <c r="J45" i="2"/>
  <c r="J48" i="2"/>
  <c r="J55" i="2"/>
  <c r="J25" i="2"/>
  <c r="Y31" i="2"/>
  <c r="J50" i="2"/>
  <c r="J52" i="2"/>
  <c r="Y55" i="2"/>
  <c r="Y12" i="2"/>
  <c r="Y13" i="2"/>
  <c r="Y14" i="2"/>
  <c r="Y15" i="2"/>
  <c r="J16" i="2"/>
  <c r="Y19" i="2"/>
  <c r="J21" i="2"/>
  <c r="Y22" i="2"/>
  <c r="Y23" i="2"/>
  <c r="J24" i="2"/>
  <c r="J27" i="2"/>
  <c r="Y27" i="2"/>
  <c r="J28" i="2"/>
  <c r="J32" i="2"/>
  <c r="Y33" i="2"/>
  <c r="Y34" i="2"/>
  <c r="J38" i="2"/>
  <c r="T29" i="2"/>
  <c r="J15" i="2"/>
  <c r="Y16" i="2"/>
  <c r="J22" i="2"/>
  <c r="J23" i="2"/>
  <c r="Y26" i="2"/>
  <c r="Y28" i="2"/>
  <c r="Y32" i="2"/>
  <c r="Y36" i="2"/>
  <c r="J37" i="2"/>
  <c r="Y37" i="2"/>
  <c r="Y39" i="2"/>
  <c r="J31" i="2"/>
  <c r="J40" i="2"/>
  <c r="J42" i="2"/>
  <c r="Y42" i="2"/>
  <c r="J43" i="2"/>
  <c r="J44" i="2"/>
  <c r="Y44" i="2"/>
  <c r="Y46" i="2"/>
  <c r="Y50" i="2"/>
  <c r="J51" i="2"/>
  <c r="Y51" i="2"/>
  <c r="J36" i="2"/>
  <c r="J47" i="2"/>
  <c r="Y47" i="2"/>
  <c r="T12" i="2"/>
  <c r="T13" i="2"/>
  <c r="L14" i="2"/>
  <c r="AA14" i="2" s="1"/>
  <c r="T14" i="2"/>
  <c r="L15" i="2"/>
  <c r="AA15" i="2" s="1"/>
  <c r="T15" i="2"/>
  <c r="T16" i="2"/>
  <c r="T17" i="2"/>
  <c r="T18" i="2"/>
  <c r="T19" i="2"/>
  <c r="T20" i="2"/>
  <c r="T21" i="2"/>
  <c r="T22" i="2"/>
  <c r="T23" i="2"/>
  <c r="T24" i="2"/>
  <c r="T25" i="2"/>
  <c r="T26" i="2"/>
  <c r="T27" i="2"/>
  <c r="T28" i="2"/>
  <c r="T30" i="2"/>
  <c r="T31" i="2"/>
  <c r="T32" i="2"/>
  <c r="T33" i="2"/>
  <c r="T34" i="2"/>
  <c r="T35" i="2"/>
  <c r="T36" i="2"/>
  <c r="T37" i="2"/>
  <c r="T38" i="2"/>
  <c r="T39" i="2"/>
  <c r="L40" i="2"/>
  <c r="AA40" i="2" s="1"/>
  <c r="T40" i="2"/>
  <c r="T41" i="2"/>
  <c r="T42" i="2"/>
  <c r="T43" i="2"/>
  <c r="T44" i="2"/>
  <c r="T45" i="2"/>
  <c r="T46" i="2"/>
  <c r="T47" i="2"/>
  <c r="T51" i="2"/>
  <c r="T52" i="2"/>
  <c r="T53" i="2"/>
  <c r="T54" i="2"/>
  <c r="T55" i="2"/>
  <c r="T56" i="2"/>
  <c r="M14" i="2"/>
  <c r="AB14" i="2" s="1"/>
  <c r="M15" i="2"/>
  <c r="AB15" i="2" s="1"/>
  <c r="M16" i="2"/>
  <c r="AB16" i="2" s="1"/>
  <c r="M17" i="2"/>
  <c r="AB17" i="2" s="1"/>
  <c r="M19" i="2"/>
  <c r="AB19" i="2" s="1"/>
  <c r="M20" i="2"/>
  <c r="AB20" i="2" s="1"/>
  <c r="M21" i="2"/>
  <c r="AB21" i="2" s="1"/>
  <c r="M22" i="2"/>
  <c r="AB22" i="2" s="1"/>
  <c r="M26" i="2"/>
  <c r="AB26" i="2" s="1"/>
  <c r="M29" i="2"/>
  <c r="AB29" i="2" s="1"/>
  <c r="M31" i="2"/>
  <c r="AB31" i="2" s="1"/>
  <c r="M32" i="2"/>
  <c r="AB32" i="2" s="1"/>
  <c r="M33" i="2"/>
  <c r="AB33" i="2" s="1"/>
  <c r="M34" i="2"/>
  <c r="AB34" i="2" s="1"/>
  <c r="M37" i="2"/>
  <c r="AB37" i="2" s="1"/>
  <c r="M39" i="2"/>
  <c r="AB39" i="2" s="1"/>
  <c r="M42" i="2"/>
  <c r="AB42" i="2" s="1"/>
  <c r="M44" i="2"/>
  <c r="AB44" i="2" s="1"/>
  <c r="M45" i="2"/>
  <c r="AB45" i="2" s="1"/>
  <c r="M52" i="2"/>
  <c r="AB52" i="2" s="1"/>
  <c r="M53" i="2"/>
  <c r="AB53" i="2" s="1"/>
  <c r="M54" i="2"/>
  <c r="AB54" i="2" s="1"/>
  <c r="M55" i="2"/>
  <c r="AB55" i="2" s="1"/>
  <c r="M56" i="2"/>
  <c r="AB56" i="2" s="1"/>
  <c r="Y11" i="2"/>
  <c r="J12" i="2"/>
  <c r="T48" i="2"/>
  <c r="M48" i="2"/>
  <c r="AB48" i="2" s="1"/>
  <c r="T10" i="2"/>
  <c r="Q9" i="2"/>
  <c r="Y10" i="2"/>
  <c r="E10" i="2"/>
  <c r="L10" i="2"/>
  <c r="E22" i="2"/>
  <c r="L22" i="2"/>
  <c r="E29" i="2"/>
  <c r="L29" i="2"/>
  <c r="E33" i="2"/>
  <c r="L33" i="2"/>
  <c r="E36" i="2"/>
  <c r="L36" i="2"/>
  <c r="E44" i="2"/>
  <c r="L44" i="2"/>
  <c r="E45" i="2"/>
  <c r="L45" i="2"/>
  <c r="E46" i="2"/>
  <c r="L46" i="2"/>
  <c r="E47" i="2"/>
  <c r="L47" i="2"/>
  <c r="E48" i="2"/>
  <c r="L48" i="2"/>
  <c r="E51" i="2"/>
  <c r="L51" i="2"/>
  <c r="E52" i="2"/>
  <c r="L52" i="2"/>
  <c r="E53" i="2"/>
  <c r="L53" i="2"/>
  <c r="E54" i="2"/>
  <c r="L54" i="2"/>
  <c r="E55" i="2"/>
  <c r="L55" i="2"/>
  <c r="E11" i="2"/>
  <c r="L11" i="2"/>
  <c r="E12" i="2"/>
  <c r="L12" i="2"/>
  <c r="E13" i="2"/>
  <c r="L13" i="2"/>
  <c r="E20" i="2"/>
  <c r="L20" i="2"/>
  <c r="E24" i="2"/>
  <c r="L24" i="2"/>
  <c r="E30" i="2"/>
  <c r="L30" i="2"/>
  <c r="E34" i="2"/>
  <c r="L34" i="2"/>
  <c r="E38" i="2"/>
  <c r="L38" i="2"/>
  <c r="E39" i="2"/>
  <c r="L39" i="2"/>
  <c r="E42" i="2"/>
  <c r="L42" i="2"/>
  <c r="E56" i="2"/>
  <c r="L56" i="2"/>
  <c r="M10" i="2"/>
  <c r="E15" i="2"/>
  <c r="M11" i="2"/>
  <c r="AB11" i="2" s="1"/>
  <c r="M12" i="2"/>
  <c r="AB12" i="2" s="1"/>
  <c r="M13" i="2"/>
  <c r="AB13" i="2" s="1"/>
  <c r="M18" i="2"/>
  <c r="AB18" i="2" s="1"/>
  <c r="M23" i="2"/>
  <c r="AB23" i="2" s="1"/>
  <c r="M24" i="2"/>
  <c r="AB24" i="2" s="1"/>
  <c r="M25" i="2"/>
  <c r="AB25" i="2" s="1"/>
  <c r="M27" i="2"/>
  <c r="AB27" i="2" s="1"/>
  <c r="M28" i="2"/>
  <c r="AB28" i="2" s="1"/>
  <c r="M30" i="2"/>
  <c r="AB30" i="2" s="1"/>
  <c r="M35" i="2"/>
  <c r="AB35" i="2" s="1"/>
  <c r="M36" i="2"/>
  <c r="AB36" i="2" s="1"/>
  <c r="M38" i="2"/>
  <c r="AB38" i="2" s="1"/>
  <c r="M40" i="2"/>
  <c r="M41" i="2"/>
  <c r="AB41" i="2" s="1"/>
  <c r="M43" i="2"/>
  <c r="AB43" i="2" s="1"/>
  <c r="M46" i="2"/>
  <c r="AB46" i="2" s="1"/>
  <c r="M47" i="2"/>
  <c r="AB47" i="2" s="1"/>
  <c r="M50" i="2"/>
  <c r="AB50" i="2" s="1"/>
  <c r="M51" i="2"/>
  <c r="AB51" i="2" s="1"/>
  <c r="E16" i="2"/>
  <c r="L16" i="2"/>
  <c r="E17" i="2"/>
  <c r="L17" i="2"/>
  <c r="E18" i="2"/>
  <c r="L18" i="2"/>
  <c r="E21" i="2"/>
  <c r="L21" i="2"/>
  <c r="E23" i="2"/>
  <c r="L23" i="2"/>
  <c r="E26" i="2"/>
  <c r="L26" i="2"/>
  <c r="E27" i="2"/>
  <c r="L27" i="2"/>
  <c r="E28" i="2"/>
  <c r="L28" i="2"/>
  <c r="E31" i="2"/>
  <c r="L31" i="2"/>
  <c r="E41" i="2"/>
  <c r="L41" i="2"/>
  <c r="E43" i="2"/>
  <c r="L43" i="2"/>
  <c r="E50" i="2"/>
  <c r="L50" i="2"/>
  <c r="E19" i="2"/>
  <c r="L19" i="2"/>
  <c r="E25" i="2"/>
  <c r="L25" i="2"/>
  <c r="E32" i="2"/>
  <c r="L32" i="2"/>
  <c r="E35" i="2"/>
  <c r="L35" i="2"/>
  <c r="E37" i="2"/>
  <c r="L37" i="2"/>
  <c r="J10" i="2"/>
  <c r="E40" i="2"/>
  <c r="J11" i="2"/>
  <c r="J13" i="2"/>
  <c r="J14" i="2"/>
  <c r="J20" i="2"/>
  <c r="Y21" i="2"/>
  <c r="Y25" i="2"/>
  <c r="J26" i="2"/>
  <c r="T11" i="2"/>
  <c r="R49" i="2"/>
  <c r="G9" i="2"/>
  <c r="Y17" i="2"/>
  <c r="J18" i="2"/>
  <c r="Y18" i="2"/>
  <c r="J19" i="2"/>
  <c r="V9" i="2"/>
  <c r="J29" i="2"/>
  <c r="Y29" i="2"/>
  <c r="J30" i="2"/>
  <c r="Y30" i="2"/>
  <c r="J33" i="2"/>
  <c r="J35" i="2"/>
  <c r="Y35" i="2"/>
  <c r="Y38" i="2"/>
  <c r="G49" i="2"/>
  <c r="Y52" i="2"/>
  <c r="J53" i="2"/>
  <c r="Y54" i="2"/>
  <c r="J56" i="2"/>
  <c r="Y56" i="2"/>
  <c r="E14" i="2"/>
  <c r="W9" i="2"/>
  <c r="H9" i="2"/>
  <c r="W49" i="2"/>
  <c r="H49" i="2"/>
  <c r="V49" i="2"/>
  <c r="Q49" i="2"/>
  <c r="T50" i="2"/>
  <c r="B49" i="2"/>
  <c r="Y20" i="2"/>
  <c r="J17" i="2"/>
  <c r="R9" i="2"/>
  <c r="B9" i="2"/>
  <c r="J34" i="2"/>
  <c r="C49" i="2"/>
  <c r="C9" i="2"/>
  <c r="AD15" i="2" l="1"/>
  <c r="O15" i="2"/>
  <c r="O14" i="2"/>
  <c r="W8" i="2"/>
  <c r="AD14" i="2"/>
  <c r="G8" i="2"/>
  <c r="T9" i="2"/>
  <c r="Q8" i="2"/>
  <c r="M49" i="2"/>
  <c r="AB49" i="2" s="1"/>
  <c r="Y9" i="2"/>
  <c r="H8" i="2"/>
  <c r="Y49" i="2"/>
  <c r="J9" i="2"/>
  <c r="L49" i="2"/>
  <c r="J49" i="2"/>
  <c r="AA35" i="2"/>
  <c r="O35" i="2"/>
  <c r="AA25" i="2"/>
  <c r="O25" i="2"/>
  <c r="AA50" i="2"/>
  <c r="O50" i="2"/>
  <c r="AA41" i="2"/>
  <c r="O41" i="2"/>
  <c r="AA28" i="2"/>
  <c r="O28" i="2"/>
  <c r="AA26" i="2"/>
  <c r="O26" i="2"/>
  <c r="AA21" i="2"/>
  <c r="O21" i="2"/>
  <c r="AA17" i="2"/>
  <c r="O17" i="2"/>
  <c r="AA42" i="2"/>
  <c r="O42" i="2"/>
  <c r="AA38" i="2"/>
  <c r="O38" i="2"/>
  <c r="AA30" i="2"/>
  <c r="O30" i="2"/>
  <c r="AA20" i="2"/>
  <c r="O20" i="2"/>
  <c r="AA12" i="2"/>
  <c r="O12" i="2"/>
  <c r="AA55" i="2"/>
  <c r="O55" i="2"/>
  <c r="AA53" i="2"/>
  <c r="O53" i="2"/>
  <c r="AA51" i="2"/>
  <c r="O51" i="2"/>
  <c r="AA47" i="2"/>
  <c r="O47" i="2"/>
  <c r="AA45" i="2"/>
  <c r="O45" i="2"/>
  <c r="AA36" i="2"/>
  <c r="O36" i="2"/>
  <c r="AA29" i="2"/>
  <c r="O29" i="2"/>
  <c r="AA10" i="2"/>
  <c r="L9" i="2"/>
  <c r="O10" i="2"/>
  <c r="AB10" i="2"/>
  <c r="M9" i="2"/>
  <c r="AA37" i="2"/>
  <c r="O37" i="2"/>
  <c r="AA32" i="2"/>
  <c r="O32" i="2"/>
  <c r="AA19" i="2"/>
  <c r="O19" i="2"/>
  <c r="AA43" i="2"/>
  <c r="O43" i="2"/>
  <c r="AA31" i="2"/>
  <c r="O31" i="2"/>
  <c r="AA27" i="2"/>
  <c r="O27" i="2"/>
  <c r="AA23" i="2"/>
  <c r="O23" i="2"/>
  <c r="AA18" i="2"/>
  <c r="O18" i="2"/>
  <c r="AA16" i="2"/>
  <c r="O16" i="2"/>
  <c r="AB40" i="2"/>
  <c r="AD40" i="2" s="1"/>
  <c r="O40" i="2"/>
  <c r="AA56" i="2"/>
  <c r="O56" i="2"/>
  <c r="AA39" i="2"/>
  <c r="O39" i="2"/>
  <c r="AA34" i="2"/>
  <c r="O34" i="2"/>
  <c r="AA24" i="2"/>
  <c r="O24" i="2"/>
  <c r="AA13" i="2"/>
  <c r="O13" i="2"/>
  <c r="AA11" i="2"/>
  <c r="O11" i="2"/>
  <c r="AA54" i="2"/>
  <c r="O54" i="2"/>
  <c r="AA52" i="2"/>
  <c r="O52" i="2"/>
  <c r="AA48" i="2"/>
  <c r="O48" i="2"/>
  <c r="AA46" i="2"/>
  <c r="O46" i="2"/>
  <c r="AA44" i="2"/>
  <c r="O44" i="2"/>
  <c r="AA33" i="2"/>
  <c r="O33" i="2"/>
  <c r="AA22" i="2"/>
  <c r="O22" i="2"/>
  <c r="V8" i="2"/>
  <c r="E49" i="2"/>
  <c r="B8" i="2"/>
  <c r="T49" i="2"/>
  <c r="R8" i="2"/>
  <c r="E9" i="2"/>
  <c r="C8" i="2"/>
  <c r="J8" i="2" l="1"/>
  <c r="Y8" i="2"/>
  <c r="AD45" i="2"/>
  <c r="M8" i="2"/>
  <c r="AD36" i="2"/>
  <c r="AD12" i="2"/>
  <c r="AD30" i="2"/>
  <c r="AD28" i="2"/>
  <c r="AD22" i="2"/>
  <c r="AD44" i="2"/>
  <c r="AD48" i="2"/>
  <c r="AD54" i="2"/>
  <c r="AD13" i="2"/>
  <c r="AD34" i="2"/>
  <c r="AD56" i="2"/>
  <c r="AD16" i="2"/>
  <c r="AD23" i="2"/>
  <c r="AD19" i="2"/>
  <c r="AD37" i="2"/>
  <c r="AD47" i="2"/>
  <c r="AD35" i="2"/>
  <c r="AD53" i="2"/>
  <c r="AD21" i="2"/>
  <c r="AD50" i="2"/>
  <c r="AD33" i="2"/>
  <c r="AD46" i="2"/>
  <c r="AD52" i="2"/>
  <c r="AD11" i="2"/>
  <c r="AD39" i="2"/>
  <c r="AD18" i="2"/>
  <c r="AD27" i="2"/>
  <c r="AD43" i="2"/>
  <c r="AD32" i="2"/>
  <c r="AD42" i="2"/>
  <c r="AD29" i="2"/>
  <c r="AD51" i="2"/>
  <c r="AD55" i="2"/>
  <c r="AD20" i="2"/>
  <c r="AD38" i="2"/>
  <c r="AD17" i="2"/>
  <c r="AD26" i="2"/>
  <c r="AD41" i="2"/>
  <c r="AD25" i="2"/>
  <c r="AD31" i="2"/>
  <c r="AD24" i="2"/>
  <c r="T8" i="2"/>
  <c r="AA49" i="2"/>
  <c r="O49" i="2"/>
  <c r="L8" i="2"/>
  <c r="O9" i="2"/>
  <c r="AA9" i="2"/>
  <c r="AD10" i="2"/>
  <c r="AB9" i="2"/>
  <c r="AB8" i="2" s="1"/>
  <c r="E8" i="2"/>
  <c r="Q12" i="3"/>
  <c r="W14" i="3"/>
  <c r="I54" i="3"/>
  <c r="W39" i="3"/>
  <c r="G15" i="3"/>
  <c r="D35" i="3"/>
  <c r="V33" i="3"/>
  <c r="X44" i="3"/>
  <c r="R42" i="3"/>
  <c r="S43" i="3"/>
  <c r="I44" i="3"/>
  <c r="N53" i="3"/>
  <c r="S33" i="3"/>
  <c r="AC31" i="3"/>
  <c r="I31" i="3"/>
  <c r="S21" i="3"/>
  <c r="V15" i="3"/>
  <c r="W53" i="3"/>
  <c r="R47" i="3"/>
  <c r="D12" i="3"/>
  <c r="G32" i="3"/>
  <c r="X51" i="3"/>
  <c r="G50" i="3"/>
  <c r="AC54" i="3"/>
  <c r="H52" i="3"/>
  <c r="V11" i="3"/>
  <c r="H28" i="3"/>
  <c r="D28" i="3"/>
  <c r="X43" i="3"/>
  <c r="R37" i="3"/>
  <c r="V43" i="3"/>
  <c r="G41" i="3"/>
  <c r="V18" i="3"/>
  <c r="R15" i="3"/>
  <c r="R26" i="3"/>
  <c r="D40" i="3"/>
  <c r="G45" i="3"/>
  <c r="N27" i="3"/>
  <c r="Q27" i="3"/>
  <c r="H51" i="3"/>
  <c r="S12" i="3"/>
  <c r="AC50" i="3"/>
  <c r="W36" i="3"/>
  <c r="X27" i="3"/>
  <c r="X56" i="3"/>
  <c r="AC23" i="3"/>
  <c r="H39" i="3"/>
  <c r="R54" i="3"/>
  <c r="V51" i="3"/>
  <c r="D21" i="3"/>
  <c r="S10" i="3"/>
  <c r="S20" i="3"/>
  <c r="R30" i="3"/>
  <c r="S47" i="3"/>
  <c r="R18" i="3"/>
  <c r="X54" i="3"/>
  <c r="W31" i="3"/>
  <c r="S22" i="3"/>
  <c r="G27" i="3"/>
  <c r="W50" i="3"/>
  <c r="N26" i="3"/>
  <c r="S55" i="3"/>
  <c r="D51" i="3"/>
  <c r="X11" i="3"/>
  <c r="AC12" i="3"/>
  <c r="V40" i="3"/>
  <c r="R48" i="3"/>
  <c r="V12" i="3"/>
  <c r="X55" i="3"/>
  <c r="AC29" i="3"/>
  <c r="I27" i="3"/>
  <c r="Q42" i="3"/>
  <c r="W24" i="3"/>
  <c r="H26" i="3"/>
  <c r="D46" i="3"/>
  <c r="D43" i="3"/>
  <c r="Q20" i="3"/>
  <c r="H23" i="3"/>
  <c r="X19" i="3"/>
  <c r="Q28" i="3"/>
  <c r="N32" i="3"/>
  <c r="R13" i="3"/>
  <c r="I19" i="3"/>
  <c r="H40" i="3"/>
  <c r="Q19" i="3"/>
  <c r="V53" i="3"/>
  <c r="W11" i="3"/>
  <c r="N54" i="3"/>
  <c r="I39" i="3"/>
  <c r="N44" i="3"/>
  <c r="H17" i="3"/>
  <c r="R55" i="3"/>
  <c r="I24" i="3"/>
  <c r="AC37" i="3"/>
  <c r="R29" i="3"/>
  <c r="R31" i="3"/>
  <c r="H54" i="3"/>
  <c r="D45" i="3"/>
  <c r="N23" i="3"/>
  <c r="D32" i="3"/>
  <c r="G46" i="3"/>
  <c r="X39" i="3"/>
  <c r="R28" i="3"/>
  <c r="I53" i="3"/>
  <c r="W40" i="3"/>
  <c r="N21" i="3"/>
  <c r="Q17" i="3"/>
  <c r="H14" i="3"/>
  <c r="N55" i="3"/>
  <c r="N28" i="3"/>
  <c r="I13" i="3"/>
  <c r="AC56" i="3"/>
  <c r="H36" i="3"/>
  <c r="H50" i="3"/>
  <c r="Q38" i="3"/>
  <c r="Q22" i="3"/>
  <c r="Q10" i="3"/>
  <c r="N18" i="3"/>
  <c r="D26" i="3"/>
  <c r="G51" i="3"/>
  <c r="I17" i="3"/>
  <c r="G43" i="3"/>
  <c r="X31" i="3"/>
  <c r="X17" i="3"/>
  <c r="W52" i="3"/>
  <c r="W46" i="3"/>
  <c r="S42" i="3"/>
  <c r="X16" i="3"/>
  <c r="D38" i="3"/>
  <c r="H12" i="3"/>
  <c r="X36" i="3"/>
  <c r="I40" i="3"/>
  <c r="D13" i="3"/>
  <c r="V46" i="3"/>
  <c r="N52" i="3"/>
  <c r="G31" i="3"/>
  <c r="S45" i="3"/>
  <c r="W35" i="3"/>
  <c r="N42" i="3"/>
  <c r="AC38" i="3"/>
  <c r="H34" i="3"/>
  <c r="S23" i="3"/>
  <c r="V50" i="3"/>
  <c r="Q40" i="3"/>
  <c r="Q15" i="3"/>
  <c r="R16" i="3"/>
  <c r="S19" i="3"/>
  <c r="G24" i="3"/>
  <c r="W17" i="3"/>
  <c r="V47" i="3"/>
  <c r="Q35" i="3"/>
  <c r="R52" i="3"/>
  <c r="V35" i="3"/>
  <c r="S46" i="3"/>
  <c r="G10" i="3"/>
  <c r="V13" i="3"/>
  <c r="G18" i="3"/>
  <c r="G22" i="3"/>
  <c r="D55" i="3"/>
  <c r="AC53" i="3"/>
  <c r="V25" i="3"/>
  <c r="W34" i="3"/>
  <c r="AC34" i="3"/>
  <c r="I10" i="3"/>
  <c r="R35" i="3"/>
  <c r="S40" i="3"/>
  <c r="AC39" i="3"/>
  <c r="N14" i="3"/>
  <c r="AC20" i="3"/>
  <c r="Q24" i="3"/>
  <c r="G30" i="3"/>
  <c r="R56" i="3"/>
  <c r="Q33" i="3"/>
  <c r="S53" i="3"/>
  <c r="X35" i="3"/>
  <c r="Q13" i="3"/>
  <c r="S28" i="3"/>
  <c r="AC30" i="3"/>
  <c r="G23" i="3"/>
  <c r="H47" i="3"/>
  <c r="V17" i="3"/>
  <c r="N51" i="3"/>
  <c r="V44" i="3"/>
  <c r="I11" i="3"/>
  <c r="R17" i="3"/>
  <c r="D10" i="3"/>
  <c r="N12" i="3"/>
  <c r="X20" i="3"/>
  <c r="G17" i="3"/>
  <c r="R32" i="3"/>
  <c r="H30" i="3"/>
  <c r="Q46" i="3"/>
  <c r="I29" i="3"/>
  <c r="AC33" i="3"/>
  <c r="V22" i="3"/>
  <c r="D20" i="3"/>
  <c r="G39" i="3"/>
  <c r="V29" i="3"/>
  <c r="I21" i="3"/>
  <c r="S26" i="3"/>
  <c r="H22" i="3"/>
  <c r="N39" i="3"/>
  <c r="H43" i="3"/>
  <c r="G20" i="3"/>
  <c r="Q30" i="3"/>
  <c r="R33" i="3"/>
  <c r="Q41" i="3"/>
  <c r="D25" i="3"/>
  <c r="AC40" i="3"/>
  <c r="I56" i="3"/>
  <c r="H18" i="3"/>
  <c r="R25" i="3"/>
  <c r="V36" i="3"/>
  <c r="X47" i="3"/>
  <c r="D53" i="3"/>
  <c r="V19" i="3"/>
  <c r="S25" i="3"/>
  <c r="W54" i="3"/>
  <c r="X33" i="3"/>
  <c r="R27" i="3"/>
  <c r="N36" i="3"/>
  <c r="R43" i="3"/>
  <c r="G21" i="3"/>
  <c r="X50" i="3"/>
  <c r="N33" i="3"/>
  <c r="V23" i="3"/>
  <c r="S48" i="3"/>
  <c r="AC24" i="3"/>
  <c r="D50" i="3"/>
  <c r="W22" i="3"/>
  <c r="G29" i="3"/>
  <c r="R36" i="3"/>
  <c r="H48" i="3"/>
  <c r="D33" i="3"/>
  <c r="X48" i="3"/>
  <c r="D39" i="3"/>
  <c r="H53" i="3"/>
  <c r="AC21" i="3"/>
  <c r="W27" i="3"/>
  <c r="G47" i="3"/>
  <c r="S54" i="3"/>
  <c r="AC55" i="3"/>
  <c r="H10" i="3"/>
  <c r="Q31" i="3"/>
  <c r="W42" i="3"/>
  <c r="G44" i="3"/>
  <c r="I14" i="3"/>
  <c r="S27" i="3"/>
  <c r="G53" i="3"/>
  <c r="H21" i="3"/>
  <c r="V32" i="3"/>
  <c r="N22" i="3"/>
  <c r="R38" i="3"/>
  <c r="AC48" i="3"/>
  <c r="R21" i="3"/>
  <c r="G19" i="3"/>
  <c r="V39" i="3"/>
  <c r="AC19" i="3"/>
  <c r="W29" i="3"/>
  <c r="I47" i="3"/>
  <c r="S35" i="3"/>
  <c r="AC52" i="3"/>
  <c r="X21" i="3"/>
  <c r="I48" i="3"/>
  <c r="V10" i="3"/>
  <c r="I51" i="3"/>
  <c r="V24" i="3"/>
  <c r="I52" i="3"/>
  <c r="W28" i="3"/>
  <c r="N41" i="3"/>
  <c r="N38" i="3"/>
  <c r="W48" i="3"/>
  <c r="R51" i="3"/>
  <c r="S31" i="3"/>
  <c r="V27" i="3"/>
  <c r="X22" i="3"/>
  <c r="W26" i="3"/>
  <c r="I50" i="3"/>
  <c r="Q47" i="3"/>
  <c r="V37" i="3"/>
  <c r="D22" i="3"/>
  <c r="N35" i="3"/>
  <c r="I43" i="3"/>
  <c r="Q52" i="3"/>
  <c r="G55" i="3"/>
  <c r="Q18" i="3"/>
  <c r="V26" i="3"/>
  <c r="Q29" i="3"/>
  <c r="S51" i="3"/>
  <c r="N24" i="3"/>
  <c r="D48" i="3"/>
  <c r="G38" i="3"/>
  <c r="S18" i="3"/>
  <c r="N16" i="3"/>
  <c r="H56" i="3"/>
  <c r="H55" i="3"/>
  <c r="AC11" i="3"/>
  <c r="R11" i="3"/>
  <c r="Q43" i="3"/>
  <c r="W20" i="3"/>
  <c r="I33" i="3"/>
  <c r="H20" i="3"/>
  <c r="W10" i="3"/>
  <c r="S17" i="3"/>
  <c r="I41" i="3"/>
  <c r="X25" i="3"/>
  <c r="G54" i="3"/>
  <c r="Q56" i="3"/>
  <c r="D27" i="3"/>
  <c r="W23" i="3"/>
  <c r="S14" i="3"/>
  <c r="Q26" i="3"/>
  <c r="AC36" i="3"/>
  <c r="D14" i="3"/>
  <c r="D19" i="3"/>
  <c r="N25" i="3"/>
  <c r="Q21" i="3"/>
  <c r="G13" i="3"/>
  <c r="S15" i="3"/>
  <c r="W56" i="3"/>
  <c r="V55" i="3"/>
  <c r="H38" i="3"/>
  <c r="N30" i="3"/>
  <c r="R24" i="3"/>
  <c r="G48" i="3"/>
  <c r="D18" i="3"/>
  <c r="G33" i="3"/>
  <c r="R50" i="3"/>
  <c r="H31" i="3"/>
  <c r="I23" i="3"/>
  <c r="H29" i="3"/>
  <c r="W47" i="3"/>
  <c r="I30" i="3"/>
  <c r="I20" i="3"/>
  <c r="I35" i="3"/>
  <c r="N45" i="3"/>
  <c r="AC46" i="3"/>
  <c r="X24" i="3"/>
  <c r="S16" i="3"/>
  <c r="X40" i="3"/>
  <c r="S30" i="3"/>
  <c r="H33" i="3"/>
  <c r="H16" i="3"/>
  <c r="R22" i="3"/>
  <c r="I22" i="3"/>
  <c r="AC45" i="3"/>
  <c r="I46" i="3"/>
  <c r="AC28" i="3"/>
  <c r="I32" i="3"/>
  <c r="X52" i="3"/>
  <c r="N40" i="3"/>
  <c r="AC15" i="3"/>
  <c r="AC43" i="3"/>
  <c r="Q37" i="3"/>
  <c r="R12" i="3"/>
  <c r="Q48" i="3"/>
  <c r="R10" i="3"/>
  <c r="X28" i="3"/>
  <c r="X37" i="3"/>
  <c r="G26" i="3"/>
  <c r="W38" i="3"/>
  <c r="Q54" i="3"/>
  <c r="I15" i="3"/>
  <c r="S36" i="3"/>
  <c r="W19" i="3"/>
  <c r="H25" i="3"/>
  <c r="X18" i="3"/>
  <c r="G52" i="3"/>
  <c r="D54" i="3"/>
  <c r="X14" i="3"/>
  <c r="V21" i="3"/>
  <c r="V14" i="3"/>
  <c r="AC18" i="3"/>
  <c r="W16" i="3"/>
  <c r="Q34" i="3"/>
  <c r="S24" i="3"/>
  <c r="N50" i="3"/>
  <c r="Q14" i="3"/>
  <c r="AC32" i="3"/>
  <c r="R44" i="3"/>
  <c r="AC44" i="3"/>
  <c r="V45" i="3"/>
  <c r="G36" i="3"/>
  <c r="AC27" i="3"/>
  <c r="H44" i="3"/>
  <c r="W37" i="3"/>
  <c r="S52" i="3"/>
  <c r="Q36" i="3"/>
  <c r="W33" i="3"/>
  <c r="N37" i="3"/>
  <c r="G40" i="3"/>
  <c r="W51" i="3"/>
  <c r="AC10" i="3"/>
  <c r="G14" i="3"/>
  <c r="D47" i="3"/>
  <c r="X42" i="3"/>
  <c r="G12" i="3"/>
  <c r="G35" i="3"/>
  <c r="D11" i="3"/>
  <c r="H32" i="3"/>
  <c r="D17" i="3"/>
  <c r="W21" i="3"/>
  <c r="V48" i="3"/>
  <c r="S39" i="3"/>
  <c r="D31" i="3"/>
  <c r="S44" i="3"/>
  <c r="AC13" i="3"/>
  <c r="H11" i="3"/>
  <c r="N11" i="3"/>
  <c r="W30" i="3"/>
  <c r="AC35" i="3"/>
  <c r="Q51" i="3"/>
  <c r="W13" i="3"/>
  <c r="X32" i="3"/>
  <c r="X10" i="3"/>
  <c r="R20" i="3"/>
  <c r="H42" i="3"/>
  <c r="I16" i="3"/>
  <c r="D56" i="3"/>
  <c r="R39" i="3"/>
  <c r="V28" i="3"/>
  <c r="R19" i="3"/>
  <c r="D23" i="3"/>
  <c r="G34" i="3"/>
  <c r="V34" i="3"/>
  <c r="I28" i="3"/>
  <c r="W12" i="3"/>
  <c r="H37" i="3"/>
  <c r="I37" i="3"/>
  <c r="I42" i="3"/>
  <c r="Q44" i="3"/>
  <c r="D36" i="3"/>
  <c r="AC22" i="3"/>
  <c r="I25" i="3"/>
  <c r="I36" i="3"/>
  <c r="V52" i="3"/>
  <c r="I26" i="3"/>
  <c r="G37" i="3"/>
  <c r="AC26" i="3"/>
  <c r="X41" i="3"/>
  <c r="W32" i="3"/>
  <c r="AC16" i="3"/>
  <c r="V20" i="3"/>
  <c r="V54" i="3"/>
  <c r="AC41" i="3"/>
  <c r="V42" i="3"/>
  <c r="N20" i="3"/>
  <c r="H45" i="3"/>
  <c r="AC25" i="3"/>
  <c r="S50" i="3"/>
  <c r="Q39" i="3"/>
  <c r="W15" i="3"/>
  <c r="Q16" i="3"/>
  <c r="I38" i="3"/>
  <c r="Q23" i="3"/>
  <c r="I18" i="3"/>
  <c r="G11" i="3"/>
  <c r="X53" i="3"/>
  <c r="R40" i="3"/>
  <c r="W18" i="3"/>
  <c r="X34" i="3"/>
  <c r="G16" i="3"/>
  <c r="Q25" i="3"/>
  <c r="N10" i="3"/>
  <c r="S32" i="3"/>
  <c r="G25" i="3"/>
  <c r="X23" i="3"/>
  <c r="N19" i="3"/>
  <c r="AC14" i="3"/>
  <c r="Q50" i="3"/>
  <c r="X38" i="3"/>
  <c r="S38" i="3"/>
  <c r="H19" i="3"/>
  <c r="R23" i="3"/>
  <c r="I12" i="3"/>
  <c r="AC42" i="3"/>
  <c r="N31" i="3"/>
  <c r="Q45" i="3"/>
  <c r="S29" i="3"/>
  <c r="D30" i="3"/>
  <c r="Q55" i="3"/>
  <c r="Q53" i="3"/>
  <c r="W43" i="3"/>
  <c r="N56" i="3"/>
  <c r="I34" i="3"/>
  <c r="AC47" i="3"/>
  <c r="G28" i="3"/>
  <c r="D15" i="3"/>
  <c r="S56" i="3"/>
  <c r="X13" i="3"/>
  <c r="R41" i="3"/>
  <c r="D42" i="3"/>
  <c r="X29" i="3"/>
  <c r="W25" i="3"/>
  <c r="S34" i="3"/>
  <c r="H15" i="3"/>
  <c r="N15" i="3"/>
  <c r="N47" i="3"/>
  <c r="R34" i="3"/>
  <c r="V38" i="3"/>
  <c r="R46" i="3"/>
  <c r="X26" i="3"/>
  <c r="V16" i="3"/>
  <c r="W55" i="3"/>
  <c r="AC17" i="3"/>
  <c r="S13" i="3"/>
  <c r="S41" i="3"/>
  <c r="X46" i="3"/>
  <c r="N48" i="3"/>
  <c r="D52" i="3"/>
  <c r="G56" i="3"/>
  <c r="Q11" i="3"/>
  <c r="V56" i="3"/>
  <c r="V30" i="3"/>
  <c r="N34" i="3"/>
  <c r="X12" i="3"/>
  <c r="X45" i="3"/>
  <c r="V31" i="3"/>
  <c r="H46" i="3"/>
  <c r="N46" i="3"/>
  <c r="S11" i="3"/>
  <c r="N13" i="3"/>
  <c r="W45" i="3"/>
  <c r="R45" i="3"/>
  <c r="S37" i="3"/>
  <c r="D37" i="3"/>
  <c r="D29" i="3"/>
  <c r="G42" i="3"/>
  <c r="R53" i="3"/>
  <c r="AC51" i="3"/>
  <c r="W41" i="3"/>
  <c r="N17" i="3"/>
  <c r="D16" i="3"/>
  <c r="R14" i="3"/>
  <c r="D44" i="3"/>
  <c r="D34" i="3"/>
  <c r="V41" i="3"/>
  <c r="D24" i="3"/>
  <c r="D41" i="3"/>
  <c r="X15" i="3"/>
  <c r="H35" i="3"/>
  <c r="I55" i="3"/>
  <c r="Q32" i="3"/>
  <c r="I45" i="3"/>
  <c r="N43" i="3"/>
  <c r="H27" i="3"/>
  <c r="N29" i="3"/>
  <c r="H41" i="3"/>
  <c r="W44" i="3"/>
  <c r="X30" i="3"/>
  <c r="H24" i="3"/>
  <c r="H13" i="3"/>
  <c r="Y30" i="3" l="1"/>
  <c r="Y28" i="4" s="1"/>
  <c r="X28" i="4"/>
  <c r="N27" i="4"/>
  <c r="N41" i="4"/>
  <c r="I43" i="4"/>
  <c r="I53" i="4"/>
  <c r="Y15" i="3"/>
  <c r="Y13" i="4" s="1"/>
  <c r="X13" i="4"/>
  <c r="D39" i="4"/>
  <c r="D22" i="4"/>
  <c r="D32" i="4"/>
  <c r="D42" i="4"/>
  <c r="D14" i="4"/>
  <c r="N15" i="4"/>
  <c r="AC49" i="4"/>
  <c r="D27" i="4"/>
  <c r="D35" i="4"/>
  <c r="T37" i="3"/>
  <c r="T35" i="4" s="1"/>
  <c r="S35" i="4"/>
  <c r="N11" i="4"/>
  <c r="T11" i="3"/>
  <c r="T9" i="4" s="1"/>
  <c r="S9" i="4"/>
  <c r="N44" i="4"/>
  <c r="X43" i="4"/>
  <c r="Y45" i="3"/>
  <c r="Y43" i="4" s="1"/>
  <c r="Y12" i="3"/>
  <c r="Y10" i="4" s="1"/>
  <c r="X10" i="4"/>
  <c r="N32" i="4"/>
  <c r="D50" i="4"/>
  <c r="N46" i="4"/>
  <c r="X44" i="4"/>
  <c r="Y46" i="3"/>
  <c r="Y44" i="4" s="1"/>
  <c r="S39" i="4"/>
  <c r="T41" i="3"/>
  <c r="T39" i="4" s="1"/>
  <c r="T13" i="3"/>
  <c r="T11" i="4" s="1"/>
  <c r="S11" i="4"/>
  <c r="AC15" i="4"/>
  <c r="Y26" i="3"/>
  <c r="Y24" i="4" s="1"/>
  <c r="X24" i="4"/>
  <c r="N45" i="4"/>
  <c r="N13" i="4"/>
  <c r="S32" i="4"/>
  <c r="T34" i="3"/>
  <c r="T32" i="4" s="1"/>
  <c r="X27" i="4"/>
  <c r="Y29" i="3"/>
  <c r="Y27" i="4" s="1"/>
  <c r="D40" i="4"/>
  <c r="Y13" i="3"/>
  <c r="Y11" i="4" s="1"/>
  <c r="X11" i="4"/>
  <c r="T56" i="3"/>
  <c r="T54" i="4" s="1"/>
  <c r="S54" i="4"/>
  <c r="D13" i="4"/>
  <c r="AC45" i="4"/>
  <c r="I32" i="4"/>
  <c r="N54" i="4"/>
  <c r="D28" i="4"/>
  <c r="S27" i="4"/>
  <c r="T29" i="3"/>
  <c r="T27" i="4" s="1"/>
  <c r="N29" i="4"/>
  <c r="AC40" i="4"/>
  <c r="I10" i="4"/>
  <c r="S36" i="4"/>
  <c r="T38" i="3"/>
  <c r="T36" i="4" s="1"/>
  <c r="Y38" i="3"/>
  <c r="Y36" i="4" s="1"/>
  <c r="X36" i="4"/>
  <c r="Q49" i="3"/>
  <c r="AC12" i="4"/>
  <c r="N17" i="4"/>
  <c r="X21" i="4"/>
  <c r="Y23" i="3"/>
  <c r="Y21" i="4" s="1"/>
  <c r="T32" i="3"/>
  <c r="T30" i="4" s="1"/>
  <c r="S30" i="4"/>
  <c r="N9" i="3"/>
  <c r="N8" i="4"/>
  <c r="X32" i="4"/>
  <c r="Y34" i="3"/>
  <c r="Y32" i="4" s="1"/>
  <c r="Y53" i="3"/>
  <c r="Y51" i="4" s="1"/>
  <c r="X51" i="4"/>
  <c r="I16" i="4"/>
  <c r="I7" i="4" s="1"/>
  <c r="I36" i="4"/>
  <c r="S49" i="3"/>
  <c r="T50" i="3"/>
  <c r="T48" i="4" s="1"/>
  <c r="S48" i="4"/>
  <c r="S47" i="4" s="1"/>
  <c r="AC23" i="4"/>
  <c r="N18" i="4"/>
  <c r="AC39" i="4"/>
  <c r="AC14" i="4"/>
  <c r="X39" i="4"/>
  <c r="Y41" i="3"/>
  <c r="Y39" i="4" s="1"/>
  <c r="AC24" i="4"/>
  <c r="I24" i="4"/>
  <c r="I34" i="4"/>
  <c r="I23" i="4"/>
  <c r="AC20" i="4"/>
  <c r="D34" i="4"/>
  <c r="I40" i="4"/>
  <c r="I35" i="4"/>
  <c r="I26" i="4"/>
  <c r="D21" i="4"/>
  <c r="D54" i="4"/>
  <c r="I14" i="4"/>
  <c r="Y10" i="3"/>
  <c r="Y8" i="4" s="1"/>
  <c r="X9" i="3"/>
  <c r="X8" i="3" s="1"/>
  <c r="X8" i="4"/>
  <c r="X30" i="4"/>
  <c r="Y32" i="3"/>
  <c r="Y30" i="4" s="1"/>
  <c r="AC33" i="4"/>
  <c r="N9" i="4"/>
  <c r="AC11" i="4"/>
  <c r="S42" i="4"/>
  <c r="T44" i="3"/>
  <c r="T42" i="4" s="1"/>
  <c r="D29" i="4"/>
  <c r="T39" i="3"/>
  <c r="T37" i="4" s="1"/>
  <c r="S37" i="4"/>
  <c r="D15" i="4"/>
  <c r="D9" i="4"/>
  <c r="X40" i="4"/>
  <c r="Y42" i="3"/>
  <c r="Y40" i="4" s="1"/>
  <c r="D45" i="4"/>
  <c r="AC9" i="3"/>
  <c r="AC8" i="4"/>
  <c r="N35" i="4"/>
  <c r="S50" i="4"/>
  <c r="T52" i="3"/>
  <c r="T50" i="4" s="1"/>
  <c r="AC25" i="4"/>
  <c r="AC42" i="4"/>
  <c r="AC30" i="4"/>
  <c r="N48" i="4"/>
  <c r="N49" i="3"/>
  <c r="T24" i="3"/>
  <c r="T22" i="4" s="1"/>
  <c r="S22" i="4"/>
  <c r="AC16" i="4"/>
  <c r="Y14" i="3"/>
  <c r="Y12" i="4" s="1"/>
  <c r="X12" i="4"/>
  <c r="D52" i="4"/>
  <c r="Y18" i="3"/>
  <c r="Y16" i="4" s="1"/>
  <c r="X16" i="4"/>
  <c r="T36" i="3"/>
  <c r="T34" i="4" s="1"/>
  <c r="S34" i="4"/>
  <c r="I13" i="4"/>
  <c r="X35" i="4"/>
  <c r="Y37" i="3"/>
  <c r="Y35" i="4" s="1"/>
  <c r="X26" i="4"/>
  <c r="Y28" i="3"/>
  <c r="Y26" i="4" s="1"/>
  <c r="R8" i="4"/>
  <c r="AC41" i="4"/>
  <c r="AC13" i="4"/>
  <c r="N38" i="4"/>
  <c r="X50" i="4"/>
  <c r="Y52" i="3"/>
  <c r="Y50" i="4" s="1"/>
  <c r="I30" i="4"/>
  <c r="AC26" i="4"/>
  <c r="I44" i="4"/>
  <c r="AC43" i="4"/>
  <c r="I20" i="4"/>
  <c r="T30" i="3"/>
  <c r="T28" i="4" s="1"/>
  <c r="S28" i="4"/>
  <c r="X38" i="4"/>
  <c r="Y40" i="3"/>
  <c r="Y38" i="4" s="1"/>
  <c r="S14" i="4"/>
  <c r="T16" i="3"/>
  <c r="T14" i="4" s="1"/>
  <c r="X22" i="4"/>
  <c r="Y24" i="3"/>
  <c r="Y22" i="4" s="1"/>
  <c r="AC44" i="4"/>
  <c r="N43" i="4"/>
  <c r="I33" i="4"/>
  <c r="I18" i="4"/>
  <c r="I28" i="4"/>
  <c r="I21" i="4"/>
  <c r="R49" i="3"/>
  <c r="D16" i="4"/>
  <c r="N28" i="4"/>
  <c r="T15" i="3"/>
  <c r="T13" i="4" s="1"/>
  <c r="S13" i="4"/>
  <c r="N23" i="4"/>
  <c r="D17" i="4"/>
  <c r="D12" i="4"/>
  <c r="AC34" i="4"/>
  <c r="S12" i="4"/>
  <c r="T14" i="3"/>
  <c r="T12" i="4" s="1"/>
  <c r="D25" i="4"/>
  <c r="Y25" i="3"/>
  <c r="Y23" i="4" s="1"/>
  <c r="X23" i="4"/>
  <c r="I39" i="4"/>
  <c r="S15" i="4"/>
  <c r="T17" i="3"/>
  <c r="T15" i="4" s="1"/>
  <c r="I31" i="4"/>
  <c r="AC9" i="4"/>
  <c r="N14" i="4"/>
  <c r="T18" i="3"/>
  <c r="T16" i="4" s="1"/>
  <c r="S16" i="4"/>
  <c r="D46" i="4"/>
  <c r="N22" i="4"/>
  <c r="T51" i="3"/>
  <c r="T49" i="4" s="1"/>
  <c r="S49" i="4"/>
  <c r="I41" i="4"/>
  <c r="N33" i="4"/>
  <c r="D20" i="4"/>
  <c r="I48" i="4"/>
  <c r="I47" i="4" s="1"/>
  <c r="I49" i="3"/>
  <c r="Y22" i="3"/>
  <c r="Y20" i="4" s="1"/>
  <c r="X20" i="4"/>
  <c r="S29" i="4"/>
  <c r="T31" i="3"/>
  <c r="T29" i="4" s="1"/>
  <c r="N36" i="4"/>
  <c r="N39" i="4"/>
  <c r="I50" i="4"/>
  <c r="I49" i="4"/>
  <c r="I46" i="4"/>
  <c r="Y21" i="3"/>
  <c r="Y19" i="4" s="1"/>
  <c r="X19" i="4"/>
  <c r="AC50" i="4"/>
  <c r="T35" i="3"/>
  <c r="T33" i="4" s="1"/>
  <c r="S33" i="4"/>
  <c r="I45" i="4"/>
  <c r="AC17" i="4"/>
  <c r="AC46" i="4"/>
  <c r="N20" i="4"/>
  <c r="S25" i="4"/>
  <c r="T27" i="3"/>
  <c r="T25" i="4" s="1"/>
  <c r="I12" i="4"/>
  <c r="AC53" i="4"/>
  <c r="S52" i="4"/>
  <c r="T54" i="3"/>
  <c r="T52" i="4" s="1"/>
  <c r="AC19" i="4"/>
  <c r="D37" i="4"/>
  <c r="Y48" i="3"/>
  <c r="Y46" i="4" s="1"/>
  <c r="X46" i="4"/>
  <c r="D31" i="4"/>
  <c r="D49" i="3"/>
  <c r="D48" i="4"/>
  <c r="D47" i="4" s="1"/>
  <c r="AC22" i="4"/>
  <c r="T48" i="3"/>
  <c r="T46" i="4" s="1"/>
  <c r="S46" i="4"/>
  <c r="N31" i="4"/>
  <c r="X48" i="4"/>
  <c r="X49" i="3"/>
  <c r="Y50" i="3"/>
  <c r="Y48" i="4" s="1"/>
  <c r="N34" i="4"/>
  <c r="Y33" i="3"/>
  <c r="Y31" i="4" s="1"/>
  <c r="X31" i="4"/>
  <c r="S23" i="4"/>
  <c r="T25" i="3"/>
  <c r="T23" i="4" s="1"/>
  <c r="D51" i="4"/>
  <c r="Y47" i="3"/>
  <c r="Y45" i="4" s="1"/>
  <c r="X45" i="4"/>
  <c r="I54" i="4"/>
  <c r="AC38" i="4"/>
  <c r="D23" i="4"/>
  <c r="N37" i="4"/>
  <c r="T26" i="3"/>
  <c r="T24" i="4" s="1"/>
  <c r="S24" i="4"/>
  <c r="I19" i="4"/>
  <c r="D18" i="4"/>
  <c r="AC31" i="4"/>
  <c r="I27" i="4"/>
  <c r="X18" i="4"/>
  <c r="Y20" i="3"/>
  <c r="Y18" i="4" s="1"/>
  <c r="N10" i="4"/>
  <c r="N7" i="4" s="1"/>
  <c r="D8" i="4"/>
  <c r="D9" i="3"/>
  <c r="I9" i="4"/>
  <c r="N49" i="4"/>
  <c r="N47" i="4" s="1"/>
  <c r="AC28" i="4"/>
  <c r="T28" i="3"/>
  <c r="T26" i="4" s="1"/>
  <c r="S26" i="4"/>
  <c r="X33" i="4"/>
  <c r="Y35" i="3"/>
  <c r="Y33" i="4" s="1"/>
  <c r="T53" i="3"/>
  <c r="T51" i="4" s="1"/>
  <c r="S51" i="4"/>
  <c r="AC18" i="4"/>
  <c r="N12" i="4"/>
  <c r="AC37" i="4"/>
  <c r="T40" i="3"/>
  <c r="T38" i="4" s="1"/>
  <c r="S38" i="4"/>
  <c r="I9" i="3"/>
  <c r="I8" i="4"/>
  <c r="AC32" i="4"/>
  <c r="AC51" i="4"/>
  <c r="AC47" i="4" s="1"/>
  <c r="D53" i="4"/>
  <c r="S44" i="4"/>
  <c r="T46" i="3"/>
  <c r="T44" i="4" s="1"/>
  <c r="S17" i="4"/>
  <c r="T19" i="3"/>
  <c r="T17" i="4" s="1"/>
  <c r="V49" i="3"/>
  <c r="S21" i="4"/>
  <c r="T23" i="3"/>
  <c r="T21" i="4" s="1"/>
  <c r="AC36" i="4"/>
  <c r="N40" i="4"/>
  <c r="T45" i="3"/>
  <c r="T43" i="4" s="1"/>
  <c r="S43" i="4"/>
  <c r="N50" i="4"/>
  <c r="D11" i="4"/>
  <c r="I38" i="4"/>
  <c r="X34" i="4"/>
  <c r="Y36" i="3"/>
  <c r="Y34" i="4" s="1"/>
  <c r="D36" i="4"/>
  <c r="Y16" i="3"/>
  <c r="Y14" i="4" s="1"/>
  <c r="X14" i="4"/>
  <c r="X7" i="4" s="1"/>
  <c r="S40" i="4"/>
  <c r="T42" i="3"/>
  <c r="T40" i="4" s="1"/>
  <c r="X15" i="4"/>
  <c r="Y17" i="3"/>
  <c r="Y15" i="4" s="1"/>
  <c r="Y31" i="3"/>
  <c r="Y29" i="4" s="1"/>
  <c r="X29" i="4"/>
  <c r="I15" i="4"/>
  <c r="D24" i="4"/>
  <c r="N16" i="4"/>
  <c r="AC54" i="4"/>
  <c r="I11" i="4"/>
  <c r="N26" i="4"/>
  <c r="N53" i="4"/>
  <c r="N19" i="4"/>
  <c r="I51" i="4"/>
  <c r="Y39" i="3"/>
  <c r="Y37" i="4" s="1"/>
  <c r="X37" i="4"/>
  <c r="D30" i="4"/>
  <c r="N21" i="4"/>
  <c r="D43" i="4"/>
  <c r="AC35" i="4"/>
  <c r="I22" i="4"/>
  <c r="N42" i="4"/>
  <c r="I37" i="4"/>
  <c r="N52" i="4"/>
  <c r="I17" i="4"/>
  <c r="N30" i="4"/>
  <c r="Y19" i="3"/>
  <c r="Y17" i="4" s="1"/>
  <c r="X17" i="4"/>
  <c r="D41" i="4"/>
  <c r="D44" i="4"/>
  <c r="I25" i="4"/>
  <c r="AC27" i="4"/>
  <c r="X53" i="4"/>
  <c r="Y55" i="3"/>
  <c r="Y53" i="4" s="1"/>
  <c r="AC10" i="4"/>
  <c r="X9" i="4"/>
  <c r="Y11" i="3"/>
  <c r="Y9" i="4" s="1"/>
  <c r="D49" i="4"/>
  <c r="T55" i="3"/>
  <c r="T53" i="4" s="1"/>
  <c r="S53" i="4"/>
  <c r="N24" i="4"/>
  <c r="W49" i="3"/>
  <c r="T22" i="3"/>
  <c r="T20" i="4" s="1"/>
  <c r="S20" i="4"/>
  <c r="Y54" i="3"/>
  <c r="Y52" i="4" s="1"/>
  <c r="X52" i="4"/>
  <c r="T47" i="3"/>
  <c r="T45" i="4" s="1"/>
  <c r="S45" i="4"/>
  <c r="S18" i="4"/>
  <c r="T20" i="3"/>
  <c r="T18" i="4" s="1"/>
  <c r="S8" i="4"/>
  <c r="S7" i="4" s="1"/>
  <c r="S9" i="3"/>
  <c r="T10" i="3"/>
  <c r="T8" i="4" s="1"/>
  <c r="D19" i="4"/>
  <c r="AC21" i="4"/>
  <c r="Y56" i="3"/>
  <c r="Y54" i="4" s="1"/>
  <c r="X54" i="4"/>
  <c r="X25" i="4"/>
  <c r="Y27" i="3"/>
  <c r="Y25" i="4" s="1"/>
  <c r="AC48" i="4"/>
  <c r="AC49" i="3"/>
  <c r="T12" i="3"/>
  <c r="T10" i="4" s="1"/>
  <c r="S10" i="4"/>
  <c r="N25" i="4"/>
  <c r="D38" i="4"/>
  <c r="Y43" i="3"/>
  <c r="Y41" i="4" s="1"/>
  <c r="X41" i="4"/>
  <c r="D26" i="4"/>
  <c r="AC52" i="4"/>
  <c r="X49" i="4"/>
  <c r="Y51" i="3"/>
  <c r="Y49" i="4" s="1"/>
  <c r="D10" i="4"/>
  <c r="T21" i="3"/>
  <c r="T19" i="4" s="1"/>
  <c r="S19" i="4"/>
  <c r="I29" i="4"/>
  <c r="AC29" i="4"/>
  <c r="T33" i="3"/>
  <c r="T31" i="4" s="1"/>
  <c r="S31" i="4"/>
  <c r="N51" i="4"/>
  <c r="I42" i="4"/>
  <c r="S41" i="4"/>
  <c r="T43" i="3"/>
  <c r="T41" i="4" s="1"/>
  <c r="Y44" i="3"/>
  <c r="Y42" i="4" s="1"/>
  <c r="X42" i="4"/>
  <c r="D33" i="4"/>
  <c r="I52" i="4"/>
  <c r="Y49" i="3"/>
  <c r="Y47" i="4" s="1"/>
  <c r="T49" i="3"/>
  <c r="T47" i="4" s="1"/>
  <c r="I8" i="3"/>
  <c r="X47" i="4"/>
  <c r="D8" i="3"/>
  <c r="S8" i="3"/>
  <c r="N8" i="3"/>
  <c r="AC8" i="3"/>
  <c r="D7" i="4"/>
  <c r="AC7" i="4"/>
  <c r="O8" i="2"/>
  <c r="AD49" i="2"/>
  <c r="AA8" i="2"/>
  <c r="AD9" i="2"/>
  <c r="I6" i="4" l="1"/>
  <c r="X6" i="4"/>
  <c r="AC6" i="4"/>
  <c r="S6" i="4"/>
  <c r="N6" i="4"/>
  <c r="D6" i="4"/>
  <c r="AD8" i="2"/>
  <c r="B46" i="3"/>
  <c r="B24" i="3"/>
  <c r="B13" i="3"/>
  <c r="B18" i="3"/>
  <c r="B12" i="3"/>
  <c r="B19" i="3"/>
  <c r="B39" i="3"/>
  <c r="B29" i="3"/>
  <c r="B35" i="3"/>
  <c r="C17" i="3"/>
  <c r="B23" i="3"/>
  <c r="B22" i="3"/>
  <c r="C35" i="3"/>
  <c r="C31" i="3"/>
  <c r="B37" i="3"/>
  <c r="B44" i="3"/>
  <c r="B15" i="3"/>
  <c r="C19" i="3"/>
  <c r="C46" i="3"/>
  <c r="C28" i="3"/>
  <c r="B34" i="3"/>
  <c r="B14" i="3"/>
  <c r="C29" i="3"/>
  <c r="C36" i="3"/>
  <c r="C53" i="3"/>
  <c r="C20" i="3"/>
  <c r="C48" i="3"/>
  <c r="C33" i="3"/>
  <c r="C27" i="3"/>
  <c r="C10" i="3"/>
  <c r="B31" i="3"/>
  <c r="C56" i="3"/>
  <c r="B38" i="3"/>
  <c r="C47" i="3"/>
  <c r="C24" i="3"/>
  <c r="C45" i="3"/>
  <c r="C21" i="3"/>
  <c r="C41" i="3"/>
  <c r="C54" i="3"/>
  <c r="C34" i="3"/>
  <c r="C25" i="3"/>
  <c r="B52" i="3"/>
  <c r="B30" i="3"/>
  <c r="B42" i="3"/>
  <c r="B45" i="3"/>
  <c r="C43" i="3"/>
  <c r="C16" i="3"/>
  <c r="B33" i="3"/>
  <c r="B17" i="3"/>
  <c r="C42" i="3"/>
  <c r="C39" i="3"/>
  <c r="B16" i="3"/>
  <c r="B55" i="3"/>
  <c r="B36" i="3"/>
  <c r="B26" i="3"/>
  <c r="B11" i="3"/>
  <c r="C50" i="3"/>
  <c r="B43" i="3"/>
  <c r="C38" i="3"/>
  <c r="B54" i="3"/>
  <c r="C13" i="3"/>
  <c r="B10" i="3"/>
  <c r="C15" i="3"/>
  <c r="C30" i="3"/>
  <c r="C18" i="3"/>
  <c r="C22" i="3"/>
  <c r="C55" i="3"/>
  <c r="C32" i="3"/>
  <c r="B50" i="3"/>
  <c r="B40" i="3"/>
  <c r="C44" i="3"/>
  <c r="B21" i="3"/>
  <c r="C11" i="3"/>
  <c r="B27" i="3"/>
  <c r="C12" i="3"/>
  <c r="B51" i="3"/>
  <c r="C51" i="3"/>
  <c r="B56" i="3"/>
  <c r="C14" i="3"/>
  <c r="B41" i="3"/>
  <c r="C37" i="3"/>
  <c r="B48" i="3"/>
  <c r="C40" i="3"/>
  <c r="C23" i="3"/>
  <c r="B53" i="3"/>
  <c r="C52" i="3"/>
  <c r="C26" i="3"/>
  <c r="B20" i="3"/>
  <c r="B47" i="3"/>
  <c r="B28" i="3"/>
  <c r="B32" i="3"/>
  <c r="B25" i="3"/>
  <c r="J17" i="3" l="1"/>
  <c r="J15" i="4" s="1"/>
  <c r="J28" i="3"/>
  <c r="J26" i="4" s="1"/>
  <c r="J37" i="3"/>
  <c r="J35" i="4" s="1"/>
  <c r="J53" i="3"/>
  <c r="J51" i="4" s="1"/>
  <c r="J16" i="3"/>
  <c r="J14" i="4" s="1"/>
  <c r="J56" i="3"/>
  <c r="J54" i="4" s="1"/>
  <c r="J52" i="3"/>
  <c r="J50" i="4" s="1"/>
  <c r="J26" i="3"/>
  <c r="J24" i="4" s="1"/>
  <c r="J51" i="3"/>
  <c r="J49" i="4" s="1"/>
  <c r="J33" i="3"/>
  <c r="J31" i="4" s="1"/>
  <c r="J21" i="3"/>
  <c r="J19" i="4" s="1"/>
  <c r="J54" i="3"/>
  <c r="J52" i="4" s="1"/>
  <c r="J31" i="3"/>
  <c r="J29" i="4" s="1"/>
  <c r="J39" i="3"/>
  <c r="J37" i="4" s="1"/>
  <c r="J11" i="3"/>
  <c r="J9" i="4" s="1"/>
  <c r="J32" i="3"/>
  <c r="J30" i="4" s="1"/>
  <c r="J24" i="3"/>
  <c r="J22" i="4" s="1"/>
  <c r="J48" i="3"/>
  <c r="J46" i="4" s="1"/>
  <c r="J12" i="3"/>
  <c r="J10" i="4" s="1"/>
  <c r="J30" i="3"/>
  <c r="J28" i="4" s="1"/>
  <c r="J40" i="3"/>
  <c r="J38" i="4" s="1"/>
  <c r="J55" i="3"/>
  <c r="J53" i="4" s="1"/>
  <c r="J34" i="3"/>
  <c r="J32" i="4" s="1"/>
  <c r="J47" i="3"/>
  <c r="J45" i="4" s="1"/>
  <c r="J29" i="3"/>
  <c r="J27" i="4" s="1"/>
  <c r="J22" i="3"/>
  <c r="J20" i="4" s="1"/>
  <c r="J44" i="3"/>
  <c r="J42" i="4" s="1"/>
  <c r="J43" i="3"/>
  <c r="J41" i="4" s="1"/>
  <c r="J42" i="3"/>
  <c r="J40" i="4" s="1"/>
  <c r="J35" i="3"/>
  <c r="J33" i="4" s="1"/>
  <c r="J13" i="3"/>
  <c r="J11" i="4" s="1"/>
  <c r="J18" i="3"/>
  <c r="J16" i="4" s="1"/>
  <c r="J36" i="3"/>
  <c r="J34" i="4" s="1"/>
  <c r="J38" i="3"/>
  <c r="J36" i="4" s="1"/>
  <c r="J23" i="3"/>
  <c r="J21" i="4" s="1"/>
  <c r="J15" i="3"/>
  <c r="J13" i="4" s="1"/>
  <c r="J46" i="3"/>
  <c r="J44" i="4" s="1"/>
  <c r="J41" i="3"/>
  <c r="J39" i="4" s="1"/>
  <c r="J25" i="3"/>
  <c r="J23" i="4" s="1"/>
  <c r="J19" i="3"/>
  <c r="J17" i="4" s="1"/>
  <c r="J50" i="3"/>
  <c r="J48" i="4" s="1"/>
  <c r="J45" i="3"/>
  <c r="J43" i="4" s="1"/>
  <c r="J27" i="3"/>
  <c r="J25" i="4" s="1"/>
  <c r="J10" i="3"/>
  <c r="J8" i="4" s="1"/>
  <c r="J20" i="3"/>
  <c r="J18" i="4" s="1"/>
  <c r="J14" i="3"/>
  <c r="J12" i="4" s="1"/>
  <c r="E25" i="3"/>
  <c r="E23" i="4" s="1"/>
  <c r="E42" i="3"/>
  <c r="E40" i="4" s="1"/>
  <c r="E14" i="3"/>
  <c r="E12" i="4" s="1"/>
  <c r="E39" i="3"/>
  <c r="E37" i="4" s="1"/>
  <c r="E31" i="3"/>
  <c r="E29" i="4" s="1"/>
  <c r="E51" i="3"/>
  <c r="E49" i="4" s="1"/>
  <c r="E27" i="3"/>
  <c r="E25" i="4" s="1"/>
  <c r="E52" i="3"/>
  <c r="E50" i="4" s="1"/>
  <c r="E35" i="3"/>
  <c r="E33" i="4" s="1"/>
  <c r="E30" i="3"/>
  <c r="E28" i="4" s="1"/>
  <c r="E13" i="3"/>
  <c r="E11" i="4" s="1"/>
  <c r="E36" i="3"/>
  <c r="E34" i="4" s="1"/>
  <c r="E47" i="3"/>
  <c r="E45" i="4" s="1"/>
  <c r="E38" i="3"/>
  <c r="E36" i="4" s="1"/>
  <c r="E29" i="3"/>
  <c r="E27" i="4" s="1"/>
  <c r="E43" i="3"/>
  <c r="E41" i="4" s="1"/>
  <c r="E23" i="3"/>
  <c r="E21" i="4" s="1"/>
  <c r="E46" i="3"/>
  <c r="E44" i="4" s="1"/>
  <c r="E32" i="3"/>
  <c r="E30" i="4" s="1"/>
  <c r="E24" i="3"/>
  <c r="E22" i="4" s="1"/>
  <c r="E11" i="3"/>
  <c r="E9" i="4" s="1"/>
  <c r="E50" i="3"/>
  <c r="E48" i="4" s="1"/>
  <c r="E34" i="3"/>
  <c r="E32" i="4" s="1"/>
  <c r="E16" i="3"/>
  <c r="E14" i="4" s="1"/>
  <c r="E12" i="3"/>
  <c r="E10" i="4" s="1"/>
  <c r="E54" i="3"/>
  <c r="E52" i="4" s="1"/>
  <c r="E55" i="3"/>
  <c r="E53" i="4" s="1"/>
  <c r="E19" i="3"/>
  <c r="E17" i="4" s="1"/>
  <c r="E17" i="3"/>
  <c r="E15" i="4" s="1"/>
  <c r="E28" i="3"/>
  <c r="E26" i="4" s="1"/>
  <c r="E18" i="3"/>
  <c r="E16" i="4" s="1"/>
  <c r="E22" i="3"/>
  <c r="E20" i="4" s="1"/>
  <c r="E20" i="3"/>
  <c r="E18" i="4" s="1"/>
  <c r="E41" i="3"/>
  <c r="E39" i="4" s="1"/>
  <c r="E15" i="3"/>
  <c r="E13" i="4" s="1"/>
  <c r="E26" i="3"/>
  <c r="E24" i="4" s="1"/>
  <c r="E33" i="3"/>
  <c r="E31" i="4" s="1"/>
  <c r="E48" i="3"/>
  <c r="E46" i="4" s="1"/>
  <c r="E56" i="3"/>
  <c r="E54" i="4" s="1"/>
  <c r="E53" i="3"/>
  <c r="E51" i="4" s="1"/>
  <c r="E21" i="3"/>
  <c r="E19" i="4" s="1"/>
  <c r="E45" i="3"/>
  <c r="E43" i="4" s="1"/>
  <c r="E37" i="3"/>
  <c r="E35" i="4" s="1"/>
  <c r="E40" i="3"/>
  <c r="E38" i="4" s="1"/>
  <c r="E44" i="3"/>
  <c r="E42" i="4" s="1"/>
  <c r="E10" i="3"/>
  <c r="E8" i="4" s="1"/>
  <c r="G24" i="4"/>
  <c r="L29" i="3"/>
  <c r="B27" i="4"/>
  <c r="G50" i="4"/>
  <c r="W24" i="4"/>
  <c r="R49" i="4"/>
  <c r="R15" i="4"/>
  <c r="G29" i="4"/>
  <c r="H35" i="4"/>
  <c r="H10" i="4"/>
  <c r="M44" i="3"/>
  <c r="AB44" i="3" s="1"/>
  <c r="C42" i="4"/>
  <c r="W10" i="4"/>
  <c r="G23" i="4"/>
  <c r="H53" i="4"/>
  <c r="B23" i="4"/>
  <c r="L25" i="3"/>
  <c r="H16" i="4"/>
  <c r="Q11" i="4"/>
  <c r="R14" i="4"/>
  <c r="G20" i="4"/>
  <c r="V29" i="4"/>
  <c r="H44" i="4"/>
  <c r="W8" i="4"/>
  <c r="W9" i="3"/>
  <c r="V22" i="4"/>
  <c r="W18" i="4"/>
  <c r="G14" i="4"/>
  <c r="R36" i="4"/>
  <c r="Q43" i="4"/>
  <c r="H43" i="4"/>
  <c r="Q23" i="4"/>
  <c r="G52" i="4"/>
  <c r="L20" i="3"/>
  <c r="B18" i="4"/>
  <c r="G22" i="4"/>
  <c r="H29" i="4"/>
  <c r="Q44" i="4"/>
  <c r="Q38" i="4"/>
  <c r="W20" i="4"/>
  <c r="G18" i="4"/>
  <c r="L15" i="3"/>
  <c r="B13" i="4"/>
  <c r="C18" i="4"/>
  <c r="M20" i="3"/>
  <c r="AB20" i="3" s="1"/>
  <c r="Q45" i="4"/>
  <c r="H11" i="4"/>
  <c r="H30" i="4"/>
  <c r="Q52" i="4"/>
  <c r="B38" i="4"/>
  <c r="L40" i="3"/>
  <c r="R33" i="4"/>
  <c r="V16" i="4"/>
  <c r="L51" i="3"/>
  <c r="B49" i="4"/>
  <c r="V30" i="4"/>
  <c r="C23" i="4"/>
  <c r="M25" i="3"/>
  <c r="AB25" i="3" s="1"/>
  <c r="Q9" i="4"/>
  <c r="M40" i="3"/>
  <c r="AB40" i="3" s="1"/>
  <c r="C38" i="4"/>
  <c r="H40" i="4"/>
  <c r="C34" i="4"/>
  <c r="M36" i="3"/>
  <c r="AB36" i="3" s="1"/>
  <c r="W16" i="4"/>
  <c r="L45" i="3"/>
  <c r="B43" i="4"/>
  <c r="V54" i="4"/>
  <c r="Q30" i="4"/>
  <c r="C15" i="4"/>
  <c r="M17" i="3"/>
  <c r="AB17" i="3" s="1"/>
  <c r="C40" i="4"/>
  <c r="M42" i="3"/>
  <c r="AB42" i="3" s="1"/>
  <c r="G27" i="4"/>
  <c r="G37" i="4"/>
  <c r="G25" i="4"/>
  <c r="V24" i="4"/>
  <c r="Q14" i="4"/>
  <c r="B50" i="4"/>
  <c r="L52" i="3"/>
  <c r="H22" i="4"/>
  <c r="W9" i="4"/>
  <c r="H39" i="4"/>
  <c r="G49" i="4"/>
  <c r="C43" i="4"/>
  <c r="M45" i="3"/>
  <c r="AB45" i="3" s="1"/>
  <c r="R12" i="4"/>
  <c r="H15" i="4"/>
  <c r="V46" i="4"/>
  <c r="G31" i="4"/>
  <c r="H33" i="4"/>
  <c r="H50" i="4"/>
  <c r="R44" i="4"/>
  <c r="W23" i="4"/>
  <c r="G28" i="4"/>
  <c r="Q20" i="4"/>
  <c r="Q22" i="4"/>
  <c r="V13" i="4"/>
  <c r="W36" i="4"/>
  <c r="Q41" i="4"/>
  <c r="V43" i="4"/>
  <c r="W44" i="4"/>
  <c r="M51" i="3"/>
  <c r="AB51" i="3" s="1"/>
  <c r="C49" i="4"/>
  <c r="G11" i="4"/>
  <c r="W39" i="4"/>
  <c r="H34" i="4"/>
  <c r="V25" i="4"/>
  <c r="L21" i="3"/>
  <c r="B19" i="4"/>
  <c r="H31" i="4"/>
  <c r="H46" i="4"/>
  <c r="R19" i="4"/>
  <c r="H27" i="4"/>
  <c r="G36" i="4"/>
  <c r="C29" i="4"/>
  <c r="M31" i="3"/>
  <c r="AB31" i="3" s="1"/>
  <c r="R17" i="4"/>
  <c r="H23" i="4"/>
  <c r="R52" i="4"/>
  <c r="V27" i="4"/>
  <c r="G42" i="4"/>
  <c r="B16" i="4"/>
  <c r="L18" i="3"/>
  <c r="Q28" i="4"/>
  <c r="G9" i="4"/>
  <c r="W32" i="4"/>
  <c r="Q26" i="4"/>
  <c r="G17" i="4"/>
  <c r="H38" i="4"/>
  <c r="Q17" i="4"/>
  <c r="B33" i="4"/>
  <c r="L35" i="3"/>
  <c r="G44" i="4"/>
  <c r="W11" i="4"/>
  <c r="C33" i="4"/>
  <c r="M35" i="3"/>
  <c r="AB35" i="3" s="1"/>
  <c r="W53" i="4"/>
  <c r="B32" i="4"/>
  <c r="L34" i="3"/>
  <c r="H9" i="3"/>
  <c r="H8" i="4"/>
  <c r="B45" i="4"/>
  <c r="L47" i="3"/>
  <c r="V51" i="4"/>
  <c r="M15" i="3"/>
  <c r="AB15" i="3" s="1"/>
  <c r="C13" i="4"/>
  <c r="H49" i="4"/>
  <c r="G40" i="4"/>
  <c r="W12" i="4"/>
  <c r="R45" i="4"/>
  <c r="C41" i="4"/>
  <c r="M43" i="3"/>
  <c r="AB43" i="3" s="1"/>
  <c r="W40" i="4"/>
  <c r="M33" i="3"/>
  <c r="AB33" i="3" s="1"/>
  <c r="C31" i="4"/>
  <c r="W25" i="4"/>
  <c r="G38" i="4"/>
  <c r="G46" i="4"/>
  <c r="B10" i="4"/>
  <c r="L12" i="3"/>
  <c r="R18" i="4"/>
  <c r="R22" i="4"/>
  <c r="H36" i="4"/>
  <c r="C11" i="4"/>
  <c r="M13" i="3"/>
  <c r="AB13" i="3" s="1"/>
  <c r="B28" i="4"/>
  <c r="L30" i="3"/>
  <c r="R30" i="4"/>
  <c r="Q48" i="4"/>
  <c r="H26" i="4"/>
  <c r="C36" i="4"/>
  <c r="M38" i="3"/>
  <c r="AB38" i="3" s="1"/>
  <c r="C39" i="4"/>
  <c r="M41" i="3"/>
  <c r="AB41" i="3" s="1"/>
  <c r="H28" i="4"/>
  <c r="W27" i="4"/>
  <c r="M14" i="3"/>
  <c r="AB14" i="3" s="1"/>
  <c r="C12" i="4"/>
  <c r="G19" i="4"/>
  <c r="R16" i="4"/>
  <c r="L42" i="3"/>
  <c r="B40" i="4"/>
  <c r="W15" i="4"/>
  <c r="V20" i="4"/>
  <c r="W28" i="4"/>
  <c r="R46" i="4"/>
  <c r="L43" i="3"/>
  <c r="B41" i="4"/>
  <c r="R51" i="4"/>
  <c r="Q42" i="4"/>
  <c r="B15" i="4"/>
  <c r="L17" i="3"/>
  <c r="L48" i="3"/>
  <c r="B46" i="4"/>
  <c r="W31" i="4"/>
  <c r="W54" i="4"/>
  <c r="G16" i="4"/>
  <c r="C51" i="4"/>
  <c r="M53" i="3"/>
  <c r="AB53" i="3" s="1"/>
  <c r="R34" i="4"/>
  <c r="Q54" i="4"/>
  <c r="H19" i="4"/>
  <c r="W30" i="4"/>
  <c r="H13" i="4"/>
  <c r="M28" i="3"/>
  <c r="AB28" i="3" s="1"/>
  <c r="C26" i="4"/>
  <c r="Q21" i="4"/>
  <c r="C25" i="4"/>
  <c r="M27" i="3"/>
  <c r="AB27" i="3" s="1"/>
  <c r="R39" i="4"/>
  <c r="G35" i="4"/>
  <c r="V36" i="4"/>
  <c r="B34" i="4"/>
  <c r="L36" i="3"/>
  <c r="Q19" i="4"/>
  <c r="R20" i="4"/>
  <c r="H52" i="4"/>
  <c r="V52" i="4"/>
  <c r="L55" i="3"/>
  <c r="B53" i="4"/>
  <c r="V31" i="4"/>
  <c r="Q24" i="4"/>
  <c r="R38" i="4"/>
  <c r="G34" i="4"/>
  <c r="V48" i="4"/>
  <c r="V10" i="4"/>
  <c r="H49" i="3"/>
  <c r="H48" i="4"/>
  <c r="Q40" i="4"/>
  <c r="R11" i="4"/>
  <c r="Q15" i="4"/>
  <c r="Q31" i="4"/>
  <c r="W38" i="4"/>
  <c r="H45" i="4"/>
  <c r="B14" i="4"/>
  <c r="L16" i="3"/>
  <c r="Q10" i="4"/>
  <c r="V12" i="4"/>
  <c r="V41" i="4"/>
  <c r="H54" i="4"/>
  <c r="W34" i="4"/>
  <c r="G13" i="4"/>
  <c r="H14" i="4"/>
  <c r="R23" i="4"/>
  <c r="L26" i="3"/>
  <c r="B24" i="4"/>
  <c r="W49" i="4"/>
  <c r="V34" i="4"/>
  <c r="W42" i="4"/>
  <c r="Q39" i="4"/>
  <c r="V38" i="4"/>
  <c r="L31" i="3"/>
  <c r="O31" i="3" s="1"/>
  <c r="O29" i="4" s="1"/>
  <c r="B29" i="4"/>
  <c r="C10" i="4"/>
  <c r="M12" i="3"/>
  <c r="AB12" i="3" s="1"/>
  <c r="L23" i="3"/>
  <c r="B21" i="4"/>
  <c r="R35" i="4"/>
  <c r="Q27" i="4"/>
  <c r="G39" i="4"/>
  <c r="L19" i="3"/>
  <c r="B17" i="4"/>
  <c r="B39" i="4"/>
  <c r="L41" i="3"/>
  <c r="W19" i="4"/>
  <c r="M39" i="3"/>
  <c r="AB39" i="3" s="1"/>
  <c r="C37" i="4"/>
  <c r="H32" i="4"/>
  <c r="G26" i="4"/>
  <c r="H41" i="4"/>
  <c r="R21" i="4"/>
  <c r="H37" i="4"/>
  <c r="V50" i="4"/>
  <c r="V14" i="4"/>
  <c r="L22" i="3"/>
  <c r="B20" i="4"/>
  <c r="W46" i="4"/>
  <c r="Q46" i="4"/>
  <c r="V19" i="4"/>
  <c r="B35" i="4"/>
  <c r="L37" i="3"/>
  <c r="W26" i="4"/>
  <c r="Q50" i="4"/>
  <c r="V39" i="4"/>
  <c r="G10" i="4"/>
  <c r="B9" i="4"/>
  <c r="L11" i="3"/>
  <c r="G53" i="4"/>
  <c r="M32" i="3"/>
  <c r="AB32" i="3" s="1"/>
  <c r="C30" i="4"/>
  <c r="R25" i="4"/>
  <c r="W13" i="4"/>
  <c r="V28" i="4"/>
  <c r="M18" i="3"/>
  <c r="AB18" i="3" s="1"/>
  <c r="C16" i="4"/>
  <c r="M47" i="3"/>
  <c r="AB47" i="3" s="1"/>
  <c r="C45" i="4"/>
  <c r="W43" i="4"/>
  <c r="G51" i="4"/>
  <c r="R37" i="4"/>
  <c r="V8" i="4"/>
  <c r="V9" i="3"/>
  <c r="C46" i="4"/>
  <c r="M48" i="3"/>
  <c r="AB48" i="3" s="1"/>
  <c r="C49" i="3"/>
  <c r="C48" i="4"/>
  <c r="M50" i="3"/>
  <c r="AB50" i="3" s="1"/>
  <c r="W37" i="4"/>
  <c r="L13" i="3"/>
  <c r="O13" i="3" s="1"/>
  <c r="O11" i="4" s="1"/>
  <c r="B11" i="4"/>
  <c r="R43" i="4"/>
  <c r="H25" i="4"/>
  <c r="H18" i="4"/>
  <c r="H20" i="4"/>
  <c r="M55" i="3"/>
  <c r="AB55" i="3" s="1"/>
  <c r="C53" i="4"/>
  <c r="H24" i="4"/>
  <c r="G43" i="4"/>
  <c r="V49" i="4"/>
  <c r="V18" i="4"/>
  <c r="W51" i="4"/>
  <c r="Q9" i="3"/>
  <c r="Q8" i="4"/>
  <c r="W17" i="4"/>
  <c r="R53" i="4"/>
  <c r="M26" i="3"/>
  <c r="AB26" i="3" s="1"/>
  <c r="C24" i="4"/>
  <c r="L38" i="3"/>
  <c r="B36" i="4"/>
  <c r="R29" i="4"/>
  <c r="R48" i="4"/>
  <c r="V44" i="4"/>
  <c r="V53" i="4"/>
  <c r="R40" i="4"/>
  <c r="Q13" i="4"/>
  <c r="Q16" i="4"/>
  <c r="M10" i="3"/>
  <c r="C9" i="3"/>
  <c r="C8" i="4"/>
  <c r="W21" i="4"/>
  <c r="Q49" i="4"/>
  <c r="L39" i="3"/>
  <c r="B37" i="4"/>
  <c r="G21" i="4"/>
  <c r="W35" i="4"/>
  <c r="V9" i="4"/>
  <c r="H17" i="4"/>
  <c r="R28" i="4"/>
  <c r="B52" i="4"/>
  <c r="L54" i="3"/>
  <c r="W45" i="4"/>
  <c r="V17" i="4"/>
  <c r="G32" i="4"/>
  <c r="V21" i="4"/>
  <c r="H21" i="4"/>
  <c r="W14" i="4"/>
  <c r="G54" i="4"/>
  <c r="G45" i="4"/>
  <c r="Q35" i="4"/>
  <c r="G41" i="4"/>
  <c r="G33" i="4"/>
  <c r="L56" i="3"/>
  <c r="B54" i="4"/>
  <c r="L27" i="3"/>
  <c r="B25" i="4"/>
  <c r="M52" i="3"/>
  <c r="AB52" i="3" s="1"/>
  <c r="C50" i="4"/>
  <c r="G9" i="3"/>
  <c r="G8" i="4"/>
  <c r="H12" i="4"/>
  <c r="Q34" i="4"/>
  <c r="L10" i="3"/>
  <c r="B8" i="4"/>
  <c r="B9" i="3"/>
  <c r="Q51" i="4"/>
  <c r="B44" i="4"/>
  <c r="L46" i="3"/>
  <c r="C35" i="4"/>
  <c r="M37" i="3"/>
  <c r="AB37" i="3" s="1"/>
  <c r="C20" i="4"/>
  <c r="M22" i="3"/>
  <c r="AB22" i="3" s="1"/>
  <c r="B49" i="3"/>
  <c r="L50" i="3"/>
  <c r="B48" i="4"/>
  <c r="W33" i="4"/>
  <c r="V26" i="4"/>
  <c r="B31" i="4"/>
  <c r="L33" i="3"/>
  <c r="V40" i="4"/>
  <c r="Q25" i="4"/>
  <c r="W52" i="4"/>
  <c r="Q18" i="4"/>
  <c r="Q33" i="4"/>
  <c r="H42" i="4"/>
  <c r="V32" i="4"/>
  <c r="R9" i="3"/>
  <c r="R9" i="4"/>
  <c r="C32" i="4"/>
  <c r="M34" i="3"/>
  <c r="AB34" i="3" s="1"/>
  <c r="V15" i="4"/>
  <c r="R13" i="4"/>
  <c r="V42" i="4"/>
  <c r="C17" i="4"/>
  <c r="M19" i="3"/>
  <c r="AB19" i="3" s="1"/>
  <c r="V23" i="4"/>
  <c r="H51" i="4"/>
  <c r="W50" i="4"/>
  <c r="M30" i="3"/>
  <c r="AB30" i="3" s="1"/>
  <c r="C28" i="4"/>
  <c r="R41" i="4"/>
  <c r="L28" i="3"/>
  <c r="B26" i="4"/>
  <c r="M56" i="3"/>
  <c r="AB56" i="3" s="1"/>
  <c r="C54" i="4"/>
  <c r="M29" i="3"/>
  <c r="AB29" i="3" s="1"/>
  <c r="C27" i="4"/>
  <c r="R31" i="4"/>
  <c r="Q53" i="4"/>
  <c r="R27" i="4"/>
  <c r="G15" i="4"/>
  <c r="G30" i="4"/>
  <c r="G12" i="4"/>
  <c r="R42" i="4"/>
  <c r="M21" i="3"/>
  <c r="AB21" i="3" s="1"/>
  <c r="C19" i="4"/>
  <c r="W41" i="4"/>
  <c r="V35" i="4"/>
  <c r="Q29" i="4"/>
  <c r="M23" i="3"/>
  <c r="AB23" i="3" s="1"/>
  <c r="C21" i="4"/>
  <c r="R26" i="4"/>
  <c r="C9" i="4"/>
  <c r="M11" i="3"/>
  <c r="AB11" i="3" s="1"/>
  <c r="Q37" i="4"/>
  <c r="W22" i="4"/>
  <c r="C44" i="4"/>
  <c r="M46" i="3"/>
  <c r="AB46" i="3" s="1"/>
  <c r="V33" i="4"/>
  <c r="R50" i="4"/>
  <c r="R10" i="4"/>
  <c r="C52" i="4"/>
  <c r="M54" i="3"/>
  <c r="AB54" i="3" s="1"/>
  <c r="H9" i="4"/>
  <c r="R32" i="4"/>
  <c r="B30" i="4"/>
  <c r="L32" i="3"/>
  <c r="V45" i="4"/>
  <c r="C22" i="4"/>
  <c r="M24" i="3"/>
  <c r="AB24" i="3" s="1"/>
  <c r="R24" i="4"/>
  <c r="Q32" i="4"/>
  <c r="G49" i="3"/>
  <c r="G48" i="4"/>
  <c r="W29" i="4"/>
  <c r="B22" i="4"/>
  <c r="L24" i="3"/>
  <c r="B12" i="4"/>
  <c r="L14" i="3"/>
  <c r="Q36" i="4"/>
  <c r="V11" i="4"/>
  <c r="W48" i="4"/>
  <c r="C14" i="4"/>
  <c r="M16" i="3"/>
  <c r="AB16" i="3" s="1"/>
  <c r="B42" i="4"/>
  <c r="L44" i="3"/>
  <c r="B51" i="4"/>
  <c r="L53" i="3"/>
  <c r="V37" i="4"/>
  <c r="R54" i="4"/>
  <c r="Q12" i="4"/>
  <c r="O43" i="3" l="1"/>
  <c r="O41" i="4" s="1"/>
  <c r="O27" i="3"/>
  <c r="O25" i="4" s="1"/>
  <c r="O32" i="3"/>
  <c r="O30" i="4" s="1"/>
  <c r="Y9" i="3"/>
  <c r="Y7" i="4" s="1"/>
  <c r="O14" i="3"/>
  <c r="O12" i="4" s="1"/>
  <c r="O28" i="3"/>
  <c r="O26" i="4" s="1"/>
  <c r="O53" i="3"/>
  <c r="O51" i="4" s="1"/>
  <c r="O34" i="3"/>
  <c r="O32" i="4" s="1"/>
  <c r="O36" i="3"/>
  <c r="O34" i="4" s="1"/>
  <c r="O18" i="3"/>
  <c r="O16" i="4" s="1"/>
  <c r="O24" i="3"/>
  <c r="O22" i="4" s="1"/>
  <c r="O41" i="3"/>
  <c r="O39" i="4" s="1"/>
  <c r="O17" i="3"/>
  <c r="O15" i="4" s="1"/>
  <c r="O26" i="3"/>
  <c r="O24" i="4" s="1"/>
  <c r="O51" i="3"/>
  <c r="O49" i="4" s="1"/>
  <c r="O44" i="3"/>
  <c r="O42" i="4" s="1"/>
  <c r="O39" i="3"/>
  <c r="O37" i="4" s="1"/>
  <c r="O42" i="3"/>
  <c r="O40" i="4" s="1"/>
  <c r="O33" i="3"/>
  <c r="O31" i="4" s="1"/>
  <c r="O10" i="3"/>
  <c r="O8" i="4" s="1"/>
  <c r="O16" i="3"/>
  <c r="O14" i="4" s="1"/>
  <c r="O35" i="3"/>
  <c r="O33" i="4" s="1"/>
  <c r="O21" i="3"/>
  <c r="O19" i="4" s="1"/>
  <c r="O55" i="3"/>
  <c r="O53" i="4" s="1"/>
  <c r="O56" i="3"/>
  <c r="O54" i="4" s="1"/>
  <c r="O40" i="3"/>
  <c r="O38" i="4" s="1"/>
  <c r="O46" i="3"/>
  <c r="O44" i="4" s="1"/>
  <c r="O37" i="3"/>
  <c r="O35" i="4" s="1"/>
  <c r="O48" i="3"/>
  <c r="O46" i="4" s="1"/>
  <c r="O45" i="3"/>
  <c r="O43" i="4" s="1"/>
  <c r="O15" i="3"/>
  <c r="O13" i="4" s="1"/>
  <c r="O20" i="3"/>
  <c r="O18" i="4" s="1"/>
  <c r="O29" i="3"/>
  <c r="O27" i="4" s="1"/>
  <c r="O22" i="3"/>
  <c r="O20" i="4" s="1"/>
  <c r="J9" i="3"/>
  <c r="J7" i="4" s="1"/>
  <c r="O38" i="3"/>
  <c r="O36" i="4" s="1"/>
  <c r="O23" i="3"/>
  <c r="O21" i="4" s="1"/>
  <c r="O12" i="3"/>
  <c r="O10" i="4" s="1"/>
  <c r="O25" i="3"/>
  <c r="O23" i="4" s="1"/>
  <c r="O50" i="3"/>
  <c r="O48" i="4" s="1"/>
  <c r="O11" i="3"/>
  <c r="O9" i="4" s="1"/>
  <c r="O30" i="3"/>
  <c r="O28" i="4" s="1"/>
  <c r="O47" i="3"/>
  <c r="O45" i="4" s="1"/>
  <c r="O52" i="3"/>
  <c r="O50" i="4" s="1"/>
  <c r="O54" i="3"/>
  <c r="O52" i="4" s="1"/>
  <c r="O19" i="3"/>
  <c r="O17" i="4" s="1"/>
  <c r="T9" i="3"/>
  <c r="T7" i="4" s="1"/>
  <c r="J49" i="3"/>
  <c r="J47" i="4" s="1"/>
  <c r="E49" i="3"/>
  <c r="E47" i="4" s="1"/>
  <c r="E9" i="3"/>
  <c r="E7" i="4" s="1"/>
  <c r="M35" i="4"/>
  <c r="AB35" i="4" s="1"/>
  <c r="M20" i="4"/>
  <c r="AB20" i="4" s="1"/>
  <c r="M22" i="4"/>
  <c r="AB22" i="4" s="1"/>
  <c r="M19" i="4"/>
  <c r="AB19" i="4" s="1"/>
  <c r="M14" i="4"/>
  <c r="AB14" i="4" s="1"/>
  <c r="M32" i="4"/>
  <c r="AB32" i="4" s="1"/>
  <c r="M29" i="4"/>
  <c r="AB29" i="4" s="1"/>
  <c r="M54" i="4"/>
  <c r="AB54" i="4" s="1"/>
  <c r="M50" i="4"/>
  <c r="AB50" i="4" s="1"/>
  <c r="M43" i="4"/>
  <c r="AB43" i="4" s="1"/>
  <c r="M53" i="4"/>
  <c r="AB53" i="4" s="1"/>
  <c r="M11" i="4"/>
  <c r="AB11" i="4" s="1"/>
  <c r="M40" i="4"/>
  <c r="AB40" i="4" s="1"/>
  <c r="M49" i="3"/>
  <c r="M39" i="4"/>
  <c r="AB39" i="4" s="1"/>
  <c r="M31" i="4"/>
  <c r="AB31" i="4" s="1"/>
  <c r="M52" i="4"/>
  <c r="AB52" i="4" s="1"/>
  <c r="M28" i="4"/>
  <c r="AB28" i="4" s="1"/>
  <c r="M30" i="4"/>
  <c r="AB30" i="4" s="1"/>
  <c r="M27" i="4"/>
  <c r="AB27" i="4" s="1"/>
  <c r="R8" i="3"/>
  <c r="M9" i="4"/>
  <c r="AB9" i="4" s="1"/>
  <c r="M21" i="4"/>
  <c r="AB21" i="4" s="1"/>
  <c r="M46" i="4"/>
  <c r="AB46" i="4" s="1"/>
  <c r="M44" i="4"/>
  <c r="AB44" i="4" s="1"/>
  <c r="M16" i="4"/>
  <c r="AB16" i="4" s="1"/>
  <c r="M17" i="4"/>
  <c r="AB17" i="4" s="1"/>
  <c r="M24" i="4"/>
  <c r="AB24" i="4" s="1"/>
  <c r="M10" i="4"/>
  <c r="AB10" i="4" s="1"/>
  <c r="W47" i="4"/>
  <c r="M26" i="4"/>
  <c r="AB26" i="4" s="1"/>
  <c r="M45" i="4"/>
  <c r="AB45" i="4" s="1"/>
  <c r="M33" i="4"/>
  <c r="AB33" i="4" s="1"/>
  <c r="C8" i="3"/>
  <c r="M36" i="4"/>
  <c r="AB36" i="4" s="1"/>
  <c r="L51" i="4"/>
  <c r="L22" i="4"/>
  <c r="G47" i="4"/>
  <c r="L26" i="4"/>
  <c r="AA50" i="3"/>
  <c r="AD50" i="3" s="1"/>
  <c r="AD48" i="4" s="1"/>
  <c r="L44" i="4"/>
  <c r="B8" i="3"/>
  <c r="G8" i="3"/>
  <c r="L25" i="4"/>
  <c r="AA56" i="3"/>
  <c r="AD56" i="3" s="1"/>
  <c r="AD54" i="4" s="1"/>
  <c r="L37" i="4"/>
  <c r="L36" i="4"/>
  <c r="Q8" i="3"/>
  <c r="L11" i="4"/>
  <c r="AB49" i="3"/>
  <c r="AA11" i="3"/>
  <c r="AD11" i="3" s="1"/>
  <c r="AD9" i="4" s="1"/>
  <c r="L35" i="4"/>
  <c r="AA22" i="3"/>
  <c r="AD22" i="3" s="1"/>
  <c r="AD20" i="4" s="1"/>
  <c r="L39" i="4"/>
  <c r="AA16" i="3"/>
  <c r="AD16" i="3" s="1"/>
  <c r="AD14" i="4" s="1"/>
  <c r="H47" i="4"/>
  <c r="V47" i="4"/>
  <c r="AA36" i="3"/>
  <c r="AD36" i="3" s="1"/>
  <c r="AD34" i="4" s="1"/>
  <c r="M25" i="4"/>
  <c r="AB25" i="4" s="1"/>
  <c r="M51" i="4"/>
  <c r="AB51" i="4" s="1"/>
  <c r="AA17" i="3"/>
  <c r="AD17" i="3" s="1"/>
  <c r="AD15" i="4" s="1"/>
  <c r="M12" i="4"/>
  <c r="AB12" i="4" s="1"/>
  <c r="AA47" i="3"/>
  <c r="AD47" i="3" s="1"/>
  <c r="AD45" i="4" s="1"/>
  <c r="AA34" i="3"/>
  <c r="AD34" i="3" s="1"/>
  <c r="AD32" i="4" s="1"/>
  <c r="AA18" i="3"/>
  <c r="AD18" i="3" s="1"/>
  <c r="AD16" i="4" s="1"/>
  <c r="AA52" i="3"/>
  <c r="AD52" i="3" s="1"/>
  <c r="AD50" i="4" s="1"/>
  <c r="M15" i="4"/>
  <c r="AB15" i="4" s="1"/>
  <c r="M38" i="4"/>
  <c r="AB38" i="4" s="1"/>
  <c r="L49" i="4"/>
  <c r="M18" i="4"/>
  <c r="AB18" i="4" s="1"/>
  <c r="M42" i="4"/>
  <c r="AB42" i="4" s="1"/>
  <c r="L27" i="4"/>
  <c r="AA44" i="3"/>
  <c r="AD44" i="3" s="1"/>
  <c r="AD42" i="4" s="1"/>
  <c r="AA32" i="3"/>
  <c r="AD32" i="3" s="1"/>
  <c r="AD30" i="4" s="1"/>
  <c r="AA14" i="3"/>
  <c r="AD14" i="3" s="1"/>
  <c r="AD12" i="4" s="1"/>
  <c r="AA28" i="3"/>
  <c r="AD28" i="3" s="1"/>
  <c r="AD26" i="4" s="1"/>
  <c r="AA33" i="3"/>
  <c r="AD33" i="3" s="1"/>
  <c r="AD31" i="4" s="1"/>
  <c r="B7" i="4"/>
  <c r="L8" i="4"/>
  <c r="AA27" i="3"/>
  <c r="AD27" i="3" s="1"/>
  <c r="AD25" i="4" s="1"/>
  <c r="AA54" i="3"/>
  <c r="AD54" i="3" s="1"/>
  <c r="AD52" i="4" s="1"/>
  <c r="AA39" i="3"/>
  <c r="AD39" i="3" s="1"/>
  <c r="AD37" i="4" s="1"/>
  <c r="C7" i="4"/>
  <c r="M8" i="4"/>
  <c r="AA38" i="3"/>
  <c r="AD38" i="3" s="1"/>
  <c r="AD36" i="4" s="1"/>
  <c r="AA13" i="3"/>
  <c r="AD13" i="3" s="1"/>
  <c r="AD11" i="4" s="1"/>
  <c r="M48" i="4"/>
  <c r="C47" i="4"/>
  <c r="V8" i="3"/>
  <c r="L21" i="4"/>
  <c r="L24" i="4"/>
  <c r="L14" i="4"/>
  <c r="L34" i="4"/>
  <c r="L46" i="4"/>
  <c r="L15" i="4"/>
  <c r="AA12" i="3"/>
  <c r="AD12" i="3" s="1"/>
  <c r="AD10" i="4" s="1"/>
  <c r="M41" i="4"/>
  <c r="AB41" i="4" s="1"/>
  <c r="L45" i="4"/>
  <c r="AA35" i="3"/>
  <c r="AD35" i="3" s="1"/>
  <c r="AD33" i="4" s="1"/>
  <c r="L16" i="4"/>
  <c r="L43" i="4"/>
  <c r="M23" i="4"/>
  <c r="AB23" i="4" s="1"/>
  <c r="AA51" i="3"/>
  <c r="AD51" i="3" s="1"/>
  <c r="AD49" i="4" s="1"/>
  <c r="L13" i="4"/>
  <c r="AA25" i="3"/>
  <c r="AD25" i="3" s="1"/>
  <c r="AD23" i="4" s="1"/>
  <c r="AA29" i="3"/>
  <c r="AD29" i="3" s="1"/>
  <c r="AD27" i="4" s="1"/>
  <c r="L12" i="4"/>
  <c r="L49" i="3"/>
  <c r="L9" i="3"/>
  <c r="AA10" i="3"/>
  <c r="L52" i="4"/>
  <c r="R47" i="4"/>
  <c r="L9" i="4"/>
  <c r="L20" i="4"/>
  <c r="AA41" i="3"/>
  <c r="AD41" i="3" s="1"/>
  <c r="AD39" i="4" s="1"/>
  <c r="L17" i="4"/>
  <c r="AA23" i="3"/>
  <c r="AD23" i="3" s="1"/>
  <c r="AD21" i="4" s="1"/>
  <c r="L29" i="4"/>
  <c r="L53" i="4"/>
  <c r="AA48" i="3"/>
  <c r="AD48" i="3" s="1"/>
  <c r="AD46" i="4" s="1"/>
  <c r="L41" i="4"/>
  <c r="L40" i="4"/>
  <c r="Q47" i="4"/>
  <c r="AA30" i="3"/>
  <c r="AD30" i="3" s="1"/>
  <c r="AD28" i="4" s="1"/>
  <c r="H7" i="4"/>
  <c r="L32" i="4"/>
  <c r="L33" i="4"/>
  <c r="L19" i="4"/>
  <c r="L50" i="4"/>
  <c r="AA45" i="3"/>
  <c r="AD45" i="3" s="1"/>
  <c r="AD43" i="4" s="1"/>
  <c r="M34" i="4"/>
  <c r="AB34" i="4" s="1"/>
  <c r="AA40" i="3"/>
  <c r="AD40" i="3" s="1"/>
  <c r="AD38" i="4" s="1"/>
  <c r="L18" i="4"/>
  <c r="W8" i="3"/>
  <c r="AA53" i="3"/>
  <c r="AD53" i="3" s="1"/>
  <c r="AD51" i="4" s="1"/>
  <c r="L42" i="4"/>
  <c r="AA24" i="3"/>
  <c r="AD24" i="3" s="1"/>
  <c r="AD22" i="4" s="1"/>
  <c r="L30" i="4"/>
  <c r="R7" i="4"/>
  <c r="L31" i="4"/>
  <c r="L48" i="4"/>
  <c r="B47" i="4"/>
  <c r="AA46" i="3"/>
  <c r="AD46" i="3" s="1"/>
  <c r="AD44" i="4" s="1"/>
  <c r="G7" i="4"/>
  <c r="L54" i="4"/>
  <c r="AB10" i="3"/>
  <c r="AB9" i="3" s="1"/>
  <c r="M9" i="3"/>
  <c r="Q7" i="4"/>
  <c r="V7" i="4"/>
  <c r="AA37" i="3"/>
  <c r="AD37" i="3" s="1"/>
  <c r="AD35" i="4" s="1"/>
  <c r="M37" i="4"/>
  <c r="AB37" i="4" s="1"/>
  <c r="AA19" i="3"/>
  <c r="AD19" i="3" s="1"/>
  <c r="AD17" i="4" s="1"/>
  <c r="AA31" i="3"/>
  <c r="AD31" i="3" s="1"/>
  <c r="AD29" i="4" s="1"/>
  <c r="AA26" i="3"/>
  <c r="AD26" i="3" s="1"/>
  <c r="AD24" i="4" s="1"/>
  <c r="AA55" i="3"/>
  <c r="AD55" i="3" s="1"/>
  <c r="AD53" i="4" s="1"/>
  <c r="AA43" i="3"/>
  <c r="AD43" i="3" s="1"/>
  <c r="AD41" i="4" s="1"/>
  <c r="AA42" i="3"/>
  <c r="AD42" i="3" s="1"/>
  <c r="AD40" i="4" s="1"/>
  <c r="L28" i="4"/>
  <c r="L10" i="4"/>
  <c r="M13" i="4"/>
  <c r="AB13" i="4" s="1"/>
  <c r="H8" i="3"/>
  <c r="AA21" i="3"/>
  <c r="AD21" i="3" s="1"/>
  <c r="AD19" i="4" s="1"/>
  <c r="M49" i="4"/>
  <c r="AB49" i="4" s="1"/>
  <c r="L38" i="4"/>
  <c r="AA15" i="3"/>
  <c r="AD15" i="3" s="1"/>
  <c r="AD13" i="4" s="1"/>
  <c r="AA20" i="3"/>
  <c r="AD20" i="3" s="1"/>
  <c r="AD18" i="4" s="1"/>
  <c r="W7" i="4"/>
  <c r="L23" i="4"/>
  <c r="E8" i="3" l="1"/>
  <c r="E6" i="4" s="1"/>
  <c r="AD10" i="3"/>
  <c r="AD8" i="4" s="1"/>
  <c r="O9" i="3"/>
  <c r="O7" i="4" s="1"/>
  <c r="O49" i="3"/>
  <c r="O47" i="4" s="1"/>
  <c r="J8" i="3"/>
  <c r="J6" i="4" s="1"/>
  <c r="Y8" i="3"/>
  <c r="Y6" i="4" s="1"/>
  <c r="T8" i="3"/>
  <c r="T6" i="4" s="1"/>
  <c r="W6" i="4"/>
  <c r="M8" i="3"/>
  <c r="AB8" i="3"/>
  <c r="R6" i="4"/>
  <c r="H6" i="4"/>
  <c r="C6" i="4"/>
  <c r="AA23" i="4"/>
  <c r="AA28" i="4"/>
  <c r="AA33" i="4"/>
  <c r="AA29" i="4"/>
  <c r="AA17" i="4"/>
  <c r="AA16" i="4"/>
  <c r="AA34" i="4"/>
  <c r="AA24" i="4"/>
  <c r="AA8" i="4"/>
  <c r="L7" i="4"/>
  <c r="AA27" i="4"/>
  <c r="AA11" i="4"/>
  <c r="AA36" i="4"/>
  <c r="AA22" i="4"/>
  <c r="Q6" i="4"/>
  <c r="L47" i="4"/>
  <c r="AA48" i="4"/>
  <c r="AA30" i="4"/>
  <c r="AA42" i="4"/>
  <c r="AA32" i="4"/>
  <c r="AA40" i="4"/>
  <c r="AA53" i="4"/>
  <c r="AA20" i="4"/>
  <c r="AA12" i="4"/>
  <c r="AA46" i="4"/>
  <c r="M47" i="4"/>
  <c r="AB48" i="4"/>
  <c r="AB47" i="4" s="1"/>
  <c r="B6" i="4"/>
  <c r="AA49" i="4"/>
  <c r="AA39" i="4"/>
  <c r="AA35" i="4"/>
  <c r="AA37" i="4"/>
  <c r="AA10" i="4"/>
  <c r="AA54" i="4"/>
  <c r="AA50" i="4"/>
  <c r="AA19" i="4"/>
  <c r="AA9" i="3"/>
  <c r="AD9" i="3" s="1"/>
  <c r="AD7" i="4" s="1"/>
  <c r="AA45" i="4"/>
  <c r="M7" i="4"/>
  <c r="AB8" i="4"/>
  <c r="AB7" i="4" s="1"/>
  <c r="AA25" i="4"/>
  <c r="AA49" i="3"/>
  <c r="AD49" i="3" s="1"/>
  <c r="AD47" i="4" s="1"/>
  <c r="AA38" i="4"/>
  <c r="V6" i="4"/>
  <c r="G6" i="4"/>
  <c r="AA31" i="4"/>
  <c r="AA18" i="4"/>
  <c r="AA41" i="4"/>
  <c r="AA9" i="4"/>
  <c r="AA52" i="4"/>
  <c r="L8" i="3"/>
  <c r="AA13" i="4"/>
  <c r="AA43" i="4"/>
  <c r="AA15" i="4"/>
  <c r="AA14" i="4"/>
  <c r="AA21" i="4"/>
  <c r="AA44" i="4"/>
  <c r="AA26" i="4"/>
  <c r="AA51" i="4"/>
  <c r="O8" i="3" l="1"/>
  <c r="O6" i="4" s="1"/>
  <c r="M6" i="4"/>
  <c r="AB6" i="4"/>
  <c r="AA47" i="4"/>
  <c r="L6" i="4"/>
  <c r="AA8" i="3"/>
  <c r="AD8" i="3" s="1"/>
  <c r="AD6" i="4" s="1"/>
  <c r="AA7" i="4"/>
  <c r="AA6" i="4" l="1"/>
  <c r="B2" i="5"/>
  <c r="D2" i="5" s="1"/>
</calcChain>
</file>

<file path=xl/sharedStrings.xml><?xml version="1.0" encoding="utf-8"?>
<sst xmlns="http://schemas.openxmlformats.org/spreadsheetml/2006/main" count="8722" uniqueCount="242">
  <si>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2016/17</t>
    </r>
  </si>
  <si>
    <t>Wholetime</t>
  </si>
  <si>
    <t>Total Firefighters</t>
  </si>
  <si>
    <t>Fire Control</t>
  </si>
  <si>
    <t>Support Staff</t>
  </si>
  <si>
    <t>Total Staff</t>
  </si>
  <si>
    <t>FRA</t>
  </si>
  <si>
    <t>Men</t>
  </si>
  <si>
    <t>Women</t>
  </si>
  <si>
    <t>Percentage that are women</t>
  </si>
  <si>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</si>
  <si>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</si>
  <si>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</si>
  <si>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</si>
  <si>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</si>
  <si>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</si>
  <si>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</si>
  <si>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</si>
  <si>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</si>
  <si>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</si>
  <si>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</si>
  <si>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</si>
  <si>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</si>
  <si>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</si>
  <si>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</si>
  <si>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</si>
  <si>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</si>
  <si>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</si>
  <si>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</si>
  <si>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</si>
  <si>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</si>
  <si>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</si>
  <si>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</si>
  <si>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</si>
  <si>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</si>
  <si>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</si>
  <si>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</si>
  <si>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</si>
  <si>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</si>
  <si>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</si>
  <si>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</si>
  <si>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</si>
  <si>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</si>
  <si>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</si>
  <si>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</si>
  <si>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</si>
  <si>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</si>
  <si>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</si>
  <si>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</si>
  <si>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</si>
  <si>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</si>
  <si>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</si>
  <si>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</si>
  <si>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</si>
  <si>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</si>
  <si>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</si>
  <si>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</si>
  <si>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</si>
  <si>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</si>
  <si>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</si>
  <si>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</si>
  <si>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figures for 2016/17 were collected on a voluntary basis. Those eight FRSs with 0 new staff could be due to 0 new staff being recruited or due to the data being unavailable.</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</si>
  <si>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</si>
  <si>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</si>
  <si>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</si>
  <si>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</si>
  <si>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</si>
  <si>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</si>
  <si>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</si>
  <si>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2 Also known as "On-call firefighters"</t>
  </si>
  <si>
    <r>
      <t xml:space="preserve">Retained Duty System </t>
    </r>
    <r>
      <rPr>
        <vertAlign val="superscript"/>
        <sz val="11"/>
        <color theme="1"/>
        <rFont val="Calibri"/>
        <family val="2"/>
        <scheme val="minor"/>
      </rPr>
      <t>2</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</si>
  <si>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2017/18</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</si>
  <si>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t>
    </r>
  </si>
  <si>
    <t>2017-18</t>
  </si>
  <si>
    <t>2016-17</t>
  </si>
  <si>
    <t>Select a year from the drop-down list in the orange box below:</t>
  </si>
  <si>
    <t>Year</t>
  </si>
  <si>
    <t>FRA_code</t>
  </si>
  <si>
    <t>Pink cells</t>
  </si>
  <si>
    <t>are the ones picked up in the macro</t>
  </si>
  <si>
    <t>red font</t>
  </si>
  <si>
    <t>are the cells you need to check are still correct</t>
  </si>
  <si>
    <t>Link_Start</t>
  </si>
  <si>
    <t>Return_Name</t>
  </si>
  <si>
    <t>FRS_Loop</t>
  </si>
  <si>
    <t>Link_End</t>
  </si>
  <si>
    <t>\data supplied\HR\HR_</t>
  </si>
  <si>
    <t>Wholetime firefighters</t>
  </si>
  <si>
    <t>Fire control</t>
  </si>
  <si>
    <t>Support staff</t>
  </si>
  <si>
    <t>Sheet_Name_HR6</t>
  </si>
  <si>
    <t>Cell_Loop_HR6</t>
  </si>
  <si>
    <t>Cell_Loop_Desc_HR6</t>
  </si>
  <si>
    <t>Cell_Loop_Desc2_HR6</t>
  </si>
  <si>
    <t>On-call firefighters</t>
  </si>
  <si>
    <t>HR6</t>
  </si>
  <si>
    <t>Cell_Loop2_HR6</t>
  </si>
  <si>
    <t>Cell_Loop2_Desc_HR6</t>
  </si>
  <si>
    <t>Cell_Loop2_Desc2_HR6</t>
  </si>
  <si>
    <t>FRS_Name</t>
  </si>
  <si>
    <t>FRA_type</t>
  </si>
  <si>
    <t>Count</t>
  </si>
  <si>
    <t>Role</t>
  </si>
  <si>
    <t>Gender</t>
  </si>
  <si>
    <t>B12</t>
  </si>
  <si>
    <t>B13</t>
  </si>
  <si>
    <t>B14</t>
  </si>
  <si>
    <t>B15</t>
  </si>
  <si>
    <t>C12</t>
  </si>
  <si>
    <t>C13</t>
  </si>
  <si>
    <t>C14</t>
  </si>
  <si>
    <t>C15</t>
  </si>
  <si>
    <t>2018-19</t>
  </si>
  <si>
    <t>No</t>
  </si>
  <si>
    <t>Yes</t>
  </si>
  <si>
    <t>Checklist</t>
  </si>
  <si>
    <t>Checker</t>
  </si>
  <si>
    <t>Error?</t>
  </si>
  <si>
    <t>Comments</t>
  </si>
  <si>
    <t>Victoria</t>
  </si>
  <si>
    <t>Deborah</t>
  </si>
  <si>
    <t>drop down menu works</t>
  </si>
  <si>
    <t>spot check some figures from the raw sheet</t>
  </si>
  <si>
    <t>Isles of Scilly and Isle of Wight one of smallest</t>
  </si>
  <si>
    <t>Paul</t>
  </si>
  <si>
    <t>Newest year has been included</t>
  </si>
  <si>
    <t>Footnotes are relevant</t>
  </si>
  <si>
    <t>Notes are correct</t>
  </si>
  <si>
    <t>Links work</t>
  </si>
  <si>
    <t>Last updated date is correct</t>
  </si>
  <si>
    <t>Checks left to do or resolve</t>
  </si>
  <si>
    <t>Check totals match 1121 and 1122 (except for dorset and wiltshire for whole time due to having one member of staff identifying as 'other' gender and isle of scilly for on call and support staff, hoping to get updated figures which will match)</t>
  </si>
  <si>
    <t>Contact: FireStatistics@homeoffice.gov.uk</t>
  </si>
  <si>
    <t>Checks for 1120</t>
  </si>
  <si>
    <t>Total firefighters is sum of on call and wholetime</t>
  </si>
  <si>
    <t>Total staff is sum of total firefighters, fire control and support staff</t>
  </si>
  <si>
    <t>Mets = Sum of Mets</t>
  </si>
  <si>
    <t>Non Mets = Sum of Non Mets</t>
  </si>
  <si>
    <t>Total = Mets + Non Mets</t>
  </si>
  <si>
    <t>Next update date is planned next release period</t>
  </si>
  <si>
    <t>spot check some of the formula for the % woman in the raw sheet</t>
  </si>
  <si>
    <t>1 The total number of employees.</t>
  </si>
  <si>
    <t>\\Poise.Homeoffice.Local\data\RQG\DomGroup\ASD-ETHOS30\Fire Stats\003 Fire Operational Statistics\</t>
  </si>
  <si>
    <t>2019_20</t>
  </si>
  <si>
    <t>2019-20</t>
  </si>
  <si>
    <t>Not updated for this year yet</t>
  </si>
  <si>
    <t>Ben</t>
  </si>
  <si>
    <t>Phoebe</t>
  </si>
  <si>
    <t>Lucy</t>
  </si>
  <si>
    <t>David</t>
  </si>
  <si>
    <t>Mr Tumble</t>
  </si>
  <si>
    <t>no</t>
  </si>
  <si>
    <t>yes</t>
  </si>
  <si>
    <t>Source: Home Office Operational Statistics Data Collection, figures supplied by Fire and Rescue Authorities.</t>
  </si>
  <si>
    <t>London is one of the biggest and no on-call</t>
  </si>
  <si>
    <t>swap on-call and RDS as should be on-call in table and RDS in footnote - ie to match 1121 and 1122</t>
  </si>
  <si>
    <t>spot checked</t>
  </si>
  <si>
    <t>Email: Firestatistics@homeoffice.gov.uk</t>
  </si>
  <si>
    <r>
      <t xml:space="preserve">Press enquiries: </t>
    </r>
    <r>
      <rPr>
        <b/>
        <sz val="12"/>
        <color rgb="FF000000"/>
        <rFont val="Arial"/>
        <family val="2"/>
      </rPr>
      <t>0300 123 3535</t>
    </r>
  </si>
  <si>
    <t>Contents</t>
  </si>
  <si>
    <t>We’re always looking to improve the accessibility of our documents.</t>
  </si>
  <si>
    <t xml:space="preserve">To access data tables, select the table number or tabs. </t>
  </si>
  <si>
    <t>Cover sheet</t>
  </si>
  <si>
    <t>Sheet</t>
  </si>
  <si>
    <t>Title</t>
  </si>
  <si>
    <t>Period covered</t>
  </si>
  <si>
    <t>National Statistics?</t>
  </si>
  <si>
    <t>Fire and rescue workforce and pensions statistics</t>
  </si>
  <si>
    <t>Table 1120</t>
  </si>
  <si>
    <t>FIRE1120</t>
  </si>
  <si>
    <t>Staff joining fire authorities (headcount), by fire and rescue authority, gender and role</t>
  </si>
  <si>
    <t>Accessibility</t>
  </si>
  <si>
    <r>
      <t xml:space="preserve">On Call </t>
    </r>
    <r>
      <rPr>
        <vertAlign val="superscript"/>
        <sz val="11"/>
        <color theme="1"/>
        <rFont val="Calibri"/>
        <family val="2"/>
        <scheme val="minor"/>
      </rPr>
      <t>2</t>
    </r>
  </si>
  <si>
    <t>2 Also known as Retained Duty System.</t>
  </si>
  <si>
    <t>end of table</t>
  </si>
  <si>
    <t>blank</t>
  </si>
  <si>
    <t xml:space="preserve">If you find any problems, or have any feedback, relating to accessibility </t>
  </si>
  <si>
    <t xml:space="preserve"> please email us at firestatistics@homeoffice.gov.uk</t>
  </si>
  <si>
    <t>Published: 21 October 2021</t>
  </si>
  <si>
    <t>Crown copyright © 2021</t>
  </si>
  <si>
    <t>Publication Date: 21 October 2021</t>
  </si>
  <si>
    <t>2016/17 to 2020/21</t>
  </si>
  <si>
    <t>Other</t>
  </si>
  <si>
    <t>Next Update: Autumn 2022</t>
  </si>
  <si>
    <t>2020-21</t>
  </si>
  <si>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2018/19</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</si>
  <si>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2019/20</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</si>
  <si>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2020/21</t>
    </r>
  </si>
  <si>
    <t>..</t>
  </si>
  <si>
    <t>.. denotes data unavailable.</t>
  </si>
  <si>
    <t xml:space="preserve">2020-21 is the first year in which data covering the gender category 'Other' has been collected. </t>
  </si>
  <si>
    <t>E31000001</t>
  </si>
  <si>
    <t>E31000002</t>
  </si>
  <si>
    <t>E31000003</t>
  </si>
  <si>
    <t>E31000004</t>
  </si>
  <si>
    <t>E31000005</t>
  </si>
  <si>
    <t>E31000006</t>
  </si>
  <si>
    <t>E31000007</t>
  </si>
  <si>
    <t>E31000008</t>
  </si>
  <si>
    <t>E31000009</t>
  </si>
  <si>
    <t>E31000010</t>
  </si>
  <si>
    <t>E31000011</t>
  </si>
  <si>
    <t>E31000047</t>
  </si>
  <si>
    <t>E31000013</t>
  </si>
  <si>
    <t>E31000014</t>
  </si>
  <si>
    <t>E31000015</t>
  </si>
  <si>
    <t>E31000016</t>
  </si>
  <si>
    <t>E31000046</t>
  </si>
  <si>
    <t>E31000040</t>
  </si>
  <si>
    <t>E31000017</t>
  </si>
  <si>
    <t>E31000018</t>
  </si>
  <si>
    <t>E31000019</t>
  </si>
  <si>
    <t>E31000020</t>
  </si>
  <si>
    <t>E31000021</t>
  </si>
  <si>
    <t>Isles Of Scilly</t>
  </si>
  <si>
    <t>E31000039</t>
  </si>
  <si>
    <t>E31000022</t>
  </si>
  <si>
    <t>E31000023</t>
  </si>
  <si>
    <t>E31000024</t>
  </si>
  <si>
    <t>E31000025</t>
  </si>
  <si>
    <t>E31000041</t>
  </si>
  <si>
    <t>E31000026</t>
  </si>
  <si>
    <t>NWFC</t>
  </si>
  <si>
    <t>E31000027</t>
  </si>
  <si>
    <t>E31000028</t>
  </si>
  <si>
    <t>E31000029</t>
  </si>
  <si>
    <t>E31000030</t>
  </si>
  <si>
    <t>E31000031</t>
  </si>
  <si>
    <t>E31000032</t>
  </si>
  <si>
    <t>E31000042</t>
  </si>
  <si>
    <t>E31000033</t>
  </si>
  <si>
    <t>E31000034</t>
  </si>
  <si>
    <t>E31000035</t>
  </si>
  <si>
    <t>E31000043</t>
  </si>
  <si>
    <t>E31000036</t>
  </si>
  <si>
    <t>E31000044</t>
  </si>
  <si>
    <t>E31000037</t>
  </si>
  <si>
    <t>E31000045</t>
  </si>
  <si>
    <r>
      <t>FIRE STATISTICS TABLE 1120: Staff joining fire authorities (headcount</t>
    </r>
    <r>
      <rPr>
        <b/>
        <vertAlign val="superscript"/>
        <sz val="11"/>
        <rFont val="Arial Black"/>
        <family val="2"/>
      </rPr>
      <t>1</t>
    </r>
    <r>
      <rPr>
        <b/>
        <sz val="11"/>
        <rFont val="Arial Black"/>
        <family val="2"/>
      </rPr>
      <t>), by fire and rescue authority, gender and role</t>
    </r>
  </si>
  <si>
    <t>The figures for 2016-17 were collected on a voluntary basis. Those eight FRSs with 0 new staff could be due to 0 new staff being recruited or due to the data being unavailable.</t>
  </si>
  <si>
    <t>Responsible Statistician: Tom Cracknell</t>
  </si>
  <si>
    <t>England, April 2020 to March 2021: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</si>
</sst>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sz val="11"/>
      <color rgb="FFFF0000"/>
      <name val="Calibri"/>
      <family val="2"/>
      <scheme val="minor"/>
    </font>
    <font>
      <sz val="10"/>
      <name val="MS Sans Serif"/>
    </font>
    <font>
      <sz val="10"/>
      <color rgb="FFFF0000"/>
      <name val="Calibri"/>
      <family val="2"/>
      <scheme val="minor"/>
    </font>
    <font>
      <sz val="10"/>
      <color rgb="FFFF0000"/>
      <name val="MS Sans Serif"/>
    </font>
    <font>
      <sz val="11"/>
      <color theme="8" tint="0.59999389629810485"/>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
      <b/>
      <sz val="11"/>
      <name val="Arial Black"/>
      <family val="2"/>
    </font>
    <font>
      <b/>
      <vertAlign val="superscript"/>
      <sz val="11"/>
      <name val="Arial Black"/>
      <family val="2"/>
    </font>
  </fonts>
  <fills count="11">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rgb="FFFFC000"/>
        <bgColor rgb="FFFFFFFF"/>
      </patternFill>
    </fill>
    <fill>
      <patternFill patternType="solid">
        <fgColor theme="0"/>
        <bgColor rgb="FFFF0000"/>
      </patternFill>
    </fill>
    <fill>
      <patternFill patternType="solid">
        <fgColor rgb="FFFFC000"/>
        <bgColor indexed="64"/>
      </patternFill>
    </fill>
    <fill>
      <patternFill patternType="solid">
        <fgColor rgb="FFFFCCFF"/>
        <bgColor indexed="64"/>
      </patternFill>
    </fill>
    <fill>
      <patternFill patternType="solid">
        <fgColor rgb="FF99CCFF"/>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1" fillId="0" borderId="0"/>
    <xf numFmtId="0" fontId="15" fillId="0" borderId="0" applyNumberFormat="0" applyBorder="0" applyProtection="0"/>
    <xf numFmtId="0" fontId="16" fillId="0" borderId="0" applyNumberFormat="0" applyBorder="0" applyProtection="0"/>
    <xf numFmtId="0" fontId="21" fillId="0" borderId="0" applyNumberFormat="0" applyFill="0" applyBorder="0" applyAlignment="0" applyProtection="0"/>
    <xf numFmtId="0" fontId="23" fillId="0" borderId="0" applyNumberFormat="0" applyFont="0" applyBorder="0" applyProtection="0"/>
    <xf numFmtId="0" fontId="25" fillId="0" borderId="0" applyNumberFormat="0" applyFill="0" applyBorder="0" applyAlignment="0" applyProtection="0"/>
    <xf numFmtId="0" fontId="8" fillId="0" borderId="0" applyNumberFormat="0" applyFill="0" applyBorder="0" applyAlignment="0" applyProtection="0"/>
    <xf numFmtId="0" fontId="16" fillId="0" borderId="0" applyNumberFormat="0" applyBorder="0" applyProtection="0"/>
    <xf numFmtId="0" fontId="25" fillId="0" borderId="0" applyNumberFormat="0" applyFill="0" applyBorder="0" applyAlignment="0" applyProtection="0"/>
    <xf numFmtId="0" fontId="23" fillId="0" borderId="0"/>
    <xf numFmtId="0" fontId="23" fillId="0" borderId="0" applyNumberFormat="0" applyFont="0" applyBorder="0" applyProtection="0"/>
  </cellStyleXfs>
  <cellXfs count="143">
    <xf numFmtId="0" fontId="0" fillId="0" borderId="0" xfId="0"/>
    <xf numFmtId="0" fontId="0" fillId="3" borderId="0" xfId="0" applyFill="1" applyAlignment="1">
      <alignment wrapText="1"/>
    </xf>
    <xf numFmtId="0" fontId="0" fillId="4" borderId="0" xfId="0" applyFill="1" applyBorder="1"/>
    <xf numFmtId="0" fontId="0" fillId="4" borderId="0" xfId="0" applyFill="1" applyBorder="1" applyAlignment="1">
      <alignment horizontal="center"/>
    </xf>
    <xf numFmtId="0" fontId="0" fillId="3" borderId="0" xfId="0" applyFill="1" applyBorder="1"/>
    <xf numFmtId="0" fontId="0" fillId="4" borderId="0" xfId="0" applyFill="1"/>
    <xf numFmtId="0" fontId="0" fillId="3" borderId="0" xfId="0" applyFill="1"/>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0" xfId="0" applyFill="1" applyAlignment="1">
      <alignment horizontal="right" vertical="center" wrapText="1"/>
    </xf>
    <xf numFmtId="0" fontId="2" fillId="4" borderId="2" xfId="0" applyFont="1" applyFill="1" applyBorder="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164" fontId="0" fillId="3" borderId="0" xfId="0" applyNumberFormat="1" applyFill="1"/>
    <xf numFmtId="1" fontId="0" fillId="3" borderId="0" xfId="0" applyNumberFormat="1" applyFill="1"/>
    <xf numFmtId="0" fontId="2" fillId="4" borderId="0" xfId="0" applyFont="1" applyFill="1" applyBorder="1"/>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4" borderId="0" xfId="0" applyNumberFormat="1" applyFill="1"/>
    <xf numFmtId="0" fontId="2" fillId="4" borderId="0" xfId="0" applyFont="1" applyFill="1"/>
    <xf numFmtId="0" fontId="0" fillId="4" borderId="1" xfId="0" applyFill="1" applyBorder="1"/>
    <xf numFmtId="3" fontId="0" fillId="3" borderId="1" xfId="0" applyNumberFormat="1" applyFont="1" applyFill="1" applyBorder="1" applyAlignment="1">
      <alignment horizontal="right"/>
    </xf>
    <xf numFmtId="3" fontId="2" fillId="3" borderId="1" xfId="0" applyNumberFormat="1" applyFont="1" applyFill="1" applyBorder="1" applyAlignment="1">
      <alignment horizontal="right"/>
    </xf>
    <xf numFmtId="9" fontId="2" fillId="3" borderId="1" xfId="1" applyFont="1" applyFill="1" applyBorder="1" applyAlignment="1">
      <alignment horizontal="right"/>
    </xf>
    <xf numFmtId="0" fontId="0" fillId="4" borderId="0" xfId="0" applyFill="1" applyAlignment="1">
      <alignment horizontal="left" wrapText="1"/>
    </xf>
    <xf numFmtId="0" fontId="7" fillId="4" borderId="0" xfId="0" applyFont="1" applyFill="1"/>
    <xf numFmtId="0" fontId="0" fillId="4" borderId="0" xfId="0" applyFill="1" applyAlignment="1">
      <alignment wrapText="1"/>
    </xf>
    <xf numFmtId="0" fontId="8" fillId="4" borderId="0" xfId="2" applyFont="1" applyFill="1"/>
    <xf numFmtId="0" fontId="0" fillId="4" borderId="0" xfId="0" applyFill="1" applyAlignment="1">
      <alignment horizontal="righ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8" fillId="4" borderId="0" xfId="2" applyFill="1" applyAlignment="1">
      <alignment horizontal="right"/>
    </xf>
    <xf numFmtId="0" fontId="3" fillId="6" borderId="0" xfId="0" applyFont="1" applyFill="1" applyAlignment="1">
      <alignment horizontal="left" wrapText="1"/>
    </xf>
    <xf numFmtId="3" fontId="0" fillId="7" borderId="0" xfId="0" applyNumberFormat="1" applyFont="1" applyFill="1" applyBorder="1" applyAlignment="1">
      <alignment horizontal="right"/>
    </xf>
    <xf numFmtId="3" fontId="0" fillId="0" borderId="0" xfId="0" applyNumberFormat="1"/>
    <xf numFmtId="9" fontId="0" fillId="0" borderId="0" xfId="1" applyNumberFormat="1" applyFont="1"/>
    <xf numFmtId="0" fontId="11" fillId="0" borderId="0" xfId="3"/>
    <xf numFmtId="0" fontId="11" fillId="8" borderId="0" xfId="3" applyFill="1"/>
    <xf numFmtId="0" fontId="10" fillId="0" borderId="0" xfId="3" applyFont="1"/>
    <xf numFmtId="0" fontId="11" fillId="9" borderId="0" xfId="3" applyFill="1"/>
    <xf numFmtId="0" fontId="2" fillId="9" borderId="0" xfId="3" applyFont="1" applyFill="1"/>
    <xf numFmtId="0" fontId="0" fillId="0" borderId="0" xfId="0" applyFill="1"/>
    <xf numFmtId="0" fontId="11" fillId="0" borderId="0" xfId="3" applyFill="1"/>
    <xf numFmtId="0" fontId="2" fillId="0" borderId="0" xfId="3" applyFont="1" applyFill="1"/>
    <xf numFmtId="0" fontId="10" fillId="8" borderId="0" xfId="3" quotePrefix="1" applyFont="1" applyFill="1"/>
    <xf numFmtId="0" fontId="10" fillId="8" borderId="0" xfId="3" applyFont="1" applyFill="1"/>
    <xf numFmtId="0" fontId="10" fillId="0" borderId="0" xfId="0" applyFont="1" applyFill="1"/>
    <xf numFmtId="0" fontId="11" fillId="8" borderId="0" xfId="3" applyFont="1" applyFill="1"/>
    <xf numFmtId="0" fontId="10" fillId="0" borderId="0" xfId="0" applyFont="1"/>
    <xf numFmtId="0" fontId="10" fillId="0" borderId="0" xfId="3" applyFont="1" applyFill="1"/>
    <xf numFmtId="0" fontId="12" fillId="0" borderId="0" xfId="3" applyFont="1" applyFill="1"/>
    <xf numFmtId="0" fontId="12" fillId="0" borderId="0" xfId="3" applyFont="1"/>
    <xf numFmtId="0" fontId="0" fillId="9" borderId="0" xfId="0" applyFill="1"/>
    <xf numFmtId="0" fontId="10" fillId="8" borderId="0" xfId="0" applyFont="1" applyFill="1"/>
    <xf numFmtId="0" fontId="13" fillId="0" borderId="0" xfId="3" applyFont="1"/>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xf>
    <xf numFmtId="0" fontId="7" fillId="3" borderId="0" xfId="0" applyFont="1" applyFill="1"/>
    <xf numFmtId="0" fontId="0" fillId="3" borderId="0" xfId="0" applyFill="1" applyAlignment="1">
      <alignment horizontal="left" vertical="top" wrapText="1"/>
    </xf>
    <xf numFmtId="0" fontId="8" fillId="3" borderId="0" xfId="2" applyFont="1" applyFill="1"/>
    <xf numFmtId="0" fontId="14" fillId="0" borderId="0" xfId="0" applyFont="1"/>
    <xf numFmtId="0" fontId="2" fillId="0" borderId="0" xfId="0" applyFont="1"/>
    <xf numFmtId="0" fontId="0" fillId="0" borderId="0" xfId="0" applyAlignment="1">
      <alignment wrapText="1"/>
    </xf>
    <xf numFmtId="0" fontId="2" fillId="0" borderId="0" xfId="0" applyFont="1" applyAlignment="1">
      <alignment horizontal="center"/>
    </xf>
    <xf numFmtId="0" fontId="0" fillId="3" borderId="0" xfId="0" applyFill="1" applyAlignment="1">
      <alignment horizontal="left" vertical="top"/>
    </xf>
    <xf numFmtId="0" fontId="8" fillId="3" borderId="0" xfId="2" applyFill="1"/>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8" fillId="3" borderId="0" xfId="2" applyFill="1" applyAlignment="1">
      <alignment horizontal="right"/>
    </xf>
    <xf numFmtId="9" fontId="0" fillId="3" borderId="0" xfId="1" applyFont="1" applyFill="1"/>
    <xf numFmtId="0" fontId="16" fillId="10" borderId="0" xfId="4" applyFont="1" applyFill="1" applyAlignment="1"/>
    <xf numFmtId="0" fontId="17" fillId="10" borderId="0" xfId="5" applyFont="1" applyFill="1" applyAlignment="1">
      <alignment vertical="center"/>
    </xf>
    <xf numFmtId="0" fontId="18" fillId="10" borderId="0" xfId="4" applyFont="1" applyFill="1" applyAlignment="1"/>
    <xf numFmtId="0" fontId="19" fillId="0" borderId="0" xfId="5" applyFont="1" applyFill="1" applyAlignment="1">
      <alignment vertical="center"/>
    </xf>
    <xf numFmtId="0" fontId="20" fillId="0" borderId="0" xfId="4" applyFont="1" applyFill="1" applyAlignment="1"/>
    <xf numFmtId="0" fontId="15" fillId="10" borderId="0" xfId="4" applyFont="1" applyFill="1" applyAlignment="1"/>
    <xf numFmtId="0" fontId="22" fillId="10" borderId="0" xfId="6" applyFont="1" applyFill="1" applyAlignment="1"/>
    <xf numFmtId="0" fontId="15" fillId="10" borderId="0" xfId="7" applyFont="1" applyFill="1" applyAlignment="1"/>
    <xf numFmtId="0" fontId="26" fillId="10" borderId="0" xfId="8" applyFont="1" applyFill="1" applyAlignment="1"/>
    <xf numFmtId="0" fontId="27" fillId="10" borderId="0" xfId="9" applyFont="1" applyFill="1" applyAlignment="1"/>
    <xf numFmtId="0" fontId="28" fillId="10" borderId="0" xfId="5" applyFont="1" applyFill="1" applyAlignment="1"/>
    <xf numFmtId="0" fontId="29" fillId="10" borderId="0" xfId="10" applyFont="1" applyFill="1" applyAlignment="1"/>
    <xf numFmtId="0" fontId="29" fillId="10" borderId="0" xfId="10" applyFont="1" applyFill="1" applyAlignment="1">
      <alignment horizontal="left"/>
    </xf>
    <xf numFmtId="0" fontId="29" fillId="10" borderId="0" xfId="5" applyFont="1" applyFill="1" applyAlignment="1"/>
    <xf numFmtId="0" fontId="29" fillId="10" borderId="0" xfId="5" applyFont="1" applyFill="1" applyAlignment="1">
      <alignment horizontal="left"/>
    </xf>
    <xf numFmtId="0" fontId="30" fillId="10" borderId="0" xfId="8" applyFont="1" applyFill="1" applyAlignment="1"/>
    <xf numFmtId="0" fontId="30" fillId="10" borderId="0" xfId="11" applyFont="1" applyFill="1" applyAlignment="1"/>
    <xf numFmtId="0" fontId="28" fillId="10" borderId="0" xfId="10" applyFont="1" applyFill="1" applyAlignment="1">
      <alignment wrapText="1"/>
    </xf>
    <xf numFmtId="0" fontId="28" fillId="10" borderId="0" xfId="10" applyFont="1" applyFill="1" applyAlignment="1">
      <alignment horizontal="left" wrapText="1"/>
    </xf>
    <xf numFmtId="0" fontId="23" fillId="10" borderId="0" xfId="12" applyFill="1"/>
    <xf numFmtId="0" fontId="29" fillId="10" borderId="0" xfId="13" applyFont="1" applyFill="1" applyAlignment="1">
      <alignment horizontal="left" vertical="center" wrapText="1"/>
    </xf>
    <xf numFmtId="0" fontId="31" fillId="3" borderId="0" xfId="0" applyFont="1" applyFill="1"/>
    <xf numFmtId="1" fontId="29" fillId="10" borderId="0" xfId="13" applyNumberFormat="1" applyFont="1" applyFill="1" applyAlignment="1">
      <alignment horizontal="left" vertical="center"/>
    </xf>
    <xf numFmtId="0" fontId="29" fillId="10" borderId="0" xfId="12" applyFont="1" applyFill="1"/>
    <xf numFmtId="0" fontId="32" fillId="10" borderId="0" xfId="12" applyFont="1" applyFill="1"/>
    <xf numFmtId="0" fontId="32" fillId="10" borderId="0" xfId="12" applyFont="1" applyFill="1" applyAlignment="1">
      <alignment wrapText="1"/>
    </xf>
    <xf numFmtId="0" fontId="32" fillId="10" borderId="0" xfId="12" applyFont="1" applyFill="1" applyAlignment="1">
      <alignment horizontal="left"/>
    </xf>
    <xf numFmtId="0" fontId="0" fillId="4" borderId="0" xfId="0" applyFill="1" applyAlignment="1"/>
    <xf numFmtId="0" fontId="8" fillId="3" borderId="0" xfId="2" applyFill="1" applyAlignment="1"/>
    <xf numFmtId="0" fontId="0" fillId="4" borderId="1" xfId="0" applyFill="1" applyBorder="1" applyAlignment="1">
      <alignment vertical="center"/>
    </xf>
    <xf numFmtId="0" fontId="0" fillId="4" borderId="1" xfId="0" applyFill="1" applyBorder="1" applyAlignment="1">
      <alignment horizontal="center" vertical="center"/>
    </xf>
    <xf numFmtId="0" fontId="2" fillId="4" borderId="1" xfId="0" applyFont="1" applyFill="1" applyBorder="1" applyAlignment="1">
      <alignment vertical="center"/>
    </xf>
    <xf numFmtId="0" fontId="3" fillId="2" borderId="0" xfId="0" applyFont="1" applyFill="1" applyAlignment="1"/>
    <xf numFmtId="0" fontId="2" fillId="5" borderId="0" xfId="0" applyFont="1" applyFill="1" applyBorder="1" applyAlignment="1">
      <alignment horizontal="center"/>
    </xf>
    <xf numFmtId="0" fontId="33" fillId="4" borderId="0" xfId="0" applyFont="1" applyFill="1"/>
    <xf numFmtId="0" fontId="33" fillId="4" borderId="0" xfId="0" applyFont="1" applyFill="1" applyBorder="1" applyAlignment="1">
      <alignment horizontal="center"/>
    </xf>
    <xf numFmtId="9" fontId="33" fillId="3" borderId="1" xfId="1" applyFont="1" applyFill="1" applyBorder="1" applyAlignment="1">
      <alignment horizontal="right"/>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15" fillId="10" borderId="0" xfId="4" applyFill="1"/>
    <xf numFmtId="0" fontId="28" fillId="10" borderId="0" xfId="5" applyFont="1" applyFill="1"/>
    <xf numFmtId="9" fontId="0" fillId="3" borderId="0" xfId="0" applyNumberFormat="1" applyFont="1" applyFill="1" applyBorder="1" applyAlignment="1">
      <alignment horizontal="right"/>
    </xf>
    <xf numFmtId="9" fontId="0" fillId="3" borderId="1" xfId="0" applyNumberFormat="1" applyFont="1" applyFill="1" applyBorder="1" applyAlignment="1">
      <alignment horizontal="right"/>
    </xf>
    <xf numFmtId="9" fontId="2" fillId="3" borderId="0" xfId="0" applyNumberFormat="1" applyFont="1" applyFill="1" applyBorder="1" applyAlignment="1">
      <alignment horizontal="right"/>
    </xf>
    <xf numFmtId="0" fontId="34" fillId="2" borderId="0" xfId="0" applyFont="1" applyFill="1" applyAlignment="1"/>
    <xf numFmtId="0" fontId="33" fillId="4" borderId="1" xfId="0" applyFont="1" applyFill="1" applyBorder="1" applyAlignment="1">
      <alignment horizontal="center"/>
    </xf>
    <xf numFmtId="165" fontId="2" fillId="3" borderId="0" xfId="0" applyNumberFormat="1" applyFont="1" applyFill="1" applyBorder="1" applyAlignment="1">
      <alignment horizontal="right"/>
    </xf>
    <xf numFmtId="165" fontId="0" fillId="3" borderId="0" xfId="0" applyNumberFormat="1" applyFont="1" applyFill="1" applyBorder="1" applyAlignment="1">
      <alignment horizontal="right"/>
    </xf>
    <xf numFmtId="165" fontId="0" fillId="3" borderId="1" xfId="0" applyNumberFormat="1" applyFont="1" applyFill="1" applyBorder="1" applyAlignment="1">
      <alignment horizontal="right"/>
    </xf>
    <xf numFmtId="0" fontId="27" fillId="3" borderId="0" xfId="2" applyFont="1" applyFill="1" applyAlignment="1">
      <alignment horizontal="left"/>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horizontal="left" wrapText="1"/>
    </xf>
    <xf numFmtId="0" fontId="3" fillId="2" borderId="0" xfId="0" applyFont="1"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0" xfId="0" applyFont="1" applyFill="1" applyBorder="1" applyAlignment="1">
      <alignment horizontal="center"/>
    </xf>
  </cellXfs>
  <cellStyles count="14">
    <cellStyle name="Hyperlink" xfId="2" xr:uid="{00000000-0005-0000-0000-000000000000}"/>
    <cellStyle name="Hyperlink 2" xfId="6" xr:uid="{9A4C0A23-07AA-4363-9BF1-EBAAD31B5C76}"/>
    <cellStyle name="Hyperlink 2 2" xfId="8" xr:uid="{441DE1BD-00B0-434C-AC8C-81177EF23EE5}"/>
    <cellStyle name="Hyperlink 2 2 2" xfId="11" xr:uid="{E658E155-59E2-489F-9282-3158306138B9}"/>
    <cellStyle name="Hyperlink 3" xfId="9" xr:uid="{E992268A-4F24-4F1F-9FE6-5F16B745152C}"/>
    <cellStyle name="Normal" xfId="0" builtinId="0"/>
    <cellStyle name="Normal 2 2 2 2" xfId="5" xr:uid="{0B2C4382-CC8B-4179-8C1D-5D2BDFA28FB6}"/>
    <cellStyle name="Normal 2 3" xfId="10" xr:uid="{6CA1A89D-991F-4C51-A201-AEA73A359BFE}"/>
    <cellStyle name="Normal 2 4" xfId="13" xr:uid="{171A8650-C6D3-4661-B630-6C4FC5DFCA49}"/>
    <cellStyle name="Normal 3" xfId="3" xr:uid="{33A66B2D-46A7-4644-BF8E-1DFBC47902BC}"/>
    <cellStyle name="Normal 5 2" xfId="12" xr:uid="{1D2FF301-9895-4706-87EE-9B3C4D053AD6}"/>
    <cellStyle name="Normal 6 2" xfId="4" xr:uid="{04A89287-0501-48E2-9400-B6EA11E0257C}"/>
    <cellStyle name="Normal 7 2" xfId="7" xr:uid="{AC1C948B-71CC-4CEE-A0A0-090B49E3CD8F}"/>
    <cellStyle name="Percent" xfId="1" builtinId="5"/>
  </cellStyles>
  <dxfs count="1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91C984D5-211B-4CBE-A4C7-A640C740C8C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6E63825E-6740-4EC6-94D8-87E13A160D8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0393948" y="190496"/>
          <a:ext cx="1113062" cy="57222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20" textlink="">
      <xdr:nvSpPr>
        <xdr:cNvPr id="2" name="Star: 5 Points 1">
          <a:extLst>
            <a:ext uri="{FF2B5EF4-FFF2-40B4-BE49-F238E27FC236}">
              <a16:creationId xmlns:a16="http://schemas.microsoft.com/office/drawing/2014/main" id="{C780FFCE-EB51-44BF-9324-CC1C3C2280DF}"/>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DEBC-7B62-4DE3-B61A-F9AF5E0F2A67}">
  <dimension ref="A1:K14"/>
  <sheetViews>
    <sheetView tabSelected="1" workbookViewId="0"/>
  </sheetViews>
  <sheetFormatPr defaultRowHeight="13.2" x14ac:dyDescent="0.25"/>
  <cols>
    <col min="1" max="1" width="74" style="80" bestFit="1" customWidth="1"/>
    <col min="2" max="255" width="9.44140625" style="80" customWidth="1"/>
    <col min="256" max="256" width="2.77734375" style="80" customWidth="1"/>
    <col min="257" max="257" width="74" style="80" bestFit="1" customWidth="1"/>
    <col min="258" max="511" width="9.44140625" style="80" customWidth="1"/>
    <col min="512" max="512" width="2.77734375" style="80" customWidth="1"/>
    <col min="513" max="513" width="74" style="80" bestFit="1" customWidth="1"/>
    <col min="514" max="767" width="9.44140625" style="80" customWidth="1"/>
    <col min="768" max="768" width="2.77734375" style="80" customWidth="1"/>
    <col min="769" max="769" width="74" style="80" bestFit="1" customWidth="1"/>
    <col min="770" max="1023" width="9.44140625" style="80" customWidth="1"/>
    <col min="1024" max="1024" width="2.77734375" style="80" customWidth="1"/>
    <col min="1025" max="1025" width="74" style="80" bestFit="1" customWidth="1"/>
    <col min="1026" max="1279" width="9.44140625" style="80" customWidth="1"/>
    <col min="1280" max="1280" width="2.77734375" style="80" customWidth="1"/>
    <col min="1281" max="1281" width="74" style="80" bestFit="1" customWidth="1"/>
    <col min="1282" max="1535" width="9.44140625" style="80" customWidth="1"/>
    <col min="1536" max="1536" width="2.77734375" style="80" customWidth="1"/>
    <col min="1537" max="1537" width="74" style="80" bestFit="1" customWidth="1"/>
    <col min="1538" max="1791" width="9.44140625" style="80" customWidth="1"/>
    <col min="1792" max="1792" width="2.77734375" style="80" customWidth="1"/>
    <col min="1793" max="1793" width="74" style="80" bestFit="1" customWidth="1"/>
    <col min="1794" max="2047" width="9.44140625" style="80" customWidth="1"/>
    <col min="2048" max="2048" width="2.77734375" style="80" customWidth="1"/>
    <col min="2049" max="2049" width="74" style="80" bestFit="1" customWidth="1"/>
    <col min="2050" max="2303" width="9.44140625" style="80" customWidth="1"/>
    <col min="2304" max="2304" width="2.77734375" style="80" customWidth="1"/>
    <col min="2305" max="2305" width="74" style="80" bestFit="1" customWidth="1"/>
    <col min="2306" max="2559" width="9.44140625" style="80" customWidth="1"/>
    <col min="2560" max="2560" width="2.77734375" style="80" customWidth="1"/>
    <col min="2561" max="2561" width="74" style="80" bestFit="1" customWidth="1"/>
    <col min="2562" max="2815" width="9.44140625" style="80" customWidth="1"/>
    <col min="2816" max="2816" width="2.77734375" style="80" customWidth="1"/>
    <col min="2817" max="2817" width="74" style="80" bestFit="1" customWidth="1"/>
    <col min="2818" max="3071" width="9.44140625" style="80" customWidth="1"/>
    <col min="3072" max="3072" width="2.77734375" style="80" customWidth="1"/>
    <col min="3073" max="3073" width="74" style="80" bestFit="1" customWidth="1"/>
    <col min="3074" max="3327" width="9.44140625" style="80" customWidth="1"/>
    <col min="3328" max="3328" width="2.77734375" style="80" customWidth="1"/>
    <col min="3329" max="3329" width="74" style="80" bestFit="1" customWidth="1"/>
    <col min="3330" max="3583" width="9.44140625" style="80" customWidth="1"/>
    <col min="3584" max="3584" width="2.77734375" style="80" customWidth="1"/>
    <col min="3585" max="3585" width="74" style="80" bestFit="1" customWidth="1"/>
    <col min="3586" max="3839" width="9.44140625" style="80" customWidth="1"/>
    <col min="3840" max="3840" width="2.77734375" style="80" customWidth="1"/>
    <col min="3841" max="3841" width="74" style="80" bestFit="1" customWidth="1"/>
    <col min="3842" max="4095" width="9.44140625" style="80" customWidth="1"/>
    <col min="4096" max="4096" width="2.77734375" style="80" customWidth="1"/>
    <col min="4097" max="4097" width="74" style="80" bestFit="1" customWidth="1"/>
    <col min="4098" max="4351" width="9.44140625" style="80" customWidth="1"/>
    <col min="4352" max="4352" width="2.77734375" style="80" customWidth="1"/>
    <col min="4353" max="4353" width="74" style="80" bestFit="1" customWidth="1"/>
    <col min="4354" max="4607" width="9.44140625" style="80" customWidth="1"/>
    <col min="4608" max="4608" width="2.77734375" style="80" customWidth="1"/>
    <col min="4609" max="4609" width="74" style="80" bestFit="1" customWidth="1"/>
    <col min="4610" max="4863" width="9.44140625" style="80" customWidth="1"/>
    <col min="4864" max="4864" width="2.77734375" style="80" customWidth="1"/>
    <col min="4865" max="4865" width="74" style="80" bestFit="1" customWidth="1"/>
    <col min="4866" max="5119" width="9.44140625" style="80" customWidth="1"/>
    <col min="5120" max="5120" width="2.77734375" style="80" customWidth="1"/>
    <col min="5121" max="5121" width="74" style="80" bestFit="1" customWidth="1"/>
    <col min="5122" max="5375" width="9.44140625" style="80" customWidth="1"/>
    <col min="5376" max="5376" width="2.77734375" style="80" customWidth="1"/>
    <col min="5377" max="5377" width="74" style="80" bestFit="1" customWidth="1"/>
    <col min="5378" max="5631" width="9.44140625" style="80" customWidth="1"/>
    <col min="5632" max="5632" width="2.77734375" style="80" customWidth="1"/>
    <col min="5633" max="5633" width="74" style="80" bestFit="1" customWidth="1"/>
    <col min="5634" max="5887" width="9.44140625" style="80" customWidth="1"/>
    <col min="5888" max="5888" width="2.77734375" style="80" customWidth="1"/>
    <col min="5889" max="5889" width="74" style="80" bestFit="1" customWidth="1"/>
    <col min="5890" max="6143" width="9.44140625" style="80" customWidth="1"/>
    <col min="6144" max="6144" width="2.77734375" style="80" customWidth="1"/>
    <col min="6145" max="6145" width="74" style="80" bestFit="1" customWidth="1"/>
    <col min="6146" max="6399" width="9.44140625" style="80" customWidth="1"/>
    <col min="6400" max="6400" width="2.77734375" style="80" customWidth="1"/>
    <col min="6401" max="6401" width="74" style="80" bestFit="1" customWidth="1"/>
    <col min="6402" max="6655" width="9.44140625" style="80" customWidth="1"/>
    <col min="6656" max="6656" width="2.77734375" style="80" customWidth="1"/>
    <col min="6657" max="6657" width="74" style="80" bestFit="1" customWidth="1"/>
    <col min="6658" max="6911" width="9.44140625" style="80" customWidth="1"/>
    <col min="6912" max="6912" width="2.77734375" style="80" customWidth="1"/>
    <col min="6913" max="6913" width="74" style="80" bestFit="1" customWidth="1"/>
    <col min="6914" max="7167" width="9.44140625" style="80" customWidth="1"/>
    <col min="7168" max="7168" width="2.77734375" style="80" customWidth="1"/>
    <col min="7169" max="7169" width="74" style="80" bestFit="1" customWidth="1"/>
    <col min="7170" max="7423" width="9.44140625" style="80" customWidth="1"/>
    <col min="7424" max="7424" width="2.77734375" style="80" customWidth="1"/>
    <col min="7425" max="7425" width="74" style="80" bestFit="1" customWidth="1"/>
    <col min="7426" max="7679" width="9.44140625" style="80" customWidth="1"/>
    <col min="7680" max="7680" width="2.77734375" style="80" customWidth="1"/>
    <col min="7681" max="7681" width="74" style="80" bestFit="1" customWidth="1"/>
    <col min="7682" max="7935" width="9.44140625" style="80" customWidth="1"/>
    <col min="7936" max="7936" width="2.77734375" style="80" customWidth="1"/>
    <col min="7937" max="7937" width="74" style="80" bestFit="1" customWidth="1"/>
    <col min="7938" max="8191" width="9.44140625" style="80" customWidth="1"/>
    <col min="8192" max="8192" width="2.77734375" style="80" customWidth="1"/>
    <col min="8193" max="8193" width="74" style="80" bestFit="1" customWidth="1"/>
    <col min="8194" max="8447" width="9.44140625" style="80" customWidth="1"/>
    <col min="8448" max="8448" width="2.77734375" style="80" customWidth="1"/>
    <col min="8449" max="8449" width="74" style="80" bestFit="1" customWidth="1"/>
    <col min="8450" max="8703" width="9.44140625" style="80" customWidth="1"/>
    <col min="8704" max="8704" width="2.77734375" style="80" customWidth="1"/>
    <col min="8705" max="8705" width="74" style="80" bestFit="1" customWidth="1"/>
    <col min="8706" max="8959" width="9.44140625" style="80" customWidth="1"/>
    <col min="8960" max="8960" width="2.77734375" style="80" customWidth="1"/>
    <col min="8961" max="8961" width="74" style="80" bestFit="1" customWidth="1"/>
    <col min="8962" max="9215" width="9.44140625" style="80" customWidth="1"/>
    <col min="9216" max="9216" width="2.77734375" style="80" customWidth="1"/>
    <col min="9217" max="9217" width="74" style="80" bestFit="1" customWidth="1"/>
    <col min="9218" max="9471" width="9.44140625" style="80" customWidth="1"/>
    <col min="9472" max="9472" width="2.77734375" style="80" customWidth="1"/>
    <col min="9473" max="9473" width="74" style="80" bestFit="1" customWidth="1"/>
    <col min="9474" max="9727" width="9.44140625" style="80" customWidth="1"/>
    <col min="9728" max="9728" width="2.77734375" style="80" customWidth="1"/>
    <col min="9729" max="9729" width="74" style="80" bestFit="1" customWidth="1"/>
    <col min="9730" max="9983" width="9.44140625" style="80" customWidth="1"/>
    <col min="9984" max="9984" width="2.77734375" style="80" customWidth="1"/>
    <col min="9985" max="9985" width="74" style="80" bestFit="1" customWidth="1"/>
    <col min="9986" max="10239" width="9.44140625" style="80" customWidth="1"/>
    <col min="10240" max="10240" width="2.77734375" style="80" customWidth="1"/>
    <col min="10241" max="10241" width="74" style="80" bestFit="1" customWidth="1"/>
    <col min="10242" max="10495" width="9.44140625" style="80" customWidth="1"/>
    <col min="10496" max="10496" width="2.77734375" style="80" customWidth="1"/>
    <col min="10497" max="10497" width="74" style="80" bestFit="1" customWidth="1"/>
    <col min="10498" max="10751" width="9.44140625" style="80" customWidth="1"/>
    <col min="10752" max="10752" width="2.77734375" style="80" customWidth="1"/>
    <col min="10753" max="10753" width="74" style="80" bestFit="1" customWidth="1"/>
    <col min="10754" max="11007" width="9.44140625" style="80" customWidth="1"/>
    <col min="11008" max="11008" width="2.77734375" style="80" customWidth="1"/>
    <col min="11009" max="11009" width="74" style="80" bestFit="1" customWidth="1"/>
    <col min="11010" max="11263" width="9.44140625" style="80" customWidth="1"/>
    <col min="11264" max="11264" width="2.77734375" style="80" customWidth="1"/>
    <col min="11265" max="11265" width="74" style="80" bestFit="1" customWidth="1"/>
    <col min="11266" max="11519" width="9.44140625" style="80" customWidth="1"/>
    <col min="11520" max="11520" width="2.77734375" style="80" customWidth="1"/>
    <col min="11521" max="11521" width="74" style="80" bestFit="1" customWidth="1"/>
    <col min="11522" max="11775" width="9.44140625" style="80" customWidth="1"/>
    <col min="11776" max="11776" width="2.77734375" style="80" customWidth="1"/>
    <col min="11777" max="11777" width="74" style="80" bestFit="1" customWidth="1"/>
    <col min="11778" max="12031" width="9.44140625" style="80" customWidth="1"/>
    <col min="12032" max="12032" width="2.77734375" style="80" customWidth="1"/>
    <col min="12033" max="12033" width="74" style="80" bestFit="1" customWidth="1"/>
    <col min="12034" max="12287" width="9.44140625" style="80" customWidth="1"/>
    <col min="12288" max="12288" width="2.77734375" style="80" customWidth="1"/>
    <col min="12289" max="12289" width="74" style="80" bestFit="1" customWidth="1"/>
    <col min="12290" max="12543" width="9.44140625" style="80" customWidth="1"/>
    <col min="12544" max="12544" width="2.77734375" style="80" customWidth="1"/>
    <col min="12545" max="12545" width="74" style="80" bestFit="1" customWidth="1"/>
    <col min="12546" max="12799" width="9.44140625" style="80" customWidth="1"/>
    <col min="12800" max="12800" width="2.77734375" style="80" customWidth="1"/>
    <col min="12801" max="12801" width="74" style="80" bestFit="1" customWidth="1"/>
    <col min="12802" max="13055" width="9.44140625" style="80" customWidth="1"/>
    <col min="13056" max="13056" width="2.77734375" style="80" customWidth="1"/>
    <col min="13057" max="13057" width="74" style="80" bestFit="1" customWidth="1"/>
    <col min="13058" max="13311" width="9.44140625" style="80" customWidth="1"/>
    <col min="13312" max="13312" width="2.77734375" style="80" customWidth="1"/>
    <col min="13313" max="13313" width="74" style="80" bestFit="1" customWidth="1"/>
    <col min="13314" max="13567" width="9.44140625" style="80" customWidth="1"/>
    <col min="13568" max="13568" width="2.77734375" style="80" customWidth="1"/>
    <col min="13569" max="13569" width="74" style="80" bestFit="1" customWidth="1"/>
    <col min="13570" max="13823" width="9.44140625" style="80" customWidth="1"/>
    <col min="13824" max="13824" width="2.77734375" style="80" customWidth="1"/>
    <col min="13825" max="13825" width="74" style="80" bestFit="1" customWidth="1"/>
    <col min="13826" max="14079" width="9.44140625" style="80" customWidth="1"/>
    <col min="14080" max="14080" width="2.77734375" style="80" customWidth="1"/>
    <col min="14081" max="14081" width="74" style="80" bestFit="1" customWidth="1"/>
    <col min="14082" max="14335" width="9.44140625" style="80" customWidth="1"/>
    <col min="14336" max="14336" width="2.77734375" style="80" customWidth="1"/>
    <col min="14337" max="14337" width="74" style="80" bestFit="1" customWidth="1"/>
    <col min="14338" max="14591" width="9.44140625" style="80" customWidth="1"/>
    <col min="14592" max="14592" width="2.77734375" style="80" customWidth="1"/>
    <col min="14593" max="14593" width="74" style="80" bestFit="1" customWidth="1"/>
    <col min="14594" max="14847" width="9.44140625" style="80" customWidth="1"/>
    <col min="14848" max="14848" width="2.77734375" style="80" customWidth="1"/>
    <col min="14849" max="14849" width="74" style="80" bestFit="1" customWidth="1"/>
    <col min="14850" max="15103" width="9.44140625" style="80" customWidth="1"/>
    <col min="15104" max="15104" width="2.77734375" style="80" customWidth="1"/>
    <col min="15105" max="15105" width="74" style="80" bestFit="1" customWidth="1"/>
    <col min="15106" max="15359" width="9.44140625" style="80" customWidth="1"/>
    <col min="15360" max="15360" width="2.77734375" style="80" customWidth="1"/>
    <col min="15361" max="15361" width="74" style="80" bestFit="1" customWidth="1"/>
    <col min="15362" max="15615" width="9.44140625" style="80" customWidth="1"/>
    <col min="15616" max="15616" width="2.77734375" style="80" customWidth="1"/>
    <col min="15617" max="15617" width="74" style="80" bestFit="1" customWidth="1"/>
    <col min="15618" max="15871" width="9.44140625" style="80" customWidth="1"/>
    <col min="15872" max="15872" width="2.77734375" style="80" customWidth="1"/>
    <col min="15873" max="15873" width="74" style="80" bestFit="1" customWidth="1"/>
    <col min="15874" max="16127" width="9.44140625" style="80" customWidth="1"/>
    <col min="16128" max="16128" width="2.77734375" style="80" customWidth="1"/>
    <col min="16129" max="16129" width="74" style="80" bestFit="1" customWidth="1"/>
    <col min="16130" max="16384" width="9.44140625" style="80" customWidth="1"/>
  </cols>
  <sheetData>
    <row r="1" spans="1:11" ht="84" customHeight="1" x14ac:dyDescent="0.25"/>
    <row r="2" spans="1:11" ht="22.8" x14ac:dyDescent="0.25">
      <c r="A2" s="81" t="s">
        <v>167</v>
      </c>
    </row>
    <row r="3" spans="1:11" ht="22.8" x14ac:dyDescent="0.25">
      <c r="A3" s="81" t="s">
        <v>241</v>
      </c>
    </row>
    <row r="4" spans="1:11" ht="45" customHeight="1" x14ac:dyDescent="0.3">
      <c r="A4" s="82" t="s">
        <v>168</v>
      </c>
      <c r="C4" s="83"/>
      <c r="K4" s="84"/>
    </row>
    <row r="5" spans="1:11" ht="32.25" customHeight="1" x14ac:dyDescent="0.25">
      <c r="A5" s="85" t="s">
        <v>240</v>
      </c>
      <c r="B5" s="85"/>
    </row>
    <row r="6" spans="1:11" ht="15" x14ac:dyDescent="0.25">
      <c r="A6" s="86" t="s">
        <v>157</v>
      </c>
      <c r="B6" s="85"/>
    </row>
    <row r="7" spans="1:11" ht="15.6" x14ac:dyDescent="0.3">
      <c r="A7" s="87" t="s">
        <v>158</v>
      </c>
      <c r="B7" s="88"/>
    </row>
    <row r="8" spans="1:11" ht="28.5" customHeight="1" x14ac:dyDescent="0.25">
      <c r="A8" s="135" t="s">
        <v>178</v>
      </c>
      <c r="B8" s="87"/>
    </row>
    <row r="9" spans="1:11" ht="15" x14ac:dyDescent="0.25">
      <c r="A9" s="135" t="s">
        <v>183</v>
      </c>
      <c r="B9" s="87"/>
    </row>
    <row r="10" spans="1:11" ht="30" customHeight="1" x14ac:dyDescent="0.25">
      <c r="A10" s="125" t="s">
        <v>179</v>
      </c>
    </row>
    <row r="11" spans="1:11" ht="15" x14ac:dyDescent="0.25">
      <c r="A11" s="89" t="s">
        <v>159</v>
      </c>
    </row>
    <row r="12" spans="1:11" ht="26.25" customHeight="1" x14ac:dyDescent="0.25">
      <c r="A12" s="85" t="s">
        <v>160</v>
      </c>
    </row>
    <row r="13" spans="1:11" ht="15" x14ac:dyDescent="0.25">
      <c r="A13" s="85" t="s">
        <v>176</v>
      </c>
    </row>
    <row r="14" spans="1:11" ht="15" x14ac:dyDescent="0.25">
      <c r="A14" s="89" t="s">
        <v>177</v>
      </c>
    </row>
  </sheetData>
  <hyperlinks>
    <hyperlink ref="A6" r:id="rId1" xr:uid="{2875E8CA-2B5E-4A6D-A2A1-E959D9B6A36C}"/>
    <hyperlink ref="A11" location="Contents!A1" display="Contents" xr:uid="{F3944983-7542-41C8-AC35-B22172127CC1}"/>
    <hyperlink ref="A14" r:id="rId2" display="If you find any problems, or have any feedback, relating to accessibility please email us at firestatistics@homeoffice.gov.uk" xr:uid="{242ECCDF-01C4-46BE-9A76-5D7A002921C8}"/>
    <hyperlink ref="A8" r:id="rId3" display="Updated alongside Fire and rescue workforce and pensions statistics" xr:uid="{2ADFF251-6349-47F5-9E7C-F2087AD9A714}"/>
    <hyperlink ref="A9" r:id="rId4" display="Next Update: Autumn 2020" xr:uid="{F98970FD-E23D-4264-99C1-21054476A88F}"/>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91"/>
  <sheetViews>
    <sheetView zoomScaleNormal="100" workbookViewId="0">
      <pane ySplit="5" topLeftCell="A6" activePane="bottomLeft" state="frozen"/>
      <selection pane="bottomLeft"/>
    </sheetView>
  </sheetViews>
  <sheetFormatPr defaultColWidth="9.21875" defaultRowHeight="14.4" x14ac:dyDescent="0.3"/>
  <cols>
    <col min="1" max="1" width="50.77734375" style="5" customWidth="1"/>
    <col min="2" max="4" width="8.77734375" style="5" customWidth="1"/>
    <col min="5" max="5" width="12.77734375" style="5" customWidth="1"/>
    <col min="6" max="6" width="2.77734375" style="5" customWidth="1"/>
    <col min="7" max="9" width="8.77734375" style="5" customWidth="1"/>
    <col min="10" max="10" width="12.77734375" style="5" customWidth="1"/>
    <col min="11" max="11" width="2.77734375" style="5" customWidth="1"/>
    <col min="12" max="14" width="8.77734375" style="5" customWidth="1"/>
    <col min="15" max="15" width="12.77734375" style="5" customWidth="1"/>
    <col min="16" max="16" width="3.77734375" style="5" customWidth="1"/>
    <col min="17" max="19" width="8.77734375" style="5" customWidth="1"/>
    <col min="20" max="20" width="12.77734375" style="5" customWidth="1"/>
    <col min="21" max="21" width="2.77734375" style="5" customWidth="1"/>
    <col min="22" max="24" width="8.77734375" style="5" customWidth="1"/>
    <col min="25" max="25" width="12.77734375" style="5" customWidth="1"/>
    <col min="26" max="26" width="2.77734375" style="5" customWidth="1"/>
    <col min="27" max="29" width="8.77734375" style="5" customWidth="1"/>
    <col min="30" max="30" width="12.77734375" style="5" customWidth="1"/>
    <col min="31" max="31" width="9.21875" style="5"/>
    <col min="32" max="32" width="9.21875" style="5" hidden="1" customWidth="1"/>
    <col min="33" max="16384" width="9.21875" style="5"/>
  </cols>
  <sheetData>
    <row r="1" spans="1:40" s="1" customFormat="1" ht="24" customHeight="1" x14ac:dyDescent="0.45">
      <c r="A1" s="130" t="s">
        <v>238</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row>
    <row r="2" spans="1:40" s="4" customFormat="1" ht="28.5" customHeight="1" x14ac:dyDescent="0.3">
      <c r="A2" s="18" t="s">
        <v>75</v>
      </c>
      <c r="B2" s="3"/>
      <c r="C2" s="3"/>
      <c r="D2" s="3"/>
      <c r="E2" s="3"/>
      <c r="F2" s="115" t="s">
        <v>175</v>
      </c>
      <c r="G2" s="3"/>
      <c r="H2" s="3"/>
      <c r="I2" s="3"/>
      <c r="J2" s="3"/>
      <c r="K2" s="3"/>
      <c r="L2" s="3"/>
      <c r="M2" s="3"/>
      <c r="N2" s="3"/>
      <c r="O2" s="3"/>
      <c r="P2" s="115" t="s">
        <v>175</v>
      </c>
      <c r="Q2" s="3"/>
      <c r="R2" s="3"/>
      <c r="S2" s="3"/>
      <c r="T2" s="3"/>
      <c r="U2" s="3"/>
      <c r="V2" s="3"/>
      <c r="W2" s="3"/>
      <c r="X2" s="3"/>
      <c r="Y2" s="3"/>
      <c r="Z2" s="115" t="s">
        <v>175</v>
      </c>
      <c r="AA2" s="3"/>
      <c r="AB2" s="3"/>
      <c r="AC2" s="3"/>
      <c r="AD2" s="3"/>
    </row>
    <row r="3" spans="1:40" s="4" customFormat="1" x14ac:dyDescent="0.3">
      <c r="A3" s="113" t="s">
        <v>184</v>
      </c>
      <c r="B3" s="3"/>
      <c r="C3" s="3"/>
      <c r="D3" s="3"/>
      <c r="E3" s="3"/>
      <c r="F3" s="115" t="s">
        <v>175</v>
      </c>
      <c r="G3" s="3"/>
      <c r="H3" s="3"/>
      <c r="I3" s="3"/>
      <c r="J3" s="3"/>
      <c r="K3" s="3"/>
      <c r="L3" s="3"/>
      <c r="M3" s="3"/>
      <c r="N3" s="3"/>
      <c r="O3" s="3"/>
      <c r="P3" s="115" t="s">
        <v>175</v>
      </c>
      <c r="Q3" s="3"/>
      <c r="R3" s="3"/>
      <c r="S3" s="3"/>
      <c r="T3" s="3"/>
      <c r="U3" s="3"/>
      <c r="V3" s="3"/>
      <c r="W3" s="3"/>
      <c r="X3" s="3"/>
      <c r="Y3" s="3"/>
      <c r="Z3" s="115" t="s">
        <v>175</v>
      </c>
      <c r="AA3" s="3"/>
      <c r="AB3" s="3"/>
      <c r="AC3" s="3"/>
      <c r="AD3" s="3"/>
    </row>
    <row r="4" spans="1:40" s="6" customFormat="1" ht="25.5" customHeight="1" thickBot="1" x14ac:dyDescent="0.35">
      <c r="A4" s="5"/>
      <c r="B4" s="109"/>
      <c r="C4" s="109" t="s">
        <v>1</v>
      </c>
      <c r="D4" s="109"/>
      <c r="E4" s="109"/>
      <c r="F4" s="115" t="s">
        <v>175</v>
      </c>
      <c r="G4" s="109"/>
      <c r="H4" s="110" t="s">
        <v>172</v>
      </c>
      <c r="I4" s="110"/>
      <c r="J4" s="109"/>
      <c r="K4" s="3"/>
      <c r="L4" s="111"/>
      <c r="M4" s="111" t="s">
        <v>2</v>
      </c>
      <c r="N4" s="111"/>
      <c r="O4" s="111"/>
      <c r="P4" s="115" t="s">
        <v>175</v>
      </c>
      <c r="Q4" s="109"/>
      <c r="R4" s="109" t="s">
        <v>3</v>
      </c>
      <c r="S4" s="109"/>
      <c r="T4" s="109"/>
      <c r="U4" s="3"/>
      <c r="V4" s="110"/>
      <c r="W4" s="110" t="s">
        <v>4</v>
      </c>
      <c r="X4" s="110"/>
      <c r="Y4" s="109"/>
      <c r="Z4" s="115" t="s">
        <v>175</v>
      </c>
      <c r="AA4" s="111"/>
      <c r="AB4" s="111" t="s">
        <v>5</v>
      </c>
      <c r="AC4" s="111"/>
      <c r="AD4" s="111"/>
    </row>
    <row r="5" spans="1:40" s="12" customFormat="1" ht="43.8" thickBot="1" x14ac:dyDescent="0.35">
      <c r="A5" s="7" t="s">
        <v>6</v>
      </c>
      <c r="B5" s="35" t="s">
        <v>7</v>
      </c>
      <c r="C5" s="35" t="s">
        <v>8</v>
      </c>
      <c r="D5" s="120" t="s">
        <v>182</v>
      </c>
      <c r="E5" s="9" t="s">
        <v>9</v>
      </c>
      <c r="F5" s="115" t="s">
        <v>175</v>
      </c>
      <c r="G5" s="35" t="s">
        <v>7</v>
      </c>
      <c r="H5" s="35" t="s">
        <v>8</v>
      </c>
      <c r="I5" s="120" t="s">
        <v>182</v>
      </c>
      <c r="J5" s="9" t="s">
        <v>9</v>
      </c>
      <c r="K5" s="35"/>
      <c r="L5" s="36" t="s">
        <v>7</v>
      </c>
      <c r="M5" s="36" t="s">
        <v>8</v>
      </c>
      <c r="N5" s="121" t="s">
        <v>182</v>
      </c>
      <c r="O5" s="11" t="s">
        <v>9</v>
      </c>
      <c r="P5" s="115" t="s">
        <v>175</v>
      </c>
      <c r="Q5" s="35" t="s">
        <v>7</v>
      </c>
      <c r="R5" s="35" t="s">
        <v>8</v>
      </c>
      <c r="S5" s="120" t="s">
        <v>182</v>
      </c>
      <c r="T5" s="9" t="s">
        <v>9</v>
      </c>
      <c r="U5" s="35"/>
      <c r="V5" s="35" t="s">
        <v>7</v>
      </c>
      <c r="W5" s="35" t="s">
        <v>8</v>
      </c>
      <c r="X5" s="120" t="s">
        <v>182</v>
      </c>
      <c r="Y5" s="9" t="s">
        <v>9</v>
      </c>
      <c r="Z5" s="115" t="s">
        <v>175</v>
      </c>
      <c r="AA5" s="36" t="s">
        <v>7</v>
      </c>
      <c r="AB5" s="36" t="s">
        <v>8</v>
      </c>
      <c r="AC5" s="121" t="s">
        <v>182</v>
      </c>
      <c r="AD5" s="11" t="s">
        <v>9</v>
      </c>
    </row>
    <row r="6" spans="1:40" s="6" customFormat="1" ht="15" customHeight="1" x14ac:dyDescent="0.3">
      <c r="A6" s="13" t="s">
        <v>10</v>
      </c>
      <c r="B6" s="14">
        <f ca="1">B7+B47</f>
        <v>1059</v>
      </c>
      <c r="C6" s="14">
        <f ca="1">C7+C47</f>
        <v>184</v>
      </c>
      <c r="D6" s="14">
        <f ca="1">D7+D47</f>
        <v>2</v>
      </c>
      <c r="E6" s="129">
        <f ca="1">FIRE1120_raw!E8</f>
        <v>0.14779116465863454</v>
      </c>
      <c r="F6" s="115" t="s">
        <v>175</v>
      </c>
      <c r="G6" s="14">
        <f ca="1">G7+G47</f>
        <v>1044</v>
      </c>
      <c r="H6" s="14">
        <f ca="1">H7+H47</f>
        <v>144</v>
      </c>
      <c r="I6" s="14">
        <f ca="1">I7+I47</f>
        <v>6</v>
      </c>
      <c r="J6" s="132">
        <f ca="1">FIRE1120_raw!J8</f>
        <v>0.12060301507537688</v>
      </c>
      <c r="K6" s="115" t="s">
        <v>175</v>
      </c>
      <c r="L6" s="14">
        <f ca="1">L7+L47</f>
        <v>2103</v>
      </c>
      <c r="M6" s="14">
        <f ca="1">M7+M47</f>
        <v>328</v>
      </c>
      <c r="N6" s="14">
        <f ca="1">N7+N47</f>
        <v>8</v>
      </c>
      <c r="O6" s="132">
        <f ca="1">FIRE1120_raw!O8</f>
        <v>0.13448134481344814</v>
      </c>
      <c r="P6" s="115" t="s">
        <v>175</v>
      </c>
      <c r="Q6" s="14">
        <f ca="1">Q7+Q47</f>
        <v>28</v>
      </c>
      <c r="R6" s="14">
        <f ca="1">R7+R47</f>
        <v>50</v>
      </c>
      <c r="S6" s="14">
        <f ca="1">S7+S47</f>
        <v>0</v>
      </c>
      <c r="T6" s="132">
        <f ca="1">FIRE1120_raw!T8</f>
        <v>0.64102564102564108</v>
      </c>
      <c r="U6" s="115" t="s">
        <v>175</v>
      </c>
      <c r="V6" s="14">
        <f ca="1">V7+V47</f>
        <v>450</v>
      </c>
      <c r="W6" s="14">
        <f ca="1">W7+W47</f>
        <v>483</v>
      </c>
      <c r="X6" s="14">
        <f ca="1">X7+X47</f>
        <v>2</v>
      </c>
      <c r="Y6" s="132">
        <f ca="1">FIRE1120_raw!Y8</f>
        <v>0.51657754010695189</v>
      </c>
      <c r="Z6" s="115" t="s">
        <v>175</v>
      </c>
      <c r="AA6" s="14">
        <f ca="1">AA7+AA47</f>
        <v>2581</v>
      </c>
      <c r="AB6" s="14">
        <f ca="1">AB7+AB47</f>
        <v>861</v>
      </c>
      <c r="AC6" s="14">
        <f ca="1">AC7+AC47</f>
        <v>10</v>
      </c>
      <c r="AD6" s="132">
        <f ca="1">FIRE1120_raw!AD8</f>
        <v>0.24942062572421783</v>
      </c>
      <c r="AE6" s="16"/>
      <c r="AF6" s="16"/>
      <c r="AG6" s="16"/>
      <c r="AH6" s="16"/>
      <c r="AI6" s="16"/>
      <c r="AJ6" s="16"/>
      <c r="AK6" s="16"/>
      <c r="AL6" s="16"/>
      <c r="AM6" s="16"/>
      <c r="AN6" s="17"/>
    </row>
    <row r="7" spans="1:40" s="6" customFormat="1" ht="15" customHeight="1" x14ac:dyDescent="0.3">
      <c r="A7" s="18" t="s">
        <v>11</v>
      </c>
      <c r="B7" s="14">
        <f ca="1">SUM(B8:B46)</f>
        <v>572</v>
      </c>
      <c r="C7" s="14">
        <f ca="1">SUM(C8:C46)</f>
        <v>91</v>
      </c>
      <c r="D7" s="14">
        <f ca="1">SUM(D8:D46)</f>
        <v>2</v>
      </c>
      <c r="E7" s="129">
        <f ca="1">FIRE1120_raw!E9</f>
        <v>0.1368421052631579</v>
      </c>
      <c r="F7" s="115" t="s">
        <v>175</v>
      </c>
      <c r="G7" s="14">
        <f ca="1">SUM(G8:G46)</f>
        <v>975</v>
      </c>
      <c r="H7" s="14">
        <f ca="1">SUM(H8:H46)</f>
        <v>134</v>
      </c>
      <c r="I7" s="14">
        <f ca="1">SUM(I8:I46)</f>
        <v>6</v>
      </c>
      <c r="J7" s="132">
        <f ca="1">FIRE1120_raw!J9</f>
        <v>0.12017937219730941</v>
      </c>
      <c r="K7" s="115" t="s">
        <v>175</v>
      </c>
      <c r="L7" s="14">
        <f ca="1">SUM(L8:L46)</f>
        <v>1547</v>
      </c>
      <c r="M7" s="14">
        <f ca="1">SUM(M8:M46)</f>
        <v>225</v>
      </c>
      <c r="N7" s="14">
        <f ca="1">SUM(N8:N46)</f>
        <v>8</v>
      </c>
      <c r="O7" s="132">
        <f ca="1">FIRE1120_raw!O9</f>
        <v>0.12640449438202248</v>
      </c>
      <c r="P7" s="115" t="s">
        <v>175</v>
      </c>
      <c r="Q7" s="14">
        <f ca="1">SUM(Q8:Q46)</f>
        <v>21</v>
      </c>
      <c r="R7" s="14">
        <f ca="1">SUM(R8:R46)</f>
        <v>32</v>
      </c>
      <c r="S7" s="14">
        <f ca="1">SUM(S8:S46)</f>
        <v>0</v>
      </c>
      <c r="T7" s="132">
        <f ca="1">FIRE1120_raw!T9</f>
        <v>0.60377358490566035</v>
      </c>
      <c r="U7" s="115" t="s">
        <v>175</v>
      </c>
      <c r="V7" s="14">
        <f ca="1">SUM(V8:V46)</f>
        <v>339</v>
      </c>
      <c r="W7" s="14">
        <f ca="1">SUM(W8:W46)</f>
        <v>384</v>
      </c>
      <c r="X7" s="14">
        <f ca="1">SUM(X8:X46)</f>
        <v>2</v>
      </c>
      <c r="Y7" s="132">
        <f ca="1">FIRE1120_raw!Y9</f>
        <v>0.52965517241379312</v>
      </c>
      <c r="Z7" s="115" t="s">
        <v>175</v>
      </c>
      <c r="AA7" s="14">
        <f ca="1">SUM(AA8:AA46)</f>
        <v>1907</v>
      </c>
      <c r="AB7" s="14">
        <f ca="1">SUM(AB8:AB46)</f>
        <v>641</v>
      </c>
      <c r="AC7" s="14">
        <f ca="1">SUM(AC8:AC46)</f>
        <v>10</v>
      </c>
      <c r="AD7" s="132">
        <f ca="1">FIRE1120_raw!AD9</f>
        <v>0.25058639562157936</v>
      </c>
      <c r="AE7" s="79"/>
      <c r="AF7" s="16"/>
      <c r="AG7" s="16"/>
      <c r="AH7" s="16"/>
      <c r="AI7" s="16"/>
      <c r="AJ7" s="16"/>
      <c r="AK7" s="16"/>
      <c r="AL7" s="16"/>
      <c r="AM7" s="16"/>
    </row>
    <row r="8" spans="1:40" s="6" customFormat="1" ht="15" customHeight="1" x14ac:dyDescent="0.3">
      <c r="A8" s="5" t="s">
        <v>12</v>
      </c>
      <c r="B8" s="19">
        <f ca="1">ROUND(FIRE1120_raw!B10,0)</f>
        <v>17</v>
      </c>
      <c r="C8" s="19">
        <f ca="1">ROUND(FIRE1120_raw!C10,0)</f>
        <v>3</v>
      </c>
      <c r="D8" s="19">
        <f ca="1">IF(FIRE1120_raw!D10="..", "..", ROUND(FIRE1120_raw!D10,0))</f>
        <v>0</v>
      </c>
      <c r="E8" s="127">
        <f ca="1">FIRE1120_raw!E10</f>
        <v>0.15</v>
      </c>
      <c r="F8" s="115" t="s">
        <v>175</v>
      </c>
      <c r="G8" s="19">
        <f ca="1">ROUND(FIRE1120_raw!G10,0)</f>
        <v>11</v>
      </c>
      <c r="H8" s="19">
        <f ca="1">ROUND(FIRE1120_raw!H10,0)</f>
        <v>1</v>
      </c>
      <c r="I8" s="19">
        <f ca="1">IF(FIRE1120_raw!I10="..", "..", ROUND(FIRE1120_raw!I10,0))</f>
        <v>0</v>
      </c>
      <c r="J8" s="133">
        <f ca="1">FIRE1120_raw!J10</f>
        <v>8.3333333333333329E-2</v>
      </c>
      <c r="K8" s="115" t="s">
        <v>175</v>
      </c>
      <c r="L8" s="14">
        <f ca="1">B8+G8</f>
        <v>28</v>
      </c>
      <c r="M8" s="14">
        <f ca="1">C8+H8</f>
        <v>4</v>
      </c>
      <c r="N8" s="19">
        <f ca="1">IF(FIRE1120_raw!N10="..", "..", ROUND(FIRE1120_raw!N10,0))</f>
        <v>0</v>
      </c>
      <c r="O8" s="133">
        <f ca="1">FIRE1120_raw!O10</f>
        <v>0.125</v>
      </c>
      <c r="P8" s="115" t="s">
        <v>175</v>
      </c>
      <c r="Q8" s="19">
        <f ca="1">ROUND(FIRE1120_raw!Q10,0)</f>
        <v>1</v>
      </c>
      <c r="R8" s="19">
        <f ca="1">ROUND(FIRE1120_raw!R10,0)</f>
        <v>1</v>
      </c>
      <c r="S8" s="19">
        <f ca="1">IF(FIRE1120_raw!S10="..", "..", ROUND(FIRE1120_raw!S10,0))</f>
        <v>0</v>
      </c>
      <c r="T8" s="133">
        <f ca="1">FIRE1120_raw!T10</f>
        <v>0.5</v>
      </c>
      <c r="U8" s="115" t="s">
        <v>175</v>
      </c>
      <c r="V8" s="19">
        <f ca="1">ROUND(FIRE1120_raw!V10,0)</f>
        <v>10</v>
      </c>
      <c r="W8" s="19">
        <f ca="1">ROUND(FIRE1120_raw!W10,0)</f>
        <v>9</v>
      </c>
      <c r="X8" s="19">
        <f ca="1">IF(FIRE1120_raw!X10="..", "..", ROUND(FIRE1120_raw!X10,0))</f>
        <v>0</v>
      </c>
      <c r="Y8" s="133">
        <f ca="1">FIRE1120_raw!Y10</f>
        <v>0.47368421052631576</v>
      </c>
      <c r="Z8" s="115" t="s">
        <v>175</v>
      </c>
      <c r="AA8" s="14">
        <f ca="1">L8+Q8+V8</f>
        <v>39</v>
      </c>
      <c r="AB8" s="14">
        <f ca="1">M8+R8+W8</f>
        <v>14</v>
      </c>
      <c r="AC8" s="19">
        <f ca="1">IF(FIRE1120_raw!AC10="..", "..", ROUND(FIRE1120_raw!AC10,0))</f>
        <v>0</v>
      </c>
      <c r="AD8" s="133">
        <f ca="1">FIRE1120_raw!AD10</f>
        <v>0.26415094339622641</v>
      </c>
      <c r="AE8" s="16"/>
      <c r="AF8" s="16"/>
      <c r="AG8" s="16"/>
      <c r="AH8" s="16"/>
      <c r="AI8" s="16"/>
      <c r="AJ8" s="16"/>
      <c r="AK8" s="16"/>
      <c r="AL8" s="16"/>
      <c r="AM8" s="16"/>
    </row>
    <row r="9" spans="1:40" s="6" customFormat="1" ht="15" customHeight="1" x14ac:dyDescent="0.3">
      <c r="A9" s="5" t="s">
        <v>13</v>
      </c>
      <c r="B9" s="19">
        <f ca="1">ROUND(FIRE1120_raw!B11,0)</f>
        <v>24</v>
      </c>
      <c r="C9" s="19">
        <f ca="1">ROUND(FIRE1120_raw!C11,0)</f>
        <v>2</v>
      </c>
      <c r="D9" s="19">
        <f ca="1">IF(FIRE1120_raw!D11="..", "..", ROUND(FIRE1120_raw!D11,0))</f>
        <v>0</v>
      </c>
      <c r="E9" s="127">
        <f ca="1">FIRE1120_raw!E11</f>
        <v>7.6923076923076927E-2</v>
      </c>
      <c r="F9" s="115" t="s">
        <v>175</v>
      </c>
      <c r="G9" s="19">
        <f ca="1">ROUND(FIRE1120_raw!G11,0)</f>
        <v>13</v>
      </c>
      <c r="H9" s="19">
        <f ca="1">ROUND(FIRE1120_raw!H11,0)</f>
        <v>1</v>
      </c>
      <c r="I9" s="19">
        <f ca="1">IF(FIRE1120_raw!I11="..", "..", ROUND(FIRE1120_raw!I11,0))</f>
        <v>0</v>
      </c>
      <c r="J9" s="133">
        <f ca="1">FIRE1120_raw!J11</f>
        <v>7.1428571428571425E-2</v>
      </c>
      <c r="K9" s="115" t="s">
        <v>175</v>
      </c>
      <c r="L9" s="14">
        <f t="shared" ref="L9:L45" ca="1" si="0">B9+G9</f>
        <v>37</v>
      </c>
      <c r="M9" s="14">
        <f t="shared" ref="M9:M45" ca="1" si="1">C9+H9</f>
        <v>3</v>
      </c>
      <c r="N9" s="19">
        <f ca="1">IF(FIRE1120_raw!N11="..", "..", ROUND(FIRE1120_raw!N11,0))</f>
        <v>0</v>
      </c>
      <c r="O9" s="133">
        <f ca="1">FIRE1120_raw!O11</f>
        <v>7.4999999999999997E-2</v>
      </c>
      <c r="P9" s="115" t="s">
        <v>175</v>
      </c>
      <c r="Q9" s="19">
        <f ca="1">ROUND(FIRE1120_raw!Q11,0)</f>
        <v>1</v>
      </c>
      <c r="R9" s="19">
        <f ca="1">ROUND(FIRE1120_raw!R11,0)</f>
        <v>1</v>
      </c>
      <c r="S9" s="19">
        <f ca="1">IF(FIRE1120_raw!S11="..", "..", ROUND(FIRE1120_raw!S11,0))</f>
        <v>0</v>
      </c>
      <c r="T9" s="133">
        <f ca="1">FIRE1120_raw!T11</f>
        <v>0.5</v>
      </c>
      <c r="U9" s="115" t="s">
        <v>175</v>
      </c>
      <c r="V9" s="19">
        <f ca="1">ROUND(FIRE1120_raw!V11,0)</f>
        <v>9</v>
      </c>
      <c r="W9" s="19">
        <f ca="1">ROUND(FIRE1120_raw!W11,0)</f>
        <v>10</v>
      </c>
      <c r="X9" s="19">
        <f ca="1">IF(FIRE1120_raw!X11="..", "..", ROUND(FIRE1120_raw!X11,0))</f>
        <v>0</v>
      </c>
      <c r="Y9" s="133">
        <f ca="1">FIRE1120_raw!Y11</f>
        <v>0.52631578947368418</v>
      </c>
      <c r="Z9" s="115" t="s">
        <v>175</v>
      </c>
      <c r="AA9" s="14">
        <f t="shared" ref="AA9:AA45" ca="1" si="2">L9+Q9+V9</f>
        <v>47</v>
      </c>
      <c r="AB9" s="14">
        <f t="shared" ref="AB9:AB45" ca="1" si="3">M9+R9+W9</f>
        <v>14</v>
      </c>
      <c r="AC9" s="19">
        <f ca="1">IF(FIRE1120_raw!AC11="..", "..", ROUND(FIRE1120_raw!AC11,0))</f>
        <v>0</v>
      </c>
      <c r="AD9" s="133">
        <f ca="1">FIRE1120_raw!AD11</f>
        <v>0.22950819672131148</v>
      </c>
      <c r="AE9" s="16"/>
      <c r="AF9" s="16"/>
      <c r="AG9" s="16"/>
      <c r="AH9" s="16"/>
      <c r="AI9" s="16"/>
      <c r="AJ9" s="16"/>
      <c r="AK9" s="16"/>
      <c r="AL9" s="16"/>
      <c r="AM9" s="16"/>
    </row>
    <row r="10" spans="1:40" s="6" customFormat="1" ht="15" customHeight="1" x14ac:dyDescent="0.3">
      <c r="A10" s="5" t="s">
        <v>14</v>
      </c>
      <c r="B10" s="19">
        <f ca="1">ROUND(FIRE1120_raw!B12,0)</f>
        <v>5</v>
      </c>
      <c r="C10" s="19">
        <f ca="1">ROUND(FIRE1120_raw!C12,0)</f>
        <v>0</v>
      </c>
      <c r="D10" s="19">
        <f ca="1">IF(FIRE1120_raw!D12="..", "..", ROUND(FIRE1120_raw!D12,0))</f>
        <v>0</v>
      </c>
      <c r="E10" s="127">
        <f ca="1">FIRE1120_raw!E12</f>
        <v>0</v>
      </c>
      <c r="F10" s="115" t="s">
        <v>175</v>
      </c>
      <c r="G10" s="19">
        <f ca="1">ROUND(FIRE1120_raw!G12,0)</f>
        <v>2</v>
      </c>
      <c r="H10" s="19">
        <f ca="1">ROUND(FIRE1120_raw!H12,0)</f>
        <v>0</v>
      </c>
      <c r="I10" s="19">
        <f ca="1">IF(FIRE1120_raw!I12="..", "..", ROUND(FIRE1120_raw!I12,0))</f>
        <v>0</v>
      </c>
      <c r="J10" s="133">
        <f ca="1">FIRE1120_raw!J12</f>
        <v>0</v>
      </c>
      <c r="K10" s="115" t="s">
        <v>175</v>
      </c>
      <c r="L10" s="14">
        <f t="shared" ca="1" si="0"/>
        <v>7</v>
      </c>
      <c r="M10" s="14">
        <f t="shared" ca="1" si="1"/>
        <v>0</v>
      </c>
      <c r="N10" s="19">
        <f ca="1">IF(FIRE1120_raw!N12="..", "..", ROUND(FIRE1120_raw!N12,0))</f>
        <v>0</v>
      </c>
      <c r="O10" s="133">
        <f ca="1">FIRE1120_raw!O12</f>
        <v>0</v>
      </c>
      <c r="P10" s="115" t="s">
        <v>175</v>
      </c>
      <c r="Q10" s="19">
        <f ca="1">ROUND(FIRE1120_raw!Q12,0)</f>
        <v>3</v>
      </c>
      <c r="R10" s="19">
        <f ca="1">ROUND(FIRE1120_raw!R12,0)</f>
        <v>1</v>
      </c>
      <c r="S10" s="19">
        <f ca="1">IF(FIRE1120_raw!S12="..", "..", ROUND(FIRE1120_raw!S12,0))</f>
        <v>0</v>
      </c>
      <c r="T10" s="133">
        <f ca="1">FIRE1120_raw!T12</f>
        <v>0.25</v>
      </c>
      <c r="U10" s="115" t="s">
        <v>175</v>
      </c>
      <c r="V10" s="19">
        <f ca="1">ROUND(FIRE1120_raw!V12,0)</f>
        <v>6</v>
      </c>
      <c r="W10" s="19">
        <f ca="1">ROUND(FIRE1120_raw!W12,0)</f>
        <v>15</v>
      </c>
      <c r="X10" s="19">
        <f ca="1">IF(FIRE1120_raw!X12="..", "..", ROUND(FIRE1120_raw!X12,0))</f>
        <v>1</v>
      </c>
      <c r="Y10" s="133">
        <f ca="1">FIRE1120_raw!Y12</f>
        <v>0.68181818181818177</v>
      </c>
      <c r="Z10" s="115" t="s">
        <v>175</v>
      </c>
      <c r="AA10" s="14">
        <f t="shared" ca="1" si="2"/>
        <v>16</v>
      </c>
      <c r="AB10" s="14">
        <f t="shared" ca="1" si="3"/>
        <v>16</v>
      </c>
      <c r="AC10" s="19">
        <f ca="1">IF(FIRE1120_raw!AC12="..", "..", ROUND(FIRE1120_raw!AC12,0))</f>
        <v>1</v>
      </c>
      <c r="AD10" s="133">
        <f ca="1">FIRE1120_raw!AD12</f>
        <v>0.48484848484848486</v>
      </c>
      <c r="AE10" s="16"/>
      <c r="AF10" s="16"/>
      <c r="AG10" s="16"/>
      <c r="AH10" s="16"/>
      <c r="AI10" s="16"/>
      <c r="AJ10" s="16"/>
      <c r="AK10" s="16"/>
      <c r="AL10" s="16"/>
      <c r="AM10" s="16"/>
    </row>
    <row r="11" spans="1:40" s="6" customFormat="1" ht="15" customHeight="1" x14ac:dyDescent="0.3">
      <c r="A11" s="5" t="s">
        <v>15</v>
      </c>
      <c r="B11" s="19">
        <f ca="1">ROUND(FIRE1120_raw!B13,0)</f>
        <v>23</v>
      </c>
      <c r="C11" s="19">
        <f ca="1">ROUND(FIRE1120_raw!C13,0)</f>
        <v>2</v>
      </c>
      <c r="D11" s="19">
        <f ca="1">IF(FIRE1120_raw!D13="..", "..", ROUND(FIRE1120_raw!D13,0))</f>
        <v>0</v>
      </c>
      <c r="E11" s="127">
        <f ca="1">FIRE1120_raw!E13</f>
        <v>0.08</v>
      </c>
      <c r="F11" s="115" t="s">
        <v>175</v>
      </c>
      <c r="G11" s="19">
        <f ca="1">ROUND(FIRE1120_raw!G13,0)</f>
        <v>19</v>
      </c>
      <c r="H11" s="19">
        <f ca="1">ROUND(FIRE1120_raw!H13,0)</f>
        <v>1</v>
      </c>
      <c r="I11" s="19">
        <f ca="1">IF(FIRE1120_raw!I13="..", "..", ROUND(FIRE1120_raw!I13,0))</f>
        <v>0</v>
      </c>
      <c r="J11" s="133">
        <f ca="1">FIRE1120_raw!J13</f>
        <v>0.05</v>
      </c>
      <c r="K11" s="115" t="s">
        <v>175</v>
      </c>
      <c r="L11" s="14">
        <f t="shared" ca="1" si="0"/>
        <v>42</v>
      </c>
      <c r="M11" s="14">
        <f t="shared" ca="1" si="1"/>
        <v>3</v>
      </c>
      <c r="N11" s="19">
        <f ca="1">IF(FIRE1120_raw!N13="..", "..", ROUND(FIRE1120_raw!N13,0))</f>
        <v>0</v>
      </c>
      <c r="O11" s="133">
        <f ca="1">FIRE1120_raw!O13</f>
        <v>6.6666666666666666E-2</v>
      </c>
      <c r="P11" s="115" t="s">
        <v>175</v>
      </c>
      <c r="Q11" s="19">
        <f ca="1">ROUND(FIRE1120_raw!Q13,0)</f>
        <v>0</v>
      </c>
      <c r="R11" s="19">
        <f ca="1">ROUND(FIRE1120_raw!R13,0)</f>
        <v>0</v>
      </c>
      <c r="S11" s="19">
        <f ca="1">IF(FIRE1120_raw!S13="..", "..", ROUND(FIRE1120_raw!S13,0))</f>
        <v>0</v>
      </c>
      <c r="T11" s="133" t="str">
        <f ca="1">FIRE1120_raw!T13</f>
        <v>-</v>
      </c>
      <c r="U11" s="115" t="s">
        <v>175</v>
      </c>
      <c r="V11" s="19">
        <f ca="1">ROUND(FIRE1120_raw!V13,0)</f>
        <v>4</v>
      </c>
      <c r="W11" s="19">
        <f ca="1">ROUND(FIRE1120_raw!W13,0)</f>
        <v>9</v>
      </c>
      <c r="X11" s="19">
        <f ca="1">IF(FIRE1120_raw!X13="..", "..", ROUND(FIRE1120_raw!X13,0))</f>
        <v>0</v>
      </c>
      <c r="Y11" s="133">
        <f ca="1">FIRE1120_raw!Y13</f>
        <v>0.69230769230769229</v>
      </c>
      <c r="Z11" s="115" t="s">
        <v>175</v>
      </c>
      <c r="AA11" s="14">
        <f t="shared" ca="1" si="2"/>
        <v>46</v>
      </c>
      <c r="AB11" s="14">
        <f t="shared" ca="1" si="3"/>
        <v>12</v>
      </c>
      <c r="AC11" s="19">
        <f ca="1">IF(FIRE1120_raw!AC13="..", "..", ROUND(FIRE1120_raw!AC13,0))</f>
        <v>0</v>
      </c>
      <c r="AD11" s="133">
        <f ca="1">FIRE1120_raw!AD13</f>
        <v>0.20689655172413793</v>
      </c>
      <c r="AE11" s="16"/>
      <c r="AF11" s="16"/>
      <c r="AG11" s="16"/>
      <c r="AH11" s="16"/>
      <c r="AI11" s="16"/>
      <c r="AJ11" s="16"/>
      <c r="AK11" s="16"/>
      <c r="AL11" s="16"/>
      <c r="AM11" s="16"/>
    </row>
    <row r="12" spans="1:40" s="6" customFormat="1" ht="15" customHeight="1" x14ac:dyDescent="0.3">
      <c r="A12" s="5" t="s">
        <v>16</v>
      </c>
      <c r="B12" s="19">
        <f ca="1">ROUND(FIRE1120_raw!B14,0)</f>
        <v>20</v>
      </c>
      <c r="C12" s="19">
        <f ca="1">ROUND(FIRE1120_raw!C14,0)</f>
        <v>4</v>
      </c>
      <c r="D12" s="19">
        <f ca="1">IF(FIRE1120_raw!D14="..", "..", ROUND(FIRE1120_raw!D14,0))</f>
        <v>0</v>
      </c>
      <c r="E12" s="127">
        <f ca="1">FIRE1120_raw!E14</f>
        <v>0.16666666666666666</v>
      </c>
      <c r="F12" s="115" t="s">
        <v>175</v>
      </c>
      <c r="G12" s="19">
        <f ca="1">ROUND(FIRE1120_raw!G14,0)</f>
        <v>17</v>
      </c>
      <c r="H12" s="19">
        <f ca="1">ROUND(FIRE1120_raw!H14,0)</f>
        <v>2</v>
      </c>
      <c r="I12" s="19">
        <f ca="1">IF(FIRE1120_raw!I14="..", "..", ROUND(FIRE1120_raw!I14,0))</f>
        <v>0</v>
      </c>
      <c r="J12" s="133">
        <f ca="1">FIRE1120_raw!J14</f>
        <v>0.10526315789473684</v>
      </c>
      <c r="K12" s="115" t="s">
        <v>175</v>
      </c>
      <c r="L12" s="14">
        <f t="shared" ca="1" si="0"/>
        <v>37</v>
      </c>
      <c r="M12" s="14">
        <f t="shared" ca="1" si="1"/>
        <v>6</v>
      </c>
      <c r="N12" s="19">
        <f ca="1">IF(FIRE1120_raw!N14="..", "..", ROUND(FIRE1120_raw!N14,0))</f>
        <v>0</v>
      </c>
      <c r="O12" s="133">
        <f ca="1">FIRE1120_raw!O14</f>
        <v>0.13953488372093023</v>
      </c>
      <c r="P12" s="115" t="s">
        <v>175</v>
      </c>
      <c r="Q12" s="19">
        <f ca="1">ROUND(FIRE1120_raw!Q14,0)</f>
        <v>1</v>
      </c>
      <c r="R12" s="19">
        <f ca="1">ROUND(FIRE1120_raw!R14,0)</f>
        <v>4</v>
      </c>
      <c r="S12" s="19">
        <f ca="1">IF(FIRE1120_raw!S14="..", "..", ROUND(FIRE1120_raw!S14,0))</f>
        <v>0</v>
      </c>
      <c r="T12" s="133">
        <f ca="1">FIRE1120_raw!T14</f>
        <v>0.8</v>
      </c>
      <c r="U12" s="115" t="s">
        <v>175</v>
      </c>
      <c r="V12" s="19">
        <f ca="1">ROUND(FIRE1120_raw!V14,0)</f>
        <v>6</v>
      </c>
      <c r="W12" s="19">
        <f ca="1">ROUND(FIRE1120_raw!W14,0)</f>
        <v>16</v>
      </c>
      <c r="X12" s="19">
        <f ca="1">IF(FIRE1120_raw!X14="..", "..", ROUND(FIRE1120_raw!X14,0))</f>
        <v>0</v>
      </c>
      <c r="Y12" s="133">
        <f ca="1">FIRE1120_raw!Y14</f>
        <v>0.72727272727272729</v>
      </c>
      <c r="Z12" s="115" t="s">
        <v>175</v>
      </c>
      <c r="AA12" s="14">
        <f t="shared" ca="1" si="2"/>
        <v>44</v>
      </c>
      <c r="AB12" s="14">
        <f t="shared" ca="1" si="3"/>
        <v>26</v>
      </c>
      <c r="AC12" s="19">
        <f ca="1">IF(FIRE1120_raw!AC14="..", "..", ROUND(FIRE1120_raw!AC14,0))</f>
        <v>0</v>
      </c>
      <c r="AD12" s="133">
        <f ca="1">FIRE1120_raw!AD14</f>
        <v>0.37142857142857144</v>
      </c>
      <c r="AE12" s="16"/>
      <c r="AF12" s="16"/>
      <c r="AG12" s="16"/>
      <c r="AH12" s="16"/>
      <c r="AI12" s="16"/>
      <c r="AJ12" s="16"/>
      <c r="AK12" s="16"/>
      <c r="AL12" s="16"/>
      <c r="AM12" s="16"/>
    </row>
    <row r="13" spans="1:40" s="6" customFormat="1" ht="15" customHeight="1" x14ac:dyDescent="0.3">
      <c r="A13" s="5" t="s">
        <v>17</v>
      </c>
      <c r="B13" s="19">
        <f ca="1">ROUND(FIRE1120_raw!B15,0)</f>
        <v>8</v>
      </c>
      <c r="C13" s="19">
        <f ca="1">ROUND(FIRE1120_raw!C15,0)</f>
        <v>5</v>
      </c>
      <c r="D13" s="19">
        <f ca="1">IF(FIRE1120_raw!D15="..", "..", ROUND(FIRE1120_raw!D15,0))</f>
        <v>0</v>
      </c>
      <c r="E13" s="127">
        <f ca="1">FIRE1120_raw!E15</f>
        <v>0.38461538461538464</v>
      </c>
      <c r="F13" s="115" t="s">
        <v>175</v>
      </c>
      <c r="G13" s="19">
        <f ca="1">ROUND(FIRE1120_raw!G15,0)</f>
        <v>15</v>
      </c>
      <c r="H13" s="19">
        <f ca="1">ROUND(FIRE1120_raw!H15,0)</f>
        <v>4</v>
      </c>
      <c r="I13" s="19">
        <f ca="1">IF(FIRE1120_raw!I15="..", "..", ROUND(FIRE1120_raw!I15,0))</f>
        <v>0</v>
      </c>
      <c r="J13" s="133">
        <f ca="1">FIRE1120_raw!J15</f>
        <v>0.21052631578947367</v>
      </c>
      <c r="K13" s="115" t="s">
        <v>175</v>
      </c>
      <c r="L13" s="14">
        <f t="shared" ca="1" si="0"/>
        <v>23</v>
      </c>
      <c r="M13" s="14">
        <f t="shared" ca="1" si="1"/>
        <v>9</v>
      </c>
      <c r="N13" s="19">
        <f ca="1">IF(FIRE1120_raw!N15="..", "..", ROUND(FIRE1120_raw!N15,0))</f>
        <v>0</v>
      </c>
      <c r="O13" s="133">
        <f ca="1">FIRE1120_raw!O15</f>
        <v>0.28125</v>
      </c>
      <c r="P13" s="115" t="s">
        <v>175</v>
      </c>
      <c r="Q13" s="19">
        <f ca="1">ROUND(FIRE1120_raw!Q15,0)</f>
        <v>0</v>
      </c>
      <c r="R13" s="19">
        <f ca="1">ROUND(FIRE1120_raw!R15,0)</f>
        <v>0</v>
      </c>
      <c r="S13" s="19">
        <f ca="1">IF(FIRE1120_raw!S15="..", "..", ROUND(FIRE1120_raw!S15,0))</f>
        <v>0</v>
      </c>
      <c r="T13" s="133" t="str">
        <f ca="1">FIRE1120_raw!T15</f>
        <v>-</v>
      </c>
      <c r="U13" s="115" t="s">
        <v>175</v>
      </c>
      <c r="V13" s="19">
        <f ca="1">ROUND(FIRE1120_raw!V15,0)</f>
        <v>1</v>
      </c>
      <c r="W13" s="19">
        <f ca="1">ROUND(FIRE1120_raw!W15,0)</f>
        <v>3</v>
      </c>
      <c r="X13" s="19">
        <f ca="1">IF(FIRE1120_raw!X15="..", "..", ROUND(FIRE1120_raw!X15,0))</f>
        <v>0</v>
      </c>
      <c r="Y13" s="133">
        <f ca="1">FIRE1120_raw!Y15</f>
        <v>0.75</v>
      </c>
      <c r="Z13" s="115" t="s">
        <v>175</v>
      </c>
      <c r="AA13" s="14">
        <f t="shared" ca="1" si="2"/>
        <v>24</v>
      </c>
      <c r="AB13" s="14">
        <f t="shared" ca="1" si="3"/>
        <v>12</v>
      </c>
      <c r="AC13" s="19">
        <f ca="1">IF(FIRE1120_raw!AC15="..", "..", ROUND(FIRE1120_raw!AC15,0))</f>
        <v>0</v>
      </c>
      <c r="AD13" s="133">
        <f ca="1">FIRE1120_raw!AD15</f>
        <v>0.33333333333333331</v>
      </c>
      <c r="AE13" s="16"/>
      <c r="AF13" s="16"/>
      <c r="AG13" s="16"/>
      <c r="AH13" s="16"/>
      <c r="AI13" s="16"/>
      <c r="AJ13" s="16"/>
      <c r="AK13" s="16"/>
      <c r="AL13" s="16"/>
      <c r="AM13" s="16"/>
    </row>
    <row r="14" spans="1:40" s="6" customFormat="1" ht="15" customHeight="1" x14ac:dyDescent="0.3">
      <c r="A14" s="5" t="s">
        <v>18</v>
      </c>
      <c r="B14" s="19">
        <f ca="1">ROUND(FIRE1120_raw!B16,0)</f>
        <v>0</v>
      </c>
      <c r="C14" s="19">
        <f ca="1">ROUND(FIRE1120_raw!C16,0)</f>
        <v>0</v>
      </c>
      <c r="D14" s="19">
        <f ca="1">IF(FIRE1120_raw!D16="..", "..", ROUND(FIRE1120_raw!D16,0))</f>
        <v>0</v>
      </c>
      <c r="E14" s="127" t="str">
        <f ca="1">FIRE1120_raw!E16</f>
        <v>-</v>
      </c>
      <c r="F14" s="115" t="s">
        <v>175</v>
      </c>
      <c r="G14" s="19">
        <f ca="1">ROUND(FIRE1120_raw!G16,0)</f>
        <v>7</v>
      </c>
      <c r="H14" s="19">
        <f ca="1">ROUND(FIRE1120_raw!H16,0)</f>
        <v>3</v>
      </c>
      <c r="I14" s="19">
        <f ca="1">IF(FIRE1120_raw!I16="..", "..", ROUND(FIRE1120_raw!I16,0))</f>
        <v>0</v>
      </c>
      <c r="J14" s="133">
        <f ca="1">FIRE1120_raw!J16</f>
        <v>0.3</v>
      </c>
      <c r="K14" s="115" t="s">
        <v>175</v>
      </c>
      <c r="L14" s="14">
        <f t="shared" ca="1" si="0"/>
        <v>7</v>
      </c>
      <c r="M14" s="14">
        <f t="shared" ca="1" si="1"/>
        <v>3</v>
      </c>
      <c r="N14" s="19">
        <f ca="1">IF(FIRE1120_raw!N16="..", "..", ROUND(FIRE1120_raw!N16,0))</f>
        <v>0</v>
      </c>
      <c r="O14" s="133">
        <f ca="1">FIRE1120_raw!O16</f>
        <v>0.3</v>
      </c>
      <c r="P14" s="115" t="s">
        <v>175</v>
      </c>
      <c r="Q14" s="19">
        <f ca="1">ROUND(FIRE1120_raw!Q16,0)</f>
        <v>0</v>
      </c>
      <c r="R14" s="19">
        <f ca="1">ROUND(FIRE1120_raw!R16,0)</f>
        <v>1</v>
      </c>
      <c r="S14" s="19">
        <f ca="1">IF(FIRE1120_raw!S16="..", "..", ROUND(FIRE1120_raw!S16,0))</f>
        <v>0</v>
      </c>
      <c r="T14" s="133">
        <f ca="1">FIRE1120_raw!T16</f>
        <v>1</v>
      </c>
      <c r="U14" s="115" t="s">
        <v>175</v>
      </c>
      <c r="V14" s="19">
        <f ca="1">ROUND(FIRE1120_raw!V16,0)</f>
        <v>5</v>
      </c>
      <c r="W14" s="19">
        <f ca="1">ROUND(FIRE1120_raw!W16,0)</f>
        <v>7</v>
      </c>
      <c r="X14" s="19">
        <f ca="1">IF(FIRE1120_raw!X16="..", "..", ROUND(FIRE1120_raw!X16,0))</f>
        <v>0</v>
      </c>
      <c r="Y14" s="133">
        <f ca="1">FIRE1120_raw!Y16</f>
        <v>0.58333333333333337</v>
      </c>
      <c r="Z14" s="115" t="s">
        <v>175</v>
      </c>
      <c r="AA14" s="14">
        <f t="shared" ca="1" si="2"/>
        <v>12</v>
      </c>
      <c r="AB14" s="14">
        <f t="shared" ca="1" si="3"/>
        <v>11</v>
      </c>
      <c r="AC14" s="19">
        <f ca="1">IF(FIRE1120_raw!AC16="..", "..", ROUND(FIRE1120_raw!AC16,0))</f>
        <v>0</v>
      </c>
      <c r="AD14" s="133">
        <f ca="1">FIRE1120_raw!AD16</f>
        <v>0.47826086956521741</v>
      </c>
      <c r="AE14" s="16"/>
      <c r="AF14" s="16"/>
      <c r="AG14" s="16"/>
      <c r="AH14" s="16"/>
      <c r="AI14" s="16"/>
      <c r="AJ14" s="16"/>
      <c r="AK14" s="16"/>
      <c r="AL14" s="16"/>
      <c r="AM14" s="16"/>
    </row>
    <row r="15" spans="1:40" s="6" customFormat="1" ht="15" customHeight="1" x14ac:dyDescent="0.3">
      <c r="A15" s="5" t="s">
        <v>19</v>
      </c>
      <c r="B15" s="19">
        <f ca="1">ROUND(FIRE1120_raw!B17,0)</f>
        <v>2</v>
      </c>
      <c r="C15" s="19">
        <f ca="1">ROUND(FIRE1120_raw!C17,0)</f>
        <v>0</v>
      </c>
      <c r="D15" s="19">
        <f ca="1">IF(FIRE1120_raw!D17="..", "..", ROUND(FIRE1120_raw!D17,0))</f>
        <v>0</v>
      </c>
      <c r="E15" s="127">
        <f ca="1">FIRE1120_raw!E17</f>
        <v>0</v>
      </c>
      <c r="F15" s="115" t="s">
        <v>175</v>
      </c>
      <c r="G15" s="19">
        <f ca="1">ROUND(FIRE1120_raw!G17,0)</f>
        <v>21</v>
      </c>
      <c r="H15" s="19">
        <f ca="1">ROUND(FIRE1120_raw!H17,0)</f>
        <v>4</v>
      </c>
      <c r="I15" s="19">
        <f ca="1">IF(FIRE1120_raw!I17="..", "..", ROUND(FIRE1120_raw!I17,0))</f>
        <v>0</v>
      </c>
      <c r="J15" s="133">
        <f ca="1">FIRE1120_raw!J17</f>
        <v>0.16</v>
      </c>
      <c r="K15" s="115" t="s">
        <v>175</v>
      </c>
      <c r="L15" s="14">
        <f t="shared" ca="1" si="0"/>
        <v>23</v>
      </c>
      <c r="M15" s="14">
        <f t="shared" ca="1" si="1"/>
        <v>4</v>
      </c>
      <c r="N15" s="19">
        <f ca="1">IF(FIRE1120_raw!N17="..", "..", ROUND(FIRE1120_raw!N17,0))</f>
        <v>0</v>
      </c>
      <c r="O15" s="133">
        <f ca="1">FIRE1120_raw!O17</f>
        <v>0.14814814814814814</v>
      </c>
      <c r="P15" s="115" t="s">
        <v>175</v>
      </c>
      <c r="Q15" s="19">
        <f ca="1">ROUND(FIRE1120_raw!Q17,0)</f>
        <v>0</v>
      </c>
      <c r="R15" s="19">
        <f ca="1">ROUND(FIRE1120_raw!R17,0)</f>
        <v>0</v>
      </c>
      <c r="S15" s="19">
        <f ca="1">IF(FIRE1120_raw!S17="..", "..", ROUND(FIRE1120_raw!S17,0))</f>
        <v>0</v>
      </c>
      <c r="T15" s="133" t="str">
        <f ca="1">FIRE1120_raw!T17</f>
        <v>-</v>
      </c>
      <c r="U15" s="115" t="s">
        <v>175</v>
      </c>
      <c r="V15" s="19">
        <f ca="1">ROUND(FIRE1120_raw!V17,0)</f>
        <v>2</v>
      </c>
      <c r="W15" s="19">
        <f ca="1">ROUND(FIRE1120_raw!W17,0)</f>
        <v>0</v>
      </c>
      <c r="X15" s="19">
        <f ca="1">IF(FIRE1120_raw!X17="..", "..", ROUND(FIRE1120_raw!X17,0))</f>
        <v>0</v>
      </c>
      <c r="Y15" s="133">
        <f ca="1">FIRE1120_raw!Y17</f>
        <v>0</v>
      </c>
      <c r="Z15" s="115" t="s">
        <v>175</v>
      </c>
      <c r="AA15" s="14">
        <f t="shared" ca="1" si="2"/>
        <v>25</v>
      </c>
      <c r="AB15" s="14">
        <f t="shared" ca="1" si="3"/>
        <v>4</v>
      </c>
      <c r="AC15" s="19">
        <f ca="1">IF(FIRE1120_raw!AC17="..", "..", ROUND(FIRE1120_raw!AC17,0))</f>
        <v>0</v>
      </c>
      <c r="AD15" s="133">
        <f ca="1">FIRE1120_raw!AD17</f>
        <v>0.13793103448275862</v>
      </c>
      <c r="AE15" s="16"/>
      <c r="AF15" s="16"/>
      <c r="AG15" s="16"/>
      <c r="AH15" s="16"/>
      <c r="AI15" s="16"/>
      <c r="AJ15" s="16"/>
      <c r="AK15" s="16"/>
      <c r="AL15" s="16"/>
      <c r="AM15" s="16"/>
    </row>
    <row r="16" spans="1:40" s="6" customFormat="1" ht="15" customHeight="1" x14ac:dyDescent="0.3">
      <c r="A16" s="5" t="s">
        <v>20</v>
      </c>
      <c r="B16" s="19">
        <f ca="1">ROUND(FIRE1120_raw!B18,0)</f>
        <v>9</v>
      </c>
      <c r="C16" s="19">
        <f ca="1">ROUND(FIRE1120_raw!C18,0)</f>
        <v>12</v>
      </c>
      <c r="D16" s="19">
        <f ca="1">IF(FIRE1120_raw!D18="..", "..", ROUND(FIRE1120_raw!D18,0))</f>
        <v>1</v>
      </c>
      <c r="E16" s="127">
        <f ca="1">FIRE1120_raw!E18</f>
        <v>0.54545454545454541</v>
      </c>
      <c r="F16" s="115" t="s">
        <v>175</v>
      </c>
      <c r="G16" s="19">
        <f ca="1">ROUND(FIRE1120_raw!G18,0)</f>
        <v>31</v>
      </c>
      <c r="H16" s="19">
        <f ca="1">ROUND(FIRE1120_raw!H18,0)</f>
        <v>10</v>
      </c>
      <c r="I16" s="19">
        <f ca="1">IF(FIRE1120_raw!I18="..", "..", ROUND(FIRE1120_raw!I18,0))</f>
        <v>0</v>
      </c>
      <c r="J16" s="133">
        <f ca="1">FIRE1120_raw!J18</f>
        <v>0.24390243902439024</v>
      </c>
      <c r="K16" s="115" t="s">
        <v>175</v>
      </c>
      <c r="L16" s="14">
        <f t="shared" ca="1" si="0"/>
        <v>40</v>
      </c>
      <c r="M16" s="14">
        <f t="shared" ca="1" si="1"/>
        <v>22</v>
      </c>
      <c r="N16" s="19">
        <f ca="1">IF(FIRE1120_raw!N18="..", "..", ROUND(FIRE1120_raw!N18,0))</f>
        <v>1</v>
      </c>
      <c r="O16" s="133">
        <f ca="1">FIRE1120_raw!O18</f>
        <v>0.34920634920634919</v>
      </c>
      <c r="P16" s="115" t="s">
        <v>175</v>
      </c>
      <c r="Q16" s="19">
        <f ca="1">ROUND(FIRE1120_raw!Q18,0)</f>
        <v>0</v>
      </c>
      <c r="R16" s="19">
        <f ca="1">ROUND(FIRE1120_raw!R18,0)</f>
        <v>0</v>
      </c>
      <c r="S16" s="19">
        <f ca="1">IF(FIRE1120_raw!S18="..", "..", ROUND(FIRE1120_raw!S18,0))</f>
        <v>0</v>
      </c>
      <c r="T16" s="133" t="str">
        <f ca="1">FIRE1120_raw!T18</f>
        <v>-</v>
      </c>
      <c r="U16" s="115" t="s">
        <v>175</v>
      </c>
      <c r="V16" s="19">
        <f ca="1">ROUND(FIRE1120_raw!V18,0)</f>
        <v>4</v>
      </c>
      <c r="W16" s="19">
        <f ca="1">ROUND(FIRE1120_raw!W18,0)</f>
        <v>0</v>
      </c>
      <c r="X16" s="19">
        <f ca="1">IF(FIRE1120_raw!X18="..", "..", ROUND(FIRE1120_raw!X18,0))</f>
        <v>0</v>
      </c>
      <c r="Y16" s="133">
        <f ca="1">FIRE1120_raw!Y18</f>
        <v>0</v>
      </c>
      <c r="Z16" s="115" t="s">
        <v>175</v>
      </c>
      <c r="AA16" s="14">
        <f t="shared" ca="1" si="2"/>
        <v>44</v>
      </c>
      <c r="AB16" s="14">
        <f t="shared" ca="1" si="3"/>
        <v>22</v>
      </c>
      <c r="AC16" s="19">
        <f ca="1">IF(FIRE1120_raw!AC18="..", "..", ROUND(FIRE1120_raw!AC18,0))</f>
        <v>1</v>
      </c>
      <c r="AD16" s="133">
        <f ca="1">FIRE1120_raw!AD18</f>
        <v>0.32835820895522388</v>
      </c>
      <c r="AE16" s="16"/>
      <c r="AF16" s="16"/>
      <c r="AG16" s="16"/>
      <c r="AH16" s="16"/>
      <c r="AI16" s="16"/>
      <c r="AJ16" s="16"/>
      <c r="AK16" s="16"/>
      <c r="AL16" s="16"/>
      <c r="AM16" s="16"/>
    </row>
    <row r="17" spans="1:39" s="6" customFormat="1" ht="15" customHeight="1" x14ac:dyDescent="0.3">
      <c r="A17" s="21" t="s">
        <v>21</v>
      </c>
      <c r="B17" s="19">
        <f ca="1">ROUND(FIRE1120_raw!B19,0)</f>
        <v>25</v>
      </c>
      <c r="C17" s="19">
        <f ca="1">ROUND(FIRE1120_raw!C19,0)</f>
        <v>9</v>
      </c>
      <c r="D17" s="19">
        <f ca="1">IF(FIRE1120_raw!D19="..", "..", ROUND(FIRE1120_raw!D19,0))</f>
        <v>0</v>
      </c>
      <c r="E17" s="127">
        <f ca="1">FIRE1120_raw!E19</f>
        <v>0.26470588235294118</v>
      </c>
      <c r="F17" s="115" t="s">
        <v>175</v>
      </c>
      <c r="G17" s="19">
        <f ca="1">ROUND(FIRE1120_raw!G19,0)</f>
        <v>49</v>
      </c>
      <c r="H17" s="19">
        <f ca="1">ROUND(FIRE1120_raw!H19,0)</f>
        <v>7</v>
      </c>
      <c r="I17" s="19">
        <f ca="1">IF(FIRE1120_raw!I19="..", "..", ROUND(FIRE1120_raw!I19,0))</f>
        <v>0</v>
      </c>
      <c r="J17" s="133">
        <f ca="1">FIRE1120_raw!J19</f>
        <v>0.125</v>
      </c>
      <c r="K17" s="115" t="s">
        <v>175</v>
      </c>
      <c r="L17" s="14">
        <f t="shared" ca="1" si="0"/>
        <v>74</v>
      </c>
      <c r="M17" s="14">
        <f t="shared" ca="1" si="1"/>
        <v>16</v>
      </c>
      <c r="N17" s="19">
        <f ca="1">IF(FIRE1120_raw!N19="..", "..", ROUND(FIRE1120_raw!N19,0))</f>
        <v>0</v>
      </c>
      <c r="O17" s="133">
        <f ca="1">FIRE1120_raw!O19</f>
        <v>0.17777777777777778</v>
      </c>
      <c r="P17" s="115" t="s">
        <v>175</v>
      </c>
      <c r="Q17" s="19">
        <f ca="1">ROUND(FIRE1120_raw!Q19,0)</f>
        <v>0</v>
      </c>
      <c r="R17" s="19">
        <f ca="1">ROUND(FIRE1120_raw!R19,0)</f>
        <v>0</v>
      </c>
      <c r="S17" s="19">
        <f ca="1">IF(FIRE1120_raw!S19="..", "..", ROUND(FIRE1120_raw!S19,0))</f>
        <v>0</v>
      </c>
      <c r="T17" s="133" t="str">
        <f ca="1">FIRE1120_raw!T19</f>
        <v>-</v>
      </c>
      <c r="U17" s="115" t="s">
        <v>175</v>
      </c>
      <c r="V17" s="19">
        <f ca="1">ROUND(FIRE1120_raw!V19,0)</f>
        <v>7</v>
      </c>
      <c r="W17" s="19">
        <f ca="1">ROUND(FIRE1120_raw!W19,0)</f>
        <v>15</v>
      </c>
      <c r="X17" s="19">
        <f ca="1">IF(FIRE1120_raw!X19="..", "..", ROUND(FIRE1120_raw!X19,0))</f>
        <v>0</v>
      </c>
      <c r="Y17" s="133">
        <f ca="1">FIRE1120_raw!Y19</f>
        <v>0.68181818181818177</v>
      </c>
      <c r="Z17" s="115" t="s">
        <v>175</v>
      </c>
      <c r="AA17" s="14">
        <f t="shared" ca="1" si="2"/>
        <v>81</v>
      </c>
      <c r="AB17" s="14">
        <f t="shared" ca="1" si="3"/>
        <v>31</v>
      </c>
      <c r="AC17" s="19">
        <f ca="1">IF(FIRE1120_raw!AC19="..", "..", ROUND(FIRE1120_raw!AC19,0))</f>
        <v>0</v>
      </c>
      <c r="AD17" s="133">
        <f ca="1">FIRE1120_raw!AD19</f>
        <v>0.2767857142857143</v>
      </c>
      <c r="AE17" s="16"/>
      <c r="AF17" s="16"/>
      <c r="AG17" s="16"/>
      <c r="AH17" s="16"/>
      <c r="AI17" s="16"/>
      <c r="AJ17" s="16"/>
      <c r="AK17" s="16"/>
      <c r="AL17" s="16"/>
      <c r="AM17" s="16"/>
    </row>
    <row r="18" spans="1:39" s="6" customFormat="1" ht="15" customHeight="1" x14ac:dyDescent="0.3">
      <c r="A18" s="21" t="s">
        <v>22</v>
      </c>
      <c r="B18" s="19">
        <f ca="1">ROUND(FIRE1120_raw!B20,0)</f>
        <v>35</v>
      </c>
      <c r="C18" s="19">
        <f ca="1">ROUND(FIRE1120_raw!C20,0)</f>
        <v>2</v>
      </c>
      <c r="D18" s="19">
        <f ca="1">IF(FIRE1120_raw!D20="..", "..", ROUND(FIRE1120_raw!D20,0))</f>
        <v>0</v>
      </c>
      <c r="E18" s="127">
        <f ca="1">FIRE1120_raw!E20</f>
        <v>5.4054054054054057E-2</v>
      </c>
      <c r="F18" s="115" t="s">
        <v>175</v>
      </c>
      <c r="G18" s="19">
        <f ca="1">ROUND(FIRE1120_raw!G20,0)</f>
        <v>57</v>
      </c>
      <c r="H18" s="19">
        <f ca="1">ROUND(FIRE1120_raw!H20,0)</f>
        <v>13</v>
      </c>
      <c r="I18" s="19">
        <f ca="1">IF(FIRE1120_raw!I20="..", "..", ROUND(FIRE1120_raw!I20,0))</f>
        <v>1</v>
      </c>
      <c r="J18" s="133">
        <f ca="1">FIRE1120_raw!J20</f>
        <v>0.18309859154929578</v>
      </c>
      <c r="K18" s="115" t="s">
        <v>175</v>
      </c>
      <c r="L18" s="14">
        <f t="shared" ca="1" si="0"/>
        <v>92</v>
      </c>
      <c r="M18" s="14">
        <f t="shared" ca="1" si="1"/>
        <v>15</v>
      </c>
      <c r="N18" s="19">
        <f ca="1">IF(FIRE1120_raw!N20="..", "..", ROUND(FIRE1120_raw!N20,0))</f>
        <v>1</v>
      </c>
      <c r="O18" s="133">
        <f ca="1">FIRE1120_raw!O20</f>
        <v>0.1388888888888889</v>
      </c>
      <c r="P18" s="115" t="s">
        <v>175</v>
      </c>
      <c r="Q18" s="19">
        <f ca="1">ROUND(FIRE1120_raw!Q20,0)</f>
        <v>0</v>
      </c>
      <c r="R18" s="19">
        <f ca="1">ROUND(FIRE1120_raw!R20,0)</f>
        <v>1</v>
      </c>
      <c r="S18" s="19">
        <f ca="1">IF(FIRE1120_raw!S20="..", "..", ROUND(FIRE1120_raw!S20,0))</f>
        <v>0</v>
      </c>
      <c r="T18" s="133">
        <f ca="1">FIRE1120_raw!T20</f>
        <v>1</v>
      </c>
      <c r="U18" s="115" t="s">
        <v>175</v>
      </c>
      <c r="V18" s="19">
        <f ca="1">ROUND(FIRE1120_raw!V20,0)</f>
        <v>13</v>
      </c>
      <c r="W18" s="19">
        <f ca="1">ROUND(FIRE1120_raw!W20,0)</f>
        <v>5</v>
      </c>
      <c r="X18" s="19">
        <f ca="1">IF(FIRE1120_raw!X20="..", "..", ROUND(FIRE1120_raw!X20,0))</f>
        <v>0</v>
      </c>
      <c r="Y18" s="133">
        <f ca="1">FIRE1120_raw!Y20</f>
        <v>0.27777777777777779</v>
      </c>
      <c r="Z18" s="115" t="s">
        <v>175</v>
      </c>
      <c r="AA18" s="14">
        <f t="shared" ca="1" si="2"/>
        <v>105</v>
      </c>
      <c r="AB18" s="14">
        <f t="shared" ca="1" si="3"/>
        <v>21</v>
      </c>
      <c r="AC18" s="19">
        <f ca="1">IF(FIRE1120_raw!AC20="..", "..", ROUND(FIRE1120_raw!AC20,0))</f>
        <v>1</v>
      </c>
      <c r="AD18" s="133">
        <f ca="1">FIRE1120_raw!AD20</f>
        <v>0.16535433070866143</v>
      </c>
      <c r="AE18" s="16"/>
      <c r="AF18" s="16"/>
      <c r="AG18" s="16"/>
      <c r="AH18" s="16"/>
      <c r="AI18" s="16"/>
      <c r="AJ18" s="16"/>
      <c r="AK18" s="16"/>
      <c r="AL18" s="16"/>
      <c r="AM18" s="16"/>
    </row>
    <row r="19" spans="1:39" s="6" customFormat="1" ht="15" customHeight="1" x14ac:dyDescent="0.3">
      <c r="A19" s="5" t="s">
        <v>23</v>
      </c>
      <c r="B19" s="19">
        <f ca="1">ROUND(FIRE1120_raw!B21,0)</f>
        <v>12</v>
      </c>
      <c r="C19" s="19">
        <f ca="1">ROUND(FIRE1120_raw!C21,0)</f>
        <v>0</v>
      </c>
      <c r="D19" s="19">
        <f ca="1">IF(FIRE1120_raw!D21="..", "..", ROUND(FIRE1120_raw!D21,0))</f>
        <v>0</v>
      </c>
      <c r="E19" s="127">
        <f ca="1">FIRE1120_raw!E21</f>
        <v>0</v>
      </c>
      <c r="F19" s="115" t="s">
        <v>175</v>
      </c>
      <c r="G19" s="19">
        <f ca="1">ROUND(FIRE1120_raw!G21,0)</f>
        <v>44</v>
      </c>
      <c r="H19" s="19">
        <f ca="1">ROUND(FIRE1120_raw!H21,0)</f>
        <v>5</v>
      </c>
      <c r="I19" s="19">
        <f ca="1">IF(FIRE1120_raw!I21="..", "..", ROUND(FIRE1120_raw!I21,0))</f>
        <v>0</v>
      </c>
      <c r="J19" s="133">
        <f ca="1">FIRE1120_raw!J21</f>
        <v>0.10204081632653061</v>
      </c>
      <c r="K19" s="115" t="s">
        <v>175</v>
      </c>
      <c r="L19" s="14">
        <f t="shared" ca="1" si="0"/>
        <v>56</v>
      </c>
      <c r="M19" s="14">
        <f t="shared" ca="1" si="1"/>
        <v>5</v>
      </c>
      <c r="N19" s="19">
        <f ca="1">IF(FIRE1120_raw!N21="..", "..", ROUND(FIRE1120_raw!N21,0))</f>
        <v>0</v>
      </c>
      <c r="O19" s="133">
        <f ca="1">FIRE1120_raw!O21</f>
        <v>8.1967213114754092E-2</v>
      </c>
      <c r="P19" s="115" t="s">
        <v>175</v>
      </c>
      <c r="Q19" s="19">
        <f ca="1">ROUND(FIRE1120_raw!Q21,0)</f>
        <v>3</v>
      </c>
      <c r="R19" s="19">
        <f ca="1">ROUND(FIRE1120_raw!R21,0)</f>
        <v>2</v>
      </c>
      <c r="S19" s="19">
        <f ca="1">IF(FIRE1120_raw!S21="..", "..", ROUND(FIRE1120_raw!S21,0))</f>
        <v>0</v>
      </c>
      <c r="T19" s="133">
        <f ca="1">FIRE1120_raw!T21</f>
        <v>0.4</v>
      </c>
      <c r="U19" s="115" t="s">
        <v>175</v>
      </c>
      <c r="V19" s="19">
        <f ca="1">ROUND(FIRE1120_raw!V21,0)</f>
        <v>34</v>
      </c>
      <c r="W19" s="19">
        <f ca="1">ROUND(FIRE1120_raw!W21,0)</f>
        <v>33</v>
      </c>
      <c r="X19" s="19">
        <f ca="1">IF(FIRE1120_raw!X21="..", "..", ROUND(FIRE1120_raw!X21,0))</f>
        <v>0</v>
      </c>
      <c r="Y19" s="133">
        <f ca="1">FIRE1120_raw!Y21</f>
        <v>0.4925373134328358</v>
      </c>
      <c r="Z19" s="115" t="s">
        <v>175</v>
      </c>
      <c r="AA19" s="14">
        <f t="shared" ca="1" si="2"/>
        <v>93</v>
      </c>
      <c r="AB19" s="14">
        <f t="shared" ca="1" si="3"/>
        <v>40</v>
      </c>
      <c r="AC19" s="19">
        <f ca="1">IF(FIRE1120_raw!AC21="..", "..", ROUND(FIRE1120_raw!AC21,0))</f>
        <v>0</v>
      </c>
      <c r="AD19" s="133">
        <f ca="1">FIRE1120_raw!AD21</f>
        <v>0.3007518796992481</v>
      </c>
      <c r="AE19" s="16"/>
      <c r="AF19" s="16"/>
      <c r="AG19" s="16"/>
      <c r="AH19" s="16"/>
      <c r="AI19" s="16"/>
      <c r="AJ19" s="16"/>
      <c r="AK19" s="16"/>
      <c r="AL19" s="16"/>
      <c r="AM19" s="16"/>
    </row>
    <row r="20" spans="1:39" s="6" customFormat="1" ht="15" customHeight="1" x14ac:dyDescent="0.3">
      <c r="A20" s="5" t="s">
        <v>24</v>
      </c>
      <c r="B20" s="19">
        <f ca="1">ROUND(FIRE1120_raw!B22,0)</f>
        <v>1</v>
      </c>
      <c r="C20" s="19">
        <f ca="1">ROUND(FIRE1120_raw!C22,0)</f>
        <v>0</v>
      </c>
      <c r="D20" s="19">
        <f ca="1">IF(FIRE1120_raw!D22="..", "..", ROUND(FIRE1120_raw!D22,0))</f>
        <v>0</v>
      </c>
      <c r="E20" s="127">
        <f ca="1">FIRE1120_raw!E22</f>
        <v>0</v>
      </c>
      <c r="F20" s="115" t="s">
        <v>175</v>
      </c>
      <c r="G20" s="19">
        <f ca="1">ROUND(FIRE1120_raw!G22,0)</f>
        <v>28</v>
      </c>
      <c r="H20" s="19">
        <f ca="1">ROUND(FIRE1120_raw!H22,0)</f>
        <v>5</v>
      </c>
      <c r="I20" s="19">
        <f ca="1">IF(FIRE1120_raw!I22="..", "..", ROUND(FIRE1120_raw!I22,0))</f>
        <v>0</v>
      </c>
      <c r="J20" s="133">
        <f ca="1">FIRE1120_raw!J22</f>
        <v>0.15151515151515152</v>
      </c>
      <c r="K20" s="115" t="s">
        <v>175</v>
      </c>
      <c r="L20" s="14">
        <f t="shared" ca="1" si="0"/>
        <v>29</v>
      </c>
      <c r="M20" s="14">
        <f t="shared" ca="1" si="1"/>
        <v>5</v>
      </c>
      <c r="N20" s="19">
        <f ca="1">IF(FIRE1120_raw!N22="..", "..", ROUND(FIRE1120_raw!N22,0))</f>
        <v>0</v>
      </c>
      <c r="O20" s="133">
        <f ca="1">FIRE1120_raw!O22</f>
        <v>0.14705882352941177</v>
      </c>
      <c r="P20" s="115" t="s">
        <v>175</v>
      </c>
      <c r="Q20" s="19">
        <f ca="1">ROUND(FIRE1120_raw!Q22,0)</f>
        <v>0</v>
      </c>
      <c r="R20" s="19">
        <f ca="1">ROUND(FIRE1120_raw!R22,0)</f>
        <v>2</v>
      </c>
      <c r="S20" s="19">
        <f ca="1">IF(FIRE1120_raw!S22="..", "..", ROUND(FIRE1120_raw!S22,0))</f>
        <v>0</v>
      </c>
      <c r="T20" s="133">
        <f ca="1">FIRE1120_raw!T22</f>
        <v>1</v>
      </c>
      <c r="U20" s="115" t="s">
        <v>175</v>
      </c>
      <c r="V20" s="19">
        <f ca="1">ROUND(FIRE1120_raw!V22,0)</f>
        <v>9</v>
      </c>
      <c r="W20" s="19">
        <f ca="1">ROUND(FIRE1120_raw!W22,0)</f>
        <v>7</v>
      </c>
      <c r="X20" s="19">
        <f ca="1">IF(FIRE1120_raw!X22="..", "..", ROUND(FIRE1120_raw!X22,0))</f>
        <v>0</v>
      </c>
      <c r="Y20" s="133">
        <f ca="1">FIRE1120_raw!Y22</f>
        <v>0.4375</v>
      </c>
      <c r="Z20" s="115" t="s">
        <v>175</v>
      </c>
      <c r="AA20" s="14">
        <f t="shared" ca="1" si="2"/>
        <v>38</v>
      </c>
      <c r="AB20" s="14">
        <f t="shared" ca="1" si="3"/>
        <v>14</v>
      </c>
      <c r="AC20" s="19">
        <f ca="1">IF(FIRE1120_raw!AC22="..", "..", ROUND(FIRE1120_raw!AC22,0))</f>
        <v>0</v>
      </c>
      <c r="AD20" s="133">
        <f ca="1">FIRE1120_raw!AD22</f>
        <v>0.26923076923076922</v>
      </c>
      <c r="AE20" s="16"/>
      <c r="AF20" s="16"/>
      <c r="AG20" s="16"/>
      <c r="AH20" s="16"/>
      <c r="AI20" s="16"/>
      <c r="AJ20" s="16"/>
      <c r="AK20" s="16"/>
      <c r="AL20" s="16"/>
      <c r="AM20" s="16"/>
    </row>
    <row r="21" spans="1:39" s="6" customFormat="1" ht="15" customHeight="1" x14ac:dyDescent="0.3">
      <c r="A21" s="5" t="s">
        <v>25</v>
      </c>
      <c r="B21" s="19">
        <f ca="1">ROUND(FIRE1120_raw!B23,0)</f>
        <v>2</v>
      </c>
      <c r="C21" s="19">
        <f ca="1">ROUND(FIRE1120_raw!C23,0)</f>
        <v>0</v>
      </c>
      <c r="D21" s="19">
        <f ca="1">IF(FIRE1120_raw!D23="..", "..", ROUND(FIRE1120_raw!D23,0))</f>
        <v>0</v>
      </c>
      <c r="E21" s="127">
        <f ca="1">FIRE1120_raw!E23</f>
        <v>0</v>
      </c>
      <c r="F21" s="115" t="s">
        <v>175</v>
      </c>
      <c r="G21" s="19">
        <f ca="1">ROUND(FIRE1120_raw!G23,0)</f>
        <v>3</v>
      </c>
      <c r="H21" s="19">
        <f ca="1">ROUND(FIRE1120_raw!H23,0)</f>
        <v>2</v>
      </c>
      <c r="I21" s="19">
        <f ca="1">IF(FIRE1120_raw!I23="..", "..", ROUND(FIRE1120_raw!I23,0))</f>
        <v>0</v>
      </c>
      <c r="J21" s="133">
        <f ca="1">FIRE1120_raw!J23</f>
        <v>0.4</v>
      </c>
      <c r="K21" s="115" t="s">
        <v>175</v>
      </c>
      <c r="L21" s="14">
        <f t="shared" ca="1" si="0"/>
        <v>5</v>
      </c>
      <c r="M21" s="14">
        <f t="shared" ca="1" si="1"/>
        <v>2</v>
      </c>
      <c r="N21" s="19">
        <f ca="1">IF(FIRE1120_raw!N23="..", "..", ROUND(FIRE1120_raw!N23,0))</f>
        <v>0</v>
      </c>
      <c r="O21" s="133">
        <f ca="1">FIRE1120_raw!O23</f>
        <v>0.2857142857142857</v>
      </c>
      <c r="P21" s="115" t="s">
        <v>175</v>
      </c>
      <c r="Q21" s="19">
        <f ca="1">ROUND(FIRE1120_raw!Q23,0)</f>
        <v>2</v>
      </c>
      <c r="R21" s="19">
        <f ca="1">ROUND(FIRE1120_raw!R23,0)</f>
        <v>0</v>
      </c>
      <c r="S21" s="19">
        <f ca="1">IF(FIRE1120_raw!S23="..", "..", ROUND(FIRE1120_raw!S23,0))</f>
        <v>0</v>
      </c>
      <c r="T21" s="133">
        <f ca="1">FIRE1120_raw!T23</f>
        <v>0</v>
      </c>
      <c r="U21" s="115" t="s">
        <v>175</v>
      </c>
      <c r="V21" s="19">
        <f ca="1">ROUND(FIRE1120_raw!V23,0)</f>
        <v>4</v>
      </c>
      <c r="W21" s="19">
        <f ca="1">ROUND(FIRE1120_raw!W23,0)</f>
        <v>7</v>
      </c>
      <c r="X21" s="19">
        <f ca="1">IF(FIRE1120_raw!X23="..", "..", ROUND(FIRE1120_raw!X23,0))</f>
        <v>0</v>
      </c>
      <c r="Y21" s="133">
        <f ca="1">FIRE1120_raw!Y23</f>
        <v>0.63636363636363635</v>
      </c>
      <c r="Z21" s="115" t="s">
        <v>175</v>
      </c>
      <c r="AA21" s="14">
        <f t="shared" ca="1" si="2"/>
        <v>11</v>
      </c>
      <c r="AB21" s="14">
        <f t="shared" ca="1" si="3"/>
        <v>9</v>
      </c>
      <c r="AC21" s="19">
        <f ca="1">IF(FIRE1120_raw!AC23="..", "..", ROUND(FIRE1120_raw!AC23,0))</f>
        <v>0</v>
      </c>
      <c r="AD21" s="133">
        <f ca="1">FIRE1120_raw!AD23</f>
        <v>0.45</v>
      </c>
      <c r="AE21" s="16"/>
      <c r="AF21" s="16"/>
      <c r="AG21" s="16"/>
      <c r="AH21" s="16"/>
      <c r="AI21" s="16"/>
      <c r="AJ21" s="16"/>
      <c r="AK21" s="16"/>
      <c r="AL21" s="16"/>
      <c r="AM21" s="16"/>
    </row>
    <row r="22" spans="1:39" s="6" customFormat="1" ht="15" customHeight="1" x14ac:dyDescent="0.3">
      <c r="A22" s="5" t="s">
        <v>26</v>
      </c>
      <c r="B22" s="19">
        <f ca="1">ROUND(FIRE1120_raw!B24,0)</f>
        <v>35</v>
      </c>
      <c r="C22" s="19">
        <f ca="1">ROUND(FIRE1120_raw!C24,0)</f>
        <v>4</v>
      </c>
      <c r="D22" s="19">
        <f ca="1">IF(FIRE1120_raw!D24="..", "..", ROUND(FIRE1120_raw!D24,0))</f>
        <v>1</v>
      </c>
      <c r="E22" s="127">
        <f ca="1">FIRE1120_raw!E24</f>
        <v>0.1</v>
      </c>
      <c r="F22" s="115" t="s">
        <v>175</v>
      </c>
      <c r="G22" s="19">
        <f ca="1">ROUND(FIRE1120_raw!G24,0)</f>
        <v>56</v>
      </c>
      <c r="H22" s="19">
        <f ca="1">ROUND(FIRE1120_raw!H24,0)</f>
        <v>7</v>
      </c>
      <c r="I22" s="19">
        <f ca="1">IF(FIRE1120_raw!I24="..", "..", ROUND(FIRE1120_raw!I24,0))</f>
        <v>3</v>
      </c>
      <c r="J22" s="133">
        <f ca="1">FIRE1120_raw!J24</f>
        <v>0.10606060606060606</v>
      </c>
      <c r="K22" s="115" t="s">
        <v>175</v>
      </c>
      <c r="L22" s="14">
        <f t="shared" ca="1" si="0"/>
        <v>91</v>
      </c>
      <c r="M22" s="14">
        <f t="shared" ca="1" si="1"/>
        <v>11</v>
      </c>
      <c r="N22" s="19">
        <f ca="1">IF(FIRE1120_raw!N24="..", "..", ROUND(FIRE1120_raw!N24,0))</f>
        <v>4</v>
      </c>
      <c r="O22" s="133">
        <f ca="1">FIRE1120_raw!O24</f>
        <v>0.10377358490566038</v>
      </c>
      <c r="P22" s="115" t="s">
        <v>175</v>
      </c>
      <c r="Q22" s="19">
        <f ca="1">ROUND(FIRE1120_raw!Q24,0)</f>
        <v>0</v>
      </c>
      <c r="R22" s="19">
        <f ca="1">ROUND(FIRE1120_raw!R24,0)</f>
        <v>2</v>
      </c>
      <c r="S22" s="19">
        <f ca="1">IF(FIRE1120_raw!S24="..", "..", ROUND(FIRE1120_raw!S24,0))</f>
        <v>0</v>
      </c>
      <c r="T22" s="133">
        <f ca="1">FIRE1120_raw!T24</f>
        <v>1</v>
      </c>
      <c r="U22" s="115" t="s">
        <v>175</v>
      </c>
      <c r="V22" s="19">
        <f ca="1">ROUND(FIRE1120_raw!V24,0)</f>
        <v>14</v>
      </c>
      <c r="W22" s="19">
        <f ca="1">ROUND(FIRE1120_raw!W24,0)</f>
        <v>20</v>
      </c>
      <c r="X22" s="19">
        <f ca="1">IF(FIRE1120_raw!X24="..", "..", ROUND(FIRE1120_raw!X24,0))</f>
        <v>1</v>
      </c>
      <c r="Y22" s="133">
        <f ca="1">FIRE1120_raw!Y24</f>
        <v>0.5714285714285714</v>
      </c>
      <c r="Z22" s="115" t="s">
        <v>175</v>
      </c>
      <c r="AA22" s="14">
        <f t="shared" ca="1" si="2"/>
        <v>105</v>
      </c>
      <c r="AB22" s="14">
        <f t="shared" ca="1" si="3"/>
        <v>33</v>
      </c>
      <c r="AC22" s="19">
        <f ca="1">IF(FIRE1120_raw!AC24="..", "..", ROUND(FIRE1120_raw!AC24,0))</f>
        <v>5</v>
      </c>
      <c r="AD22" s="133">
        <f ca="1">FIRE1120_raw!AD24</f>
        <v>0.23076923076923078</v>
      </c>
      <c r="AE22" s="16"/>
      <c r="AF22" s="16"/>
      <c r="AG22" s="16"/>
      <c r="AH22" s="16"/>
      <c r="AI22" s="16"/>
      <c r="AJ22" s="16"/>
      <c r="AK22" s="16"/>
      <c r="AL22" s="16"/>
      <c r="AM22" s="16"/>
    </row>
    <row r="23" spans="1:39" s="6" customFormat="1" ht="15" customHeight="1" x14ac:dyDescent="0.3">
      <c r="A23" s="5" t="s">
        <v>27</v>
      </c>
      <c r="B23" s="19">
        <f ca="1">ROUND(FIRE1120_raw!B25,0)</f>
        <v>12</v>
      </c>
      <c r="C23" s="19">
        <f ca="1">ROUND(FIRE1120_raw!C25,0)</f>
        <v>1</v>
      </c>
      <c r="D23" s="19">
        <f ca="1">IF(FIRE1120_raw!D25="..", "..", ROUND(FIRE1120_raw!D25,0))</f>
        <v>0</v>
      </c>
      <c r="E23" s="127">
        <f ca="1">FIRE1120_raw!E25</f>
        <v>7.6923076923076927E-2</v>
      </c>
      <c r="F23" s="115" t="s">
        <v>175</v>
      </c>
      <c r="G23" s="19">
        <f ca="1">ROUND(FIRE1120_raw!G25,0)</f>
        <v>28</v>
      </c>
      <c r="H23" s="19">
        <f ca="1">ROUND(FIRE1120_raw!H25,0)</f>
        <v>9</v>
      </c>
      <c r="I23" s="19">
        <f ca="1">IF(FIRE1120_raw!I25="..", "..", ROUND(FIRE1120_raw!I25,0))</f>
        <v>0</v>
      </c>
      <c r="J23" s="133">
        <f ca="1">FIRE1120_raw!J25</f>
        <v>0.24324324324324326</v>
      </c>
      <c r="K23" s="115" t="s">
        <v>175</v>
      </c>
      <c r="L23" s="14">
        <f t="shared" ca="1" si="0"/>
        <v>40</v>
      </c>
      <c r="M23" s="14">
        <f t="shared" ca="1" si="1"/>
        <v>10</v>
      </c>
      <c r="N23" s="19">
        <f ca="1">IF(FIRE1120_raw!N25="..", "..", ROUND(FIRE1120_raw!N25,0))</f>
        <v>0</v>
      </c>
      <c r="O23" s="133">
        <f ca="1">FIRE1120_raw!O25</f>
        <v>0.2</v>
      </c>
      <c r="P23" s="115" t="s">
        <v>175</v>
      </c>
      <c r="Q23" s="19">
        <f ca="1">ROUND(FIRE1120_raw!Q25,0)</f>
        <v>0</v>
      </c>
      <c r="R23" s="19">
        <f ca="1">ROUND(FIRE1120_raw!R25,0)</f>
        <v>0</v>
      </c>
      <c r="S23" s="19">
        <f ca="1">IF(FIRE1120_raw!S25="..", "..", ROUND(FIRE1120_raw!S25,0))</f>
        <v>0</v>
      </c>
      <c r="T23" s="133" t="str">
        <f ca="1">FIRE1120_raw!T25</f>
        <v>-</v>
      </c>
      <c r="U23" s="115" t="s">
        <v>175</v>
      </c>
      <c r="V23" s="19">
        <f ca="1">ROUND(FIRE1120_raw!V25,0)</f>
        <v>4</v>
      </c>
      <c r="W23" s="19">
        <f ca="1">ROUND(FIRE1120_raw!W25,0)</f>
        <v>1</v>
      </c>
      <c r="X23" s="19">
        <f ca="1">IF(FIRE1120_raw!X25="..", "..", ROUND(FIRE1120_raw!X25,0))</f>
        <v>0</v>
      </c>
      <c r="Y23" s="133">
        <f ca="1">FIRE1120_raw!Y25</f>
        <v>0.2</v>
      </c>
      <c r="Z23" s="115" t="s">
        <v>175</v>
      </c>
      <c r="AA23" s="14">
        <f t="shared" ca="1" si="2"/>
        <v>44</v>
      </c>
      <c r="AB23" s="14">
        <f t="shared" ca="1" si="3"/>
        <v>11</v>
      </c>
      <c r="AC23" s="19">
        <f ca="1">IF(FIRE1120_raw!AC25="..", "..", ROUND(FIRE1120_raw!AC25,0))</f>
        <v>0</v>
      </c>
      <c r="AD23" s="133">
        <f ca="1">FIRE1120_raw!AD25</f>
        <v>0.2</v>
      </c>
      <c r="AE23" s="16"/>
      <c r="AF23" s="16"/>
      <c r="AG23" s="16"/>
      <c r="AH23" s="16"/>
      <c r="AI23" s="16"/>
      <c r="AJ23" s="16"/>
      <c r="AK23" s="16"/>
      <c r="AL23" s="16"/>
      <c r="AM23" s="16"/>
    </row>
    <row r="24" spans="1:39" s="6" customFormat="1" ht="15" customHeight="1" x14ac:dyDescent="0.3">
      <c r="A24" s="5" t="s">
        <v>28</v>
      </c>
      <c r="B24" s="19">
        <f ca="1">ROUND(FIRE1120_raw!B26,0)</f>
        <v>86</v>
      </c>
      <c r="C24" s="19">
        <f ca="1">ROUND(FIRE1120_raw!C26,0)</f>
        <v>9</v>
      </c>
      <c r="D24" s="19">
        <f ca="1">IF(FIRE1120_raw!D26="..", "..", ROUND(FIRE1120_raw!D26,0))</f>
        <v>0</v>
      </c>
      <c r="E24" s="127">
        <f ca="1">FIRE1120_raw!E26</f>
        <v>9.4736842105263161E-2</v>
      </c>
      <c r="F24" s="115" t="s">
        <v>175</v>
      </c>
      <c r="G24" s="19">
        <f ca="1">ROUND(FIRE1120_raw!G26,0)</f>
        <v>82</v>
      </c>
      <c r="H24" s="19">
        <f ca="1">ROUND(FIRE1120_raw!H26,0)</f>
        <v>9</v>
      </c>
      <c r="I24" s="19">
        <f ca="1">IF(FIRE1120_raw!I26="..", "..", ROUND(FIRE1120_raw!I26,0))</f>
        <v>0</v>
      </c>
      <c r="J24" s="133">
        <f ca="1">FIRE1120_raw!J26</f>
        <v>9.8901098901098897E-2</v>
      </c>
      <c r="K24" s="115" t="s">
        <v>175</v>
      </c>
      <c r="L24" s="14">
        <f t="shared" ca="1" si="0"/>
        <v>168</v>
      </c>
      <c r="M24" s="14">
        <f t="shared" ca="1" si="1"/>
        <v>18</v>
      </c>
      <c r="N24" s="19">
        <f ca="1">IF(FIRE1120_raw!N26="..", "..", ROUND(FIRE1120_raw!N26,0))</f>
        <v>0</v>
      </c>
      <c r="O24" s="133">
        <f ca="1">FIRE1120_raw!O26</f>
        <v>9.6774193548387094E-2</v>
      </c>
      <c r="P24" s="115" t="s">
        <v>175</v>
      </c>
      <c r="Q24" s="19">
        <f ca="1">ROUND(FIRE1120_raw!Q26,0)</f>
        <v>1</v>
      </c>
      <c r="R24" s="19">
        <f ca="1">ROUND(FIRE1120_raw!R26,0)</f>
        <v>1</v>
      </c>
      <c r="S24" s="19">
        <f ca="1">IF(FIRE1120_raw!S26="..", "..", ROUND(FIRE1120_raw!S26,0))</f>
        <v>0</v>
      </c>
      <c r="T24" s="133">
        <f ca="1">FIRE1120_raw!T26</f>
        <v>0.5</v>
      </c>
      <c r="U24" s="115" t="s">
        <v>175</v>
      </c>
      <c r="V24" s="19">
        <f ca="1">ROUND(FIRE1120_raw!V26,0)</f>
        <v>61</v>
      </c>
      <c r="W24" s="19">
        <f ca="1">ROUND(FIRE1120_raw!W26,0)</f>
        <v>68</v>
      </c>
      <c r="X24" s="19">
        <f ca="1">IF(FIRE1120_raw!X26="..", "..", ROUND(FIRE1120_raw!X26,0))</f>
        <v>0</v>
      </c>
      <c r="Y24" s="133">
        <f ca="1">FIRE1120_raw!Y26</f>
        <v>0.52713178294573648</v>
      </c>
      <c r="Z24" s="115" t="s">
        <v>175</v>
      </c>
      <c r="AA24" s="14">
        <f t="shared" ca="1" si="2"/>
        <v>230</v>
      </c>
      <c r="AB24" s="14">
        <f t="shared" ca="1" si="3"/>
        <v>87</v>
      </c>
      <c r="AC24" s="19">
        <f ca="1">IF(FIRE1120_raw!AC26="..", "..", ROUND(FIRE1120_raw!AC26,0))</f>
        <v>0</v>
      </c>
      <c r="AD24" s="133">
        <f ca="1">FIRE1120_raw!AD26</f>
        <v>0.27444794952681389</v>
      </c>
      <c r="AE24" s="16"/>
      <c r="AF24" s="16"/>
      <c r="AG24" s="16"/>
      <c r="AH24" s="16"/>
      <c r="AI24" s="16"/>
      <c r="AJ24" s="16"/>
      <c r="AK24" s="16"/>
      <c r="AL24" s="16"/>
      <c r="AM24" s="16"/>
    </row>
    <row r="25" spans="1:39" s="6" customFormat="1" ht="15" customHeight="1" x14ac:dyDescent="0.3">
      <c r="A25" s="5" t="s">
        <v>29</v>
      </c>
      <c r="B25" s="19">
        <f ca="1">ROUND(FIRE1120_raw!B27,0)</f>
        <v>25</v>
      </c>
      <c r="C25" s="19">
        <f ca="1">ROUND(FIRE1120_raw!C27,0)</f>
        <v>7</v>
      </c>
      <c r="D25" s="19">
        <f ca="1">IF(FIRE1120_raw!D27="..", "..", ROUND(FIRE1120_raw!D27,0))</f>
        <v>0</v>
      </c>
      <c r="E25" s="127">
        <f ca="1">FIRE1120_raw!E27</f>
        <v>0.21875</v>
      </c>
      <c r="F25" s="115" t="s">
        <v>175</v>
      </c>
      <c r="G25" s="19">
        <f ca="1">ROUND(FIRE1120_raw!G27,0)</f>
        <v>32</v>
      </c>
      <c r="H25" s="19">
        <f ca="1">ROUND(FIRE1120_raw!H27,0)</f>
        <v>2</v>
      </c>
      <c r="I25" s="19">
        <f ca="1">IF(FIRE1120_raw!I27="..", "..", ROUND(FIRE1120_raw!I27,0))</f>
        <v>0</v>
      </c>
      <c r="J25" s="133">
        <f ca="1">FIRE1120_raw!J27</f>
        <v>5.8823529411764705E-2</v>
      </c>
      <c r="K25" s="115" t="s">
        <v>175</v>
      </c>
      <c r="L25" s="14">
        <f t="shared" ca="1" si="0"/>
        <v>57</v>
      </c>
      <c r="M25" s="14">
        <f t="shared" ca="1" si="1"/>
        <v>9</v>
      </c>
      <c r="N25" s="19">
        <f ca="1">IF(FIRE1120_raw!N27="..", "..", ROUND(FIRE1120_raw!N27,0))</f>
        <v>0</v>
      </c>
      <c r="O25" s="133">
        <f ca="1">FIRE1120_raw!O27</f>
        <v>0.13636363636363635</v>
      </c>
      <c r="P25" s="115" t="s">
        <v>175</v>
      </c>
      <c r="Q25" s="19">
        <f ca="1">ROUND(FIRE1120_raw!Q27,0)</f>
        <v>0</v>
      </c>
      <c r="R25" s="19">
        <f ca="1">ROUND(FIRE1120_raw!R27,0)</f>
        <v>3</v>
      </c>
      <c r="S25" s="19">
        <f ca="1">IF(FIRE1120_raw!S27="..", "..", ROUND(FIRE1120_raw!S27,0))</f>
        <v>0</v>
      </c>
      <c r="T25" s="133">
        <f ca="1">FIRE1120_raw!T27</f>
        <v>1</v>
      </c>
      <c r="U25" s="115" t="s">
        <v>175</v>
      </c>
      <c r="V25" s="19">
        <f ca="1">ROUND(FIRE1120_raw!V27,0)</f>
        <v>7</v>
      </c>
      <c r="W25" s="19">
        <f ca="1">ROUND(FIRE1120_raw!W27,0)</f>
        <v>8</v>
      </c>
      <c r="X25" s="19">
        <f ca="1">IF(FIRE1120_raw!X27="..", "..", ROUND(FIRE1120_raw!X27,0))</f>
        <v>0</v>
      </c>
      <c r="Y25" s="133">
        <f ca="1">FIRE1120_raw!Y27</f>
        <v>0.53333333333333333</v>
      </c>
      <c r="Z25" s="115" t="s">
        <v>175</v>
      </c>
      <c r="AA25" s="14">
        <f t="shared" ca="1" si="2"/>
        <v>64</v>
      </c>
      <c r="AB25" s="14">
        <f t="shared" ca="1" si="3"/>
        <v>20</v>
      </c>
      <c r="AC25" s="19">
        <f ca="1">IF(FIRE1120_raw!AC27="..", "..", ROUND(FIRE1120_raw!AC27,0))</f>
        <v>0</v>
      </c>
      <c r="AD25" s="133">
        <f ca="1">FIRE1120_raw!AD27</f>
        <v>0.23809523809523808</v>
      </c>
      <c r="AE25" s="16"/>
      <c r="AF25" s="16"/>
      <c r="AG25" s="16"/>
      <c r="AH25" s="16"/>
      <c r="AI25" s="16"/>
      <c r="AJ25" s="16"/>
      <c r="AK25" s="16"/>
      <c r="AL25" s="16"/>
      <c r="AM25" s="16"/>
    </row>
    <row r="26" spans="1:39" s="6" customFormat="1" ht="15" customHeight="1" x14ac:dyDescent="0.3">
      <c r="A26" s="5" t="s">
        <v>30</v>
      </c>
      <c r="B26" s="19">
        <f ca="1">ROUND(FIRE1120_raw!B28,0)</f>
        <v>22</v>
      </c>
      <c r="C26" s="19">
        <f ca="1">ROUND(FIRE1120_raw!C28,0)</f>
        <v>1</v>
      </c>
      <c r="D26" s="19">
        <f ca="1">IF(FIRE1120_raw!D28="..", "..", ROUND(FIRE1120_raw!D28,0))</f>
        <v>0</v>
      </c>
      <c r="E26" s="127">
        <f ca="1">FIRE1120_raw!E28</f>
        <v>4.3478260869565216E-2</v>
      </c>
      <c r="F26" s="115" t="s">
        <v>175</v>
      </c>
      <c r="G26" s="19">
        <f ca="1">ROUND(FIRE1120_raw!G28,0)</f>
        <v>24</v>
      </c>
      <c r="H26" s="19">
        <f ca="1">ROUND(FIRE1120_raw!H28,0)</f>
        <v>1</v>
      </c>
      <c r="I26" s="19">
        <f ca="1">IF(FIRE1120_raw!I28="..", "..", ROUND(FIRE1120_raw!I28,0))</f>
        <v>0</v>
      </c>
      <c r="J26" s="133">
        <f ca="1">FIRE1120_raw!J28</f>
        <v>0.04</v>
      </c>
      <c r="K26" s="115" t="s">
        <v>175</v>
      </c>
      <c r="L26" s="14">
        <f t="shared" ca="1" si="0"/>
        <v>46</v>
      </c>
      <c r="M26" s="14">
        <f t="shared" ca="1" si="1"/>
        <v>2</v>
      </c>
      <c r="N26" s="19">
        <f ca="1">IF(FIRE1120_raw!N28="..", "..", ROUND(FIRE1120_raw!N28,0))</f>
        <v>0</v>
      </c>
      <c r="O26" s="133">
        <f ca="1">FIRE1120_raw!O28</f>
        <v>4.1666666666666664E-2</v>
      </c>
      <c r="P26" s="115" t="s">
        <v>175</v>
      </c>
      <c r="Q26" s="19">
        <f ca="1">ROUND(FIRE1120_raw!Q28,0)</f>
        <v>3</v>
      </c>
      <c r="R26" s="19">
        <f ca="1">ROUND(FIRE1120_raw!R28,0)</f>
        <v>2</v>
      </c>
      <c r="S26" s="19">
        <f ca="1">IF(FIRE1120_raw!S28="..", "..", ROUND(FIRE1120_raw!S28,0))</f>
        <v>0</v>
      </c>
      <c r="T26" s="133">
        <f ca="1">FIRE1120_raw!T28</f>
        <v>0.4</v>
      </c>
      <c r="U26" s="115" t="s">
        <v>175</v>
      </c>
      <c r="V26" s="19">
        <f ca="1">ROUND(FIRE1120_raw!V28,0)</f>
        <v>15</v>
      </c>
      <c r="W26" s="19">
        <f ca="1">ROUND(FIRE1120_raw!W28,0)</f>
        <v>17</v>
      </c>
      <c r="X26" s="19">
        <f ca="1">IF(FIRE1120_raw!X28="..", "..", ROUND(FIRE1120_raw!X28,0))</f>
        <v>0</v>
      </c>
      <c r="Y26" s="133">
        <f ca="1">FIRE1120_raw!Y28</f>
        <v>0.53125</v>
      </c>
      <c r="Z26" s="115" t="s">
        <v>175</v>
      </c>
      <c r="AA26" s="14">
        <f t="shared" ca="1" si="2"/>
        <v>64</v>
      </c>
      <c r="AB26" s="14">
        <f t="shared" ca="1" si="3"/>
        <v>21</v>
      </c>
      <c r="AC26" s="19">
        <f ca="1">IF(FIRE1120_raw!AC28="..", "..", ROUND(FIRE1120_raw!AC28,0))</f>
        <v>0</v>
      </c>
      <c r="AD26" s="133">
        <f ca="1">FIRE1120_raw!AD28</f>
        <v>0.24705882352941178</v>
      </c>
      <c r="AE26" s="16"/>
      <c r="AF26" s="16"/>
      <c r="AG26" s="16"/>
      <c r="AH26" s="16"/>
      <c r="AI26" s="16"/>
      <c r="AJ26" s="16"/>
      <c r="AK26" s="16"/>
      <c r="AL26" s="16"/>
      <c r="AM26" s="16"/>
    </row>
    <row r="27" spans="1:39" s="6" customFormat="1" ht="15" customHeight="1" x14ac:dyDescent="0.3">
      <c r="A27" s="5" t="s">
        <v>31</v>
      </c>
      <c r="B27" s="19">
        <f ca="1">ROUND(FIRE1120_raw!B29,0)</f>
        <v>0</v>
      </c>
      <c r="C27" s="19">
        <f ca="1">ROUND(FIRE1120_raw!C29,0)</f>
        <v>0</v>
      </c>
      <c r="D27" s="19">
        <f ca="1">IF(FIRE1120_raw!D29="..", "..", ROUND(FIRE1120_raw!D29,0))</f>
        <v>0</v>
      </c>
      <c r="E27" s="127" t="str">
        <f ca="1">FIRE1120_raw!E29</f>
        <v>-</v>
      </c>
      <c r="F27" s="115" t="s">
        <v>175</v>
      </c>
      <c r="G27" s="19">
        <f ca="1">ROUND(FIRE1120_raw!G29,0)</f>
        <v>21</v>
      </c>
      <c r="H27" s="19">
        <f ca="1">ROUND(FIRE1120_raw!H29,0)</f>
        <v>0</v>
      </c>
      <c r="I27" s="19">
        <f ca="1">IF(FIRE1120_raw!I29="..", "..", ROUND(FIRE1120_raw!I29,0))</f>
        <v>0</v>
      </c>
      <c r="J27" s="133">
        <f ca="1">FIRE1120_raw!J29</f>
        <v>0</v>
      </c>
      <c r="K27" s="115" t="s">
        <v>175</v>
      </c>
      <c r="L27" s="14">
        <f t="shared" ca="1" si="0"/>
        <v>21</v>
      </c>
      <c r="M27" s="14">
        <f t="shared" ca="1" si="1"/>
        <v>0</v>
      </c>
      <c r="N27" s="19">
        <f ca="1">IF(FIRE1120_raw!N29="..", "..", ROUND(FIRE1120_raw!N29,0))</f>
        <v>0</v>
      </c>
      <c r="O27" s="133">
        <f ca="1">FIRE1120_raw!O29</f>
        <v>0</v>
      </c>
      <c r="P27" s="115" t="s">
        <v>175</v>
      </c>
      <c r="Q27" s="19">
        <f ca="1">ROUND(FIRE1120_raw!Q29,0)</f>
        <v>0</v>
      </c>
      <c r="R27" s="19">
        <f ca="1">ROUND(FIRE1120_raw!R29,0)</f>
        <v>0</v>
      </c>
      <c r="S27" s="19">
        <f ca="1">IF(FIRE1120_raw!S29="..", "..", ROUND(FIRE1120_raw!S29,0))</f>
        <v>0</v>
      </c>
      <c r="T27" s="133" t="str">
        <f ca="1">FIRE1120_raw!T29</f>
        <v>-</v>
      </c>
      <c r="U27" s="115" t="s">
        <v>175</v>
      </c>
      <c r="V27" s="19">
        <f ca="1">ROUND(FIRE1120_raw!V29,0)</f>
        <v>2</v>
      </c>
      <c r="W27" s="19">
        <f ca="1">ROUND(FIRE1120_raw!W29,0)</f>
        <v>10</v>
      </c>
      <c r="X27" s="19">
        <f ca="1">IF(FIRE1120_raw!X29="..", "..", ROUND(FIRE1120_raw!X29,0))</f>
        <v>0</v>
      </c>
      <c r="Y27" s="133">
        <f ca="1">FIRE1120_raw!Y29</f>
        <v>0.83333333333333337</v>
      </c>
      <c r="Z27" s="115" t="s">
        <v>175</v>
      </c>
      <c r="AA27" s="14">
        <f t="shared" ca="1" si="2"/>
        <v>23</v>
      </c>
      <c r="AB27" s="14">
        <f t="shared" ca="1" si="3"/>
        <v>10</v>
      </c>
      <c r="AC27" s="19">
        <f ca="1">IF(FIRE1120_raw!AC29="..", "..", ROUND(FIRE1120_raw!AC29,0))</f>
        <v>0</v>
      </c>
      <c r="AD27" s="133">
        <f ca="1">FIRE1120_raw!AD29</f>
        <v>0.30303030303030304</v>
      </c>
      <c r="AE27" s="79"/>
      <c r="AF27" s="16"/>
      <c r="AG27" s="16"/>
      <c r="AH27" s="16"/>
      <c r="AI27" s="16"/>
      <c r="AJ27" s="16"/>
      <c r="AK27" s="16"/>
      <c r="AL27" s="16"/>
      <c r="AM27" s="16"/>
    </row>
    <row r="28" spans="1:39" s="6" customFormat="1" ht="15" customHeight="1" x14ac:dyDescent="0.3">
      <c r="A28" s="5" t="s">
        <v>32</v>
      </c>
      <c r="B28" s="19">
        <f ca="1">ROUND(FIRE1120_raw!B30,0)</f>
        <v>1</v>
      </c>
      <c r="C28" s="19">
        <f ca="1">ROUND(FIRE1120_raw!C30,0)</f>
        <v>0</v>
      </c>
      <c r="D28" s="19">
        <f ca="1">IF(FIRE1120_raw!D30="..", "..", ROUND(FIRE1120_raw!D30,0))</f>
        <v>0</v>
      </c>
      <c r="E28" s="127">
        <f ca="1">FIRE1120_raw!E30</f>
        <v>0</v>
      </c>
      <c r="F28" s="115" t="s">
        <v>175</v>
      </c>
      <c r="G28" s="19">
        <f ca="1">ROUND(FIRE1120_raw!G30,0)</f>
        <v>0</v>
      </c>
      <c r="H28" s="19">
        <f ca="1">ROUND(FIRE1120_raw!H30,0)</f>
        <v>0</v>
      </c>
      <c r="I28" s="19">
        <f ca="1">IF(FIRE1120_raw!I30="..", "..", ROUND(FIRE1120_raw!I30,0))</f>
        <v>0</v>
      </c>
      <c r="J28" s="133" t="str">
        <f ca="1">FIRE1120_raw!J30</f>
        <v>-</v>
      </c>
      <c r="K28" s="115" t="s">
        <v>175</v>
      </c>
      <c r="L28" s="14">
        <f t="shared" ca="1" si="0"/>
        <v>1</v>
      </c>
      <c r="M28" s="14">
        <f t="shared" ca="1" si="1"/>
        <v>0</v>
      </c>
      <c r="N28" s="19">
        <f ca="1">IF(FIRE1120_raw!N30="..", "..", ROUND(FIRE1120_raw!N30,0))</f>
        <v>0</v>
      </c>
      <c r="O28" s="133">
        <f ca="1">FIRE1120_raw!O30</f>
        <v>0</v>
      </c>
      <c r="P28" s="115" t="s">
        <v>175</v>
      </c>
      <c r="Q28" s="19">
        <f ca="1">ROUND(FIRE1120_raw!Q30,0)</f>
        <v>0</v>
      </c>
      <c r="R28" s="19">
        <f ca="1">ROUND(FIRE1120_raw!R30,0)</f>
        <v>0</v>
      </c>
      <c r="S28" s="19">
        <f ca="1">IF(FIRE1120_raw!S30="..", "..", ROUND(FIRE1120_raw!S30,0))</f>
        <v>0</v>
      </c>
      <c r="T28" s="133" t="str">
        <f ca="1">FIRE1120_raw!T30</f>
        <v>-</v>
      </c>
      <c r="U28" s="115" t="s">
        <v>175</v>
      </c>
      <c r="V28" s="19">
        <f ca="1">ROUND(FIRE1120_raw!V30,0)</f>
        <v>0</v>
      </c>
      <c r="W28" s="19">
        <f ca="1">ROUND(FIRE1120_raw!W30,0)</f>
        <v>1</v>
      </c>
      <c r="X28" s="19">
        <f ca="1">IF(FIRE1120_raw!X30="..", "..", ROUND(FIRE1120_raw!X30,0))</f>
        <v>0</v>
      </c>
      <c r="Y28" s="133">
        <f ca="1">FIRE1120_raw!Y30</f>
        <v>1</v>
      </c>
      <c r="Z28" s="115" t="s">
        <v>175</v>
      </c>
      <c r="AA28" s="14">
        <f t="shared" ca="1" si="2"/>
        <v>1</v>
      </c>
      <c r="AB28" s="14">
        <f t="shared" ca="1" si="3"/>
        <v>1</v>
      </c>
      <c r="AC28" s="19">
        <f ca="1">IF(FIRE1120_raw!AC30="..", "..", ROUND(FIRE1120_raw!AC30,0))</f>
        <v>0</v>
      </c>
      <c r="AD28" s="133">
        <f ca="1">FIRE1120_raw!AD30</f>
        <v>0.5</v>
      </c>
      <c r="AE28" s="16"/>
      <c r="AF28" s="16"/>
      <c r="AG28" s="16"/>
      <c r="AH28" s="16"/>
      <c r="AI28" s="16"/>
      <c r="AJ28" s="16"/>
      <c r="AK28" s="16"/>
      <c r="AL28" s="16"/>
      <c r="AM28" s="16"/>
    </row>
    <row r="29" spans="1:39" s="6" customFormat="1" ht="15" customHeight="1" x14ac:dyDescent="0.3">
      <c r="A29" s="6" t="s">
        <v>33</v>
      </c>
      <c r="B29" s="19">
        <f ca="1">ROUND(FIRE1120_raw!B31,0)</f>
        <v>12</v>
      </c>
      <c r="C29" s="19">
        <f ca="1">ROUND(FIRE1120_raw!C31,0)</f>
        <v>2</v>
      </c>
      <c r="D29" s="19">
        <f ca="1">IF(FIRE1120_raw!D31="..", "..", ROUND(FIRE1120_raw!D31,0))</f>
        <v>0</v>
      </c>
      <c r="E29" s="127">
        <f ca="1">FIRE1120_raw!E31</f>
        <v>0.14285714285714285</v>
      </c>
      <c r="F29" s="115" t="s">
        <v>175</v>
      </c>
      <c r="G29" s="19">
        <f ca="1">ROUND(FIRE1120_raw!G31,0)</f>
        <v>17</v>
      </c>
      <c r="H29" s="19">
        <f ca="1">ROUND(FIRE1120_raw!H31,0)</f>
        <v>3</v>
      </c>
      <c r="I29" s="19">
        <f ca="1">IF(FIRE1120_raw!I31="..", "..", ROUND(FIRE1120_raw!I31,0))</f>
        <v>0</v>
      </c>
      <c r="J29" s="133">
        <f ca="1">FIRE1120_raw!J31</f>
        <v>0.15</v>
      </c>
      <c r="K29" s="115" t="s">
        <v>175</v>
      </c>
      <c r="L29" s="14">
        <f t="shared" ca="1" si="0"/>
        <v>29</v>
      </c>
      <c r="M29" s="14">
        <f t="shared" ca="1" si="1"/>
        <v>5</v>
      </c>
      <c r="N29" s="19">
        <f ca="1">IF(FIRE1120_raw!N31="..", "..", ROUND(FIRE1120_raw!N31,0))</f>
        <v>0</v>
      </c>
      <c r="O29" s="133">
        <f ca="1">FIRE1120_raw!O31</f>
        <v>0.14705882352941177</v>
      </c>
      <c r="P29" s="115" t="s">
        <v>175</v>
      </c>
      <c r="Q29" s="19">
        <f ca="1">ROUND(FIRE1120_raw!Q31,0)</f>
        <v>0</v>
      </c>
      <c r="R29" s="19">
        <f ca="1">ROUND(FIRE1120_raw!R31,0)</f>
        <v>0</v>
      </c>
      <c r="S29" s="19">
        <f ca="1">IF(FIRE1120_raw!S31="..", "..", ROUND(FIRE1120_raw!S31,0))</f>
        <v>0</v>
      </c>
      <c r="T29" s="133" t="str">
        <f ca="1">FIRE1120_raw!T31</f>
        <v>-</v>
      </c>
      <c r="U29" s="115" t="s">
        <v>175</v>
      </c>
      <c r="V29" s="19">
        <f ca="1">ROUND(FIRE1120_raw!V31,0)</f>
        <v>21</v>
      </c>
      <c r="W29" s="19">
        <f ca="1">ROUND(FIRE1120_raw!W31,0)</f>
        <v>27</v>
      </c>
      <c r="X29" s="19">
        <f ca="1">IF(FIRE1120_raw!X31="..", "..", ROUND(FIRE1120_raw!X31,0))</f>
        <v>0</v>
      </c>
      <c r="Y29" s="133">
        <f ca="1">FIRE1120_raw!Y31</f>
        <v>0.5625</v>
      </c>
      <c r="Z29" s="115" t="s">
        <v>175</v>
      </c>
      <c r="AA29" s="14">
        <f t="shared" ca="1" si="2"/>
        <v>50</v>
      </c>
      <c r="AB29" s="14">
        <f t="shared" ca="1" si="3"/>
        <v>32</v>
      </c>
      <c r="AC29" s="19">
        <f ca="1">IF(FIRE1120_raw!AC31="..", "..", ROUND(FIRE1120_raw!AC31,0))</f>
        <v>0</v>
      </c>
      <c r="AD29" s="133">
        <f ca="1">FIRE1120_raw!AD31</f>
        <v>0.3902439024390244</v>
      </c>
      <c r="AE29" s="16"/>
      <c r="AF29" s="16"/>
      <c r="AG29" s="16"/>
      <c r="AH29" s="16"/>
      <c r="AI29" s="16"/>
      <c r="AJ29" s="16"/>
      <c r="AK29" s="16"/>
      <c r="AL29" s="16"/>
      <c r="AM29" s="16"/>
    </row>
    <row r="30" spans="1:39" s="6" customFormat="1" ht="15" customHeight="1" x14ac:dyDescent="0.3">
      <c r="A30" s="6" t="s">
        <v>34</v>
      </c>
      <c r="B30" s="19">
        <f ca="1">ROUND(FIRE1120_raw!B32,0)</f>
        <v>34</v>
      </c>
      <c r="C30" s="19">
        <f ca="1">ROUND(FIRE1120_raw!C32,0)</f>
        <v>7</v>
      </c>
      <c r="D30" s="19">
        <f ca="1">IF(FIRE1120_raw!D32="..", "..", ROUND(FIRE1120_raw!D32,0))</f>
        <v>0</v>
      </c>
      <c r="E30" s="127">
        <f ca="1">FIRE1120_raw!E32</f>
        <v>0.17073170731707318</v>
      </c>
      <c r="F30" s="115" t="s">
        <v>175</v>
      </c>
      <c r="G30" s="19">
        <f ca="1">ROUND(FIRE1120_raw!G32,0)</f>
        <v>49</v>
      </c>
      <c r="H30" s="19">
        <f ca="1">ROUND(FIRE1120_raw!H32,0)</f>
        <v>4</v>
      </c>
      <c r="I30" s="19">
        <f ca="1">IF(FIRE1120_raw!I32="..", "..", ROUND(FIRE1120_raw!I32,0))</f>
        <v>0</v>
      </c>
      <c r="J30" s="133">
        <f ca="1">FIRE1120_raw!J32</f>
        <v>7.5471698113207544E-2</v>
      </c>
      <c r="K30" s="115" t="s">
        <v>175</v>
      </c>
      <c r="L30" s="14">
        <f t="shared" ca="1" si="0"/>
        <v>83</v>
      </c>
      <c r="M30" s="14">
        <f t="shared" ca="1" si="1"/>
        <v>11</v>
      </c>
      <c r="N30" s="19">
        <f ca="1">IF(FIRE1120_raw!N32="..", "..", ROUND(FIRE1120_raw!N32,0))</f>
        <v>0</v>
      </c>
      <c r="O30" s="133">
        <f ca="1">FIRE1120_raw!O32</f>
        <v>0.11702127659574468</v>
      </c>
      <c r="P30" s="115" t="s">
        <v>175</v>
      </c>
      <c r="Q30" s="19">
        <f ca="1">ROUND(FIRE1120_raw!Q32,0)</f>
        <v>0</v>
      </c>
      <c r="R30" s="19">
        <f ca="1">ROUND(FIRE1120_raw!R32,0)</f>
        <v>0</v>
      </c>
      <c r="S30" s="19">
        <f ca="1">IF(FIRE1120_raw!S32="..", "..", ROUND(FIRE1120_raw!S32,0))</f>
        <v>0</v>
      </c>
      <c r="T30" s="133" t="str">
        <f ca="1">FIRE1120_raw!T32</f>
        <v>-</v>
      </c>
      <c r="U30" s="115" t="s">
        <v>175</v>
      </c>
      <c r="V30" s="19">
        <f ca="1">ROUND(FIRE1120_raw!V32,0)</f>
        <v>12</v>
      </c>
      <c r="W30" s="19">
        <f ca="1">ROUND(FIRE1120_raw!W32,0)</f>
        <v>11</v>
      </c>
      <c r="X30" s="19">
        <f ca="1">IF(FIRE1120_raw!X32="..", "..", ROUND(FIRE1120_raw!X32,0))</f>
        <v>0</v>
      </c>
      <c r="Y30" s="133">
        <f ca="1">FIRE1120_raw!Y32</f>
        <v>0.47826086956521741</v>
      </c>
      <c r="Z30" s="115" t="s">
        <v>175</v>
      </c>
      <c r="AA30" s="14">
        <f t="shared" ca="1" si="2"/>
        <v>95</v>
      </c>
      <c r="AB30" s="14">
        <f t="shared" ca="1" si="3"/>
        <v>22</v>
      </c>
      <c r="AC30" s="19">
        <f ca="1">IF(FIRE1120_raw!AC32="..", "..", ROUND(FIRE1120_raw!AC32,0))</f>
        <v>0</v>
      </c>
      <c r="AD30" s="133">
        <f ca="1">FIRE1120_raw!AD32</f>
        <v>0.18803418803418803</v>
      </c>
      <c r="AE30" s="16"/>
      <c r="AF30" s="16"/>
      <c r="AG30" s="16"/>
      <c r="AH30" s="16"/>
      <c r="AI30" s="16"/>
      <c r="AJ30" s="16"/>
      <c r="AK30" s="16"/>
      <c r="AL30" s="16"/>
      <c r="AM30" s="16"/>
    </row>
    <row r="31" spans="1:39" s="6" customFormat="1" ht="15" customHeight="1" x14ac:dyDescent="0.3">
      <c r="A31" s="5" t="s">
        <v>35</v>
      </c>
      <c r="B31" s="19">
        <f ca="1">ROUND(FIRE1120_raw!B33,0)</f>
        <v>13</v>
      </c>
      <c r="C31" s="19">
        <f ca="1">ROUND(FIRE1120_raw!C33,0)</f>
        <v>2</v>
      </c>
      <c r="D31" s="19">
        <f ca="1">IF(FIRE1120_raw!D33="..", "..", ROUND(FIRE1120_raw!D33,0))</f>
        <v>0</v>
      </c>
      <c r="E31" s="127">
        <f ca="1">FIRE1120_raw!E33</f>
        <v>0.13333333333333333</v>
      </c>
      <c r="F31" s="115" t="s">
        <v>175</v>
      </c>
      <c r="G31" s="19">
        <f ca="1">ROUND(FIRE1120_raw!G33,0)</f>
        <v>16</v>
      </c>
      <c r="H31" s="19">
        <f ca="1">ROUND(FIRE1120_raw!H33,0)</f>
        <v>4</v>
      </c>
      <c r="I31" s="19">
        <f ca="1">IF(FIRE1120_raw!I33="..", "..", ROUND(FIRE1120_raw!I33,0))</f>
        <v>0</v>
      </c>
      <c r="J31" s="133">
        <f ca="1">FIRE1120_raw!J33</f>
        <v>0.2</v>
      </c>
      <c r="K31" s="115" t="s">
        <v>175</v>
      </c>
      <c r="L31" s="14">
        <f t="shared" ca="1" si="0"/>
        <v>29</v>
      </c>
      <c r="M31" s="14">
        <f t="shared" ca="1" si="1"/>
        <v>6</v>
      </c>
      <c r="N31" s="19">
        <f ca="1">IF(FIRE1120_raw!N33="..", "..", ROUND(FIRE1120_raw!N33,0))</f>
        <v>0</v>
      </c>
      <c r="O31" s="133">
        <f ca="1">FIRE1120_raw!O33</f>
        <v>0.17142857142857143</v>
      </c>
      <c r="P31" s="115" t="s">
        <v>175</v>
      </c>
      <c r="Q31" s="19">
        <f ca="1">ROUND(FIRE1120_raw!Q33,0)</f>
        <v>0</v>
      </c>
      <c r="R31" s="19">
        <f ca="1">ROUND(FIRE1120_raw!R33,0)</f>
        <v>1</v>
      </c>
      <c r="S31" s="19">
        <f ca="1">IF(FIRE1120_raw!S33="..", "..", ROUND(FIRE1120_raw!S33,0))</f>
        <v>0</v>
      </c>
      <c r="T31" s="133">
        <f ca="1">FIRE1120_raw!T33</f>
        <v>1</v>
      </c>
      <c r="U31" s="115" t="s">
        <v>175</v>
      </c>
      <c r="V31" s="19">
        <f ca="1">ROUND(FIRE1120_raw!V33,0)</f>
        <v>6</v>
      </c>
      <c r="W31" s="19">
        <f ca="1">ROUND(FIRE1120_raw!W33,0)</f>
        <v>12</v>
      </c>
      <c r="X31" s="19">
        <f ca="1">IF(FIRE1120_raw!X33="..", "..", ROUND(FIRE1120_raw!X33,0))</f>
        <v>0</v>
      </c>
      <c r="Y31" s="133">
        <f ca="1">FIRE1120_raw!Y33</f>
        <v>0.66666666666666663</v>
      </c>
      <c r="Z31" s="115" t="s">
        <v>175</v>
      </c>
      <c r="AA31" s="14">
        <f t="shared" ca="1" si="2"/>
        <v>35</v>
      </c>
      <c r="AB31" s="14">
        <f t="shared" ca="1" si="3"/>
        <v>19</v>
      </c>
      <c r="AC31" s="19">
        <f ca="1">IF(FIRE1120_raw!AC33="..", "..", ROUND(FIRE1120_raw!AC33,0))</f>
        <v>0</v>
      </c>
      <c r="AD31" s="133">
        <f ca="1">FIRE1120_raw!AD33</f>
        <v>0.35185185185185186</v>
      </c>
      <c r="AE31" s="16"/>
      <c r="AF31" s="16"/>
      <c r="AG31" s="16"/>
      <c r="AH31" s="16"/>
      <c r="AI31" s="16"/>
      <c r="AJ31" s="16"/>
      <c r="AK31" s="16"/>
      <c r="AL31" s="16"/>
      <c r="AM31" s="16"/>
    </row>
    <row r="32" spans="1:39" s="6" customFormat="1" ht="15" customHeight="1" x14ac:dyDescent="0.3">
      <c r="A32" s="6" t="s">
        <v>36</v>
      </c>
      <c r="B32" s="19">
        <f ca="1">ROUND(FIRE1120_raw!B34,0)</f>
        <v>14</v>
      </c>
      <c r="C32" s="19">
        <f ca="1">ROUND(FIRE1120_raw!C34,0)</f>
        <v>0</v>
      </c>
      <c r="D32" s="19">
        <f ca="1">IF(FIRE1120_raw!D34="..", "..", ROUND(FIRE1120_raw!D34,0))</f>
        <v>0</v>
      </c>
      <c r="E32" s="127">
        <f ca="1">FIRE1120_raw!E34</f>
        <v>0</v>
      </c>
      <c r="F32" s="115" t="s">
        <v>175</v>
      </c>
      <c r="G32" s="19">
        <f ca="1">ROUND(FIRE1120_raw!G34,0)</f>
        <v>43</v>
      </c>
      <c r="H32" s="19">
        <f ca="1">ROUND(FIRE1120_raw!H34,0)</f>
        <v>5</v>
      </c>
      <c r="I32" s="19">
        <f ca="1">IF(FIRE1120_raw!I34="..", "..", ROUND(FIRE1120_raw!I34,0))</f>
        <v>0</v>
      </c>
      <c r="J32" s="133">
        <f ca="1">FIRE1120_raw!J34</f>
        <v>0.10416666666666667</v>
      </c>
      <c r="K32" s="115" t="s">
        <v>175</v>
      </c>
      <c r="L32" s="14">
        <f t="shared" ca="1" si="0"/>
        <v>57</v>
      </c>
      <c r="M32" s="14">
        <f t="shared" ca="1" si="1"/>
        <v>5</v>
      </c>
      <c r="N32" s="19">
        <f ca="1">IF(FIRE1120_raw!N34="..", "..", ROUND(FIRE1120_raw!N34,0))</f>
        <v>0</v>
      </c>
      <c r="O32" s="133">
        <f ca="1">FIRE1120_raw!O34</f>
        <v>8.0645161290322578E-2</v>
      </c>
      <c r="P32" s="115" t="s">
        <v>175</v>
      </c>
      <c r="Q32" s="19">
        <f ca="1">ROUND(FIRE1120_raw!Q34,0)</f>
        <v>0</v>
      </c>
      <c r="R32" s="19">
        <f ca="1">ROUND(FIRE1120_raw!R34,0)</f>
        <v>2</v>
      </c>
      <c r="S32" s="19">
        <f ca="1">IF(FIRE1120_raw!S34="..", "..", ROUND(FIRE1120_raw!S34,0))</f>
        <v>0</v>
      </c>
      <c r="T32" s="133">
        <f ca="1">FIRE1120_raw!T34</f>
        <v>1</v>
      </c>
      <c r="U32" s="115" t="s">
        <v>175</v>
      </c>
      <c r="V32" s="19">
        <f ca="1">ROUND(FIRE1120_raw!V34,0)</f>
        <v>8</v>
      </c>
      <c r="W32" s="19">
        <f ca="1">ROUND(FIRE1120_raw!W34,0)</f>
        <v>5</v>
      </c>
      <c r="X32" s="19">
        <f ca="1">IF(FIRE1120_raw!X34="..", "..", ROUND(FIRE1120_raw!X34,0))</f>
        <v>0</v>
      </c>
      <c r="Y32" s="133">
        <f ca="1">FIRE1120_raw!Y34</f>
        <v>0.38461538461538464</v>
      </c>
      <c r="Z32" s="115" t="s">
        <v>175</v>
      </c>
      <c r="AA32" s="14">
        <f t="shared" ca="1" si="2"/>
        <v>65</v>
      </c>
      <c r="AB32" s="14">
        <f t="shared" ca="1" si="3"/>
        <v>12</v>
      </c>
      <c r="AC32" s="19">
        <f ca="1">IF(FIRE1120_raw!AC34="..", "..", ROUND(FIRE1120_raw!AC34,0))</f>
        <v>0</v>
      </c>
      <c r="AD32" s="133">
        <f ca="1">FIRE1120_raw!AD34</f>
        <v>0.15584415584415584</v>
      </c>
      <c r="AE32" s="16"/>
      <c r="AF32" s="16"/>
      <c r="AG32" s="16"/>
      <c r="AH32" s="16"/>
      <c r="AI32" s="16"/>
      <c r="AJ32" s="16"/>
      <c r="AK32" s="16"/>
      <c r="AL32" s="16"/>
      <c r="AM32" s="16"/>
    </row>
    <row r="33" spans="1:39" s="6" customFormat="1" ht="15" customHeight="1" x14ac:dyDescent="0.3">
      <c r="A33" s="6" t="s">
        <v>37</v>
      </c>
      <c r="B33" s="19">
        <f ca="1">ROUND(FIRE1120_raw!B35,0)</f>
        <v>8</v>
      </c>
      <c r="C33" s="19">
        <f ca="1">ROUND(FIRE1120_raw!C35,0)</f>
        <v>4</v>
      </c>
      <c r="D33" s="19">
        <f ca="1">IF(FIRE1120_raw!D35="..", "..", ROUND(FIRE1120_raw!D35,0))</f>
        <v>0</v>
      </c>
      <c r="E33" s="127">
        <f ca="1">FIRE1120_raw!E35</f>
        <v>0.33333333333333331</v>
      </c>
      <c r="F33" s="115" t="s">
        <v>175</v>
      </c>
      <c r="G33" s="19">
        <f ca="1">ROUND(FIRE1120_raw!G35,0)</f>
        <v>28</v>
      </c>
      <c r="H33" s="19">
        <f ca="1">ROUND(FIRE1120_raw!H35,0)</f>
        <v>3</v>
      </c>
      <c r="I33" s="19">
        <f ca="1">IF(FIRE1120_raw!I35="..", "..", ROUND(FIRE1120_raw!I35,0))</f>
        <v>0</v>
      </c>
      <c r="J33" s="133">
        <f ca="1">FIRE1120_raw!J35</f>
        <v>9.6774193548387094E-2</v>
      </c>
      <c r="K33" s="115" t="s">
        <v>175</v>
      </c>
      <c r="L33" s="14">
        <f t="shared" ca="1" si="0"/>
        <v>36</v>
      </c>
      <c r="M33" s="14">
        <f t="shared" ca="1" si="1"/>
        <v>7</v>
      </c>
      <c r="N33" s="19">
        <f ca="1">IF(FIRE1120_raw!N35="..", "..", ROUND(FIRE1120_raw!N35,0))</f>
        <v>0</v>
      </c>
      <c r="O33" s="133">
        <f ca="1">FIRE1120_raw!O35</f>
        <v>0.16279069767441862</v>
      </c>
      <c r="P33" s="115" t="s">
        <v>175</v>
      </c>
      <c r="Q33" s="19">
        <f ca="1">ROUND(FIRE1120_raw!Q35,0)</f>
        <v>0</v>
      </c>
      <c r="R33" s="19">
        <f ca="1">ROUND(FIRE1120_raw!R35,0)</f>
        <v>0</v>
      </c>
      <c r="S33" s="19">
        <f ca="1">IF(FIRE1120_raw!S35="..", "..", ROUND(FIRE1120_raw!S35,0))</f>
        <v>0</v>
      </c>
      <c r="T33" s="133" t="str">
        <f ca="1">FIRE1120_raw!T35</f>
        <v>-</v>
      </c>
      <c r="U33" s="115" t="s">
        <v>175</v>
      </c>
      <c r="V33" s="19">
        <f ca="1">ROUND(FIRE1120_raw!V35,0)</f>
        <v>1</v>
      </c>
      <c r="W33" s="19">
        <f ca="1">ROUND(FIRE1120_raw!W35,0)</f>
        <v>1</v>
      </c>
      <c r="X33" s="19">
        <f ca="1">IF(FIRE1120_raw!X35="..", "..", ROUND(FIRE1120_raw!X35,0))</f>
        <v>0</v>
      </c>
      <c r="Y33" s="133">
        <f ca="1">FIRE1120_raw!Y35</f>
        <v>0.5</v>
      </c>
      <c r="Z33" s="115" t="s">
        <v>175</v>
      </c>
      <c r="AA33" s="14">
        <f t="shared" ca="1" si="2"/>
        <v>37</v>
      </c>
      <c r="AB33" s="14">
        <f t="shared" ca="1" si="3"/>
        <v>8</v>
      </c>
      <c r="AC33" s="19">
        <f ca="1">IF(FIRE1120_raw!AC35="..", "..", ROUND(FIRE1120_raw!AC35,0))</f>
        <v>0</v>
      </c>
      <c r="AD33" s="133">
        <f ca="1">FIRE1120_raw!AD35</f>
        <v>0.17777777777777778</v>
      </c>
      <c r="AE33" s="16"/>
      <c r="AF33" s="16"/>
      <c r="AG33" s="16"/>
      <c r="AH33" s="16"/>
      <c r="AI33" s="16"/>
      <c r="AJ33" s="16"/>
      <c r="AK33" s="16"/>
      <c r="AL33" s="16"/>
      <c r="AM33" s="16"/>
    </row>
    <row r="34" spans="1:39" s="6" customFormat="1" ht="15" customHeight="1" x14ac:dyDescent="0.3">
      <c r="A34" s="5" t="s">
        <v>38</v>
      </c>
      <c r="B34" s="19">
        <f ca="1">ROUND(FIRE1120_raw!B36,0)</f>
        <v>0</v>
      </c>
      <c r="C34" s="19">
        <f ca="1">ROUND(FIRE1120_raw!C36,0)</f>
        <v>0</v>
      </c>
      <c r="D34" s="19">
        <f ca="1">IF(FIRE1120_raw!D36="..", "..", ROUND(FIRE1120_raw!D36,0))</f>
        <v>0</v>
      </c>
      <c r="E34" s="127" t="str">
        <f ca="1">FIRE1120_raw!E36</f>
        <v>-</v>
      </c>
      <c r="F34" s="115" t="s">
        <v>175</v>
      </c>
      <c r="G34" s="19">
        <f ca="1">ROUND(FIRE1120_raw!G36,0)</f>
        <v>0</v>
      </c>
      <c r="H34" s="19">
        <f ca="1">ROUND(FIRE1120_raw!H36,0)</f>
        <v>0</v>
      </c>
      <c r="I34" s="19">
        <f ca="1">IF(FIRE1120_raw!I36="..", "..", ROUND(FIRE1120_raw!I36,0))</f>
        <v>0</v>
      </c>
      <c r="J34" s="133" t="str">
        <f ca="1">FIRE1120_raw!J36</f>
        <v>-</v>
      </c>
      <c r="K34" s="115" t="s">
        <v>175</v>
      </c>
      <c r="L34" s="14">
        <f t="shared" ca="1" si="0"/>
        <v>0</v>
      </c>
      <c r="M34" s="14">
        <f t="shared" ca="1" si="1"/>
        <v>0</v>
      </c>
      <c r="N34" s="19">
        <f ca="1">IF(FIRE1120_raw!N36="..", "..", ROUND(FIRE1120_raw!N36,0))</f>
        <v>0</v>
      </c>
      <c r="O34" s="133" t="str">
        <f ca="1">FIRE1120_raw!O36</f>
        <v>-</v>
      </c>
      <c r="P34" s="115" t="s">
        <v>175</v>
      </c>
      <c r="Q34" s="19">
        <f ca="1">ROUND(FIRE1120_raw!Q36,0)</f>
        <v>0</v>
      </c>
      <c r="R34" s="19">
        <f ca="1">ROUND(FIRE1120_raw!R36,0)</f>
        <v>0</v>
      </c>
      <c r="S34" s="19">
        <f ca="1">IF(FIRE1120_raw!S36="..", "..", ROUND(FIRE1120_raw!S36,0))</f>
        <v>0</v>
      </c>
      <c r="T34" s="133" t="str">
        <f ca="1">FIRE1120_raw!T36</f>
        <v>-</v>
      </c>
      <c r="U34" s="115" t="s">
        <v>175</v>
      </c>
      <c r="V34" s="19">
        <f ca="1">ROUND(FIRE1120_raw!V36,0)</f>
        <v>0</v>
      </c>
      <c r="W34" s="19">
        <f ca="1">ROUND(FIRE1120_raw!W36,0)</f>
        <v>0</v>
      </c>
      <c r="X34" s="19">
        <f ca="1">IF(FIRE1120_raw!X36="..", "..", ROUND(FIRE1120_raw!X36,0))</f>
        <v>0</v>
      </c>
      <c r="Y34" s="133" t="str">
        <f ca="1">FIRE1120_raw!Y36</f>
        <v>-</v>
      </c>
      <c r="Z34" s="115" t="s">
        <v>175</v>
      </c>
      <c r="AA34" s="14">
        <f t="shared" ca="1" si="2"/>
        <v>0</v>
      </c>
      <c r="AB34" s="14">
        <f t="shared" ca="1" si="3"/>
        <v>0</v>
      </c>
      <c r="AC34" s="19">
        <f ca="1">IF(FIRE1120_raw!AC36="..", "..", ROUND(FIRE1120_raw!AC36,0))</f>
        <v>0</v>
      </c>
      <c r="AD34" s="133" t="str">
        <f ca="1">FIRE1120_raw!AD36</f>
        <v>-</v>
      </c>
      <c r="AE34" s="16"/>
      <c r="AF34" s="16"/>
      <c r="AG34" s="16"/>
      <c r="AH34" s="16"/>
      <c r="AI34" s="16"/>
      <c r="AJ34" s="16"/>
      <c r="AK34" s="16"/>
      <c r="AL34" s="16"/>
      <c r="AM34" s="16"/>
    </row>
    <row r="35" spans="1:39" s="6" customFormat="1" ht="15" customHeight="1" x14ac:dyDescent="0.3">
      <c r="A35" s="6" t="s">
        <v>39</v>
      </c>
      <c r="B35" s="19">
        <f ca="1">ROUND(FIRE1120_raw!B37,0)</f>
        <v>1</v>
      </c>
      <c r="C35" s="19">
        <f ca="1">ROUND(FIRE1120_raw!C37,0)</f>
        <v>0</v>
      </c>
      <c r="D35" s="19">
        <f ca="1">IF(FIRE1120_raw!D37="..", "..", ROUND(FIRE1120_raw!D37,0))</f>
        <v>0</v>
      </c>
      <c r="E35" s="127">
        <f ca="1">FIRE1120_raw!E37</f>
        <v>0</v>
      </c>
      <c r="F35" s="115" t="s">
        <v>175</v>
      </c>
      <c r="G35" s="19">
        <f ca="1">ROUND(FIRE1120_raw!G37,0)</f>
        <v>10</v>
      </c>
      <c r="H35" s="19">
        <f ca="1">ROUND(FIRE1120_raw!H37,0)</f>
        <v>1</v>
      </c>
      <c r="I35" s="19">
        <f ca="1">IF(FIRE1120_raw!I37="..", "..", ROUND(FIRE1120_raw!I37,0))</f>
        <v>0</v>
      </c>
      <c r="J35" s="133">
        <f ca="1">FIRE1120_raw!J37</f>
        <v>9.0909090909090912E-2</v>
      </c>
      <c r="K35" s="115" t="s">
        <v>175</v>
      </c>
      <c r="L35" s="14">
        <f t="shared" ca="1" si="0"/>
        <v>11</v>
      </c>
      <c r="M35" s="14">
        <f t="shared" ca="1" si="1"/>
        <v>1</v>
      </c>
      <c r="N35" s="19">
        <f ca="1">IF(FIRE1120_raw!N37="..", "..", ROUND(FIRE1120_raw!N37,0))</f>
        <v>0</v>
      </c>
      <c r="O35" s="133">
        <f ca="1">FIRE1120_raw!O37</f>
        <v>8.3333333333333329E-2</v>
      </c>
      <c r="P35" s="115" t="s">
        <v>175</v>
      </c>
      <c r="Q35" s="19">
        <f ca="1">ROUND(FIRE1120_raw!Q37,0)</f>
        <v>0</v>
      </c>
      <c r="R35" s="19">
        <f ca="1">ROUND(FIRE1120_raw!R37,0)</f>
        <v>0</v>
      </c>
      <c r="S35" s="19">
        <f ca="1">IF(FIRE1120_raw!S37="..", "..", ROUND(FIRE1120_raw!S37,0))</f>
        <v>0</v>
      </c>
      <c r="T35" s="133" t="str">
        <f ca="1">FIRE1120_raw!T37</f>
        <v>-</v>
      </c>
      <c r="U35" s="115" t="s">
        <v>175</v>
      </c>
      <c r="V35" s="19">
        <f ca="1">ROUND(FIRE1120_raw!V37,0)</f>
        <v>0</v>
      </c>
      <c r="W35" s="19">
        <f ca="1">ROUND(FIRE1120_raw!W37,0)</f>
        <v>0</v>
      </c>
      <c r="X35" s="19">
        <f ca="1">IF(FIRE1120_raw!X37="..", "..", ROUND(FIRE1120_raw!X37,0))</f>
        <v>0</v>
      </c>
      <c r="Y35" s="133" t="str">
        <f ca="1">FIRE1120_raw!Y37</f>
        <v>-</v>
      </c>
      <c r="Z35" s="115" t="s">
        <v>175</v>
      </c>
      <c r="AA35" s="14">
        <f t="shared" ca="1" si="2"/>
        <v>11</v>
      </c>
      <c r="AB35" s="14">
        <f t="shared" ca="1" si="3"/>
        <v>1</v>
      </c>
      <c r="AC35" s="19">
        <f ca="1">IF(FIRE1120_raw!AC37="..", "..", ROUND(FIRE1120_raw!AC37,0))</f>
        <v>0</v>
      </c>
      <c r="AD35" s="133">
        <f ca="1">FIRE1120_raw!AD37</f>
        <v>8.3333333333333329E-2</v>
      </c>
      <c r="AE35" s="16"/>
      <c r="AF35" s="16"/>
      <c r="AG35" s="16"/>
      <c r="AH35" s="16"/>
      <c r="AI35" s="16"/>
      <c r="AJ35" s="16"/>
      <c r="AK35" s="16"/>
      <c r="AL35" s="16"/>
      <c r="AM35" s="16"/>
    </row>
    <row r="36" spans="1:39" s="6" customFormat="1" ht="15" customHeight="1" x14ac:dyDescent="0.3">
      <c r="A36" s="6" t="s">
        <v>40</v>
      </c>
      <c r="B36" s="19">
        <f ca="1">ROUND(FIRE1120_raw!B38,0)</f>
        <v>4</v>
      </c>
      <c r="C36" s="19">
        <f ca="1">ROUND(FIRE1120_raw!C38,0)</f>
        <v>0</v>
      </c>
      <c r="D36" s="19">
        <f ca="1">IF(FIRE1120_raw!D38="..", "..", ROUND(FIRE1120_raw!D38,0))</f>
        <v>0</v>
      </c>
      <c r="E36" s="127">
        <f ca="1">FIRE1120_raw!E38</f>
        <v>0</v>
      </c>
      <c r="F36" s="115" t="s">
        <v>175</v>
      </c>
      <c r="G36" s="19">
        <f ca="1">ROUND(FIRE1120_raw!G38,0)</f>
        <v>19</v>
      </c>
      <c r="H36" s="19">
        <f ca="1">ROUND(FIRE1120_raw!H38,0)</f>
        <v>4</v>
      </c>
      <c r="I36" s="19">
        <f ca="1">IF(FIRE1120_raw!I38="..", "..", ROUND(FIRE1120_raw!I38,0))</f>
        <v>0</v>
      </c>
      <c r="J36" s="133">
        <f ca="1">FIRE1120_raw!J38</f>
        <v>0.17391304347826086</v>
      </c>
      <c r="K36" s="115" t="s">
        <v>175</v>
      </c>
      <c r="L36" s="14">
        <f t="shared" ca="1" si="0"/>
        <v>23</v>
      </c>
      <c r="M36" s="14">
        <f t="shared" ca="1" si="1"/>
        <v>4</v>
      </c>
      <c r="N36" s="19">
        <f ca="1">IF(FIRE1120_raw!N38="..", "..", ROUND(FIRE1120_raw!N38,0))</f>
        <v>0</v>
      </c>
      <c r="O36" s="133">
        <f ca="1">FIRE1120_raw!O38</f>
        <v>0.14814814814814814</v>
      </c>
      <c r="P36" s="115" t="s">
        <v>175</v>
      </c>
      <c r="Q36" s="19">
        <f ca="1">ROUND(FIRE1120_raw!Q38,0)</f>
        <v>0</v>
      </c>
      <c r="R36" s="19">
        <f ca="1">ROUND(FIRE1120_raw!R38,0)</f>
        <v>0</v>
      </c>
      <c r="S36" s="19">
        <f ca="1">IF(FIRE1120_raw!S38="..", "..", ROUND(FIRE1120_raw!S38,0))</f>
        <v>0</v>
      </c>
      <c r="T36" s="133" t="str">
        <f ca="1">FIRE1120_raw!T38</f>
        <v>-</v>
      </c>
      <c r="U36" s="115" t="s">
        <v>175</v>
      </c>
      <c r="V36" s="19">
        <f ca="1">ROUND(FIRE1120_raw!V38,0)</f>
        <v>7</v>
      </c>
      <c r="W36" s="19">
        <f ca="1">ROUND(FIRE1120_raw!W38,0)</f>
        <v>1</v>
      </c>
      <c r="X36" s="19">
        <f ca="1">IF(FIRE1120_raw!X38="..", "..", ROUND(FIRE1120_raw!X38,0))</f>
        <v>0</v>
      </c>
      <c r="Y36" s="133">
        <f ca="1">FIRE1120_raw!Y38</f>
        <v>0.125</v>
      </c>
      <c r="Z36" s="115" t="s">
        <v>175</v>
      </c>
      <c r="AA36" s="14">
        <f t="shared" ca="1" si="2"/>
        <v>30</v>
      </c>
      <c r="AB36" s="14">
        <f t="shared" ca="1" si="3"/>
        <v>5</v>
      </c>
      <c r="AC36" s="19">
        <f ca="1">IF(FIRE1120_raw!AC38="..", "..", ROUND(FIRE1120_raw!AC38,0))</f>
        <v>0</v>
      </c>
      <c r="AD36" s="133">
        <f ca="1">FIRE1120_raw!AD38</f>
        <v>0.14285714285714285</v>
      </c>
      <c r="AE36" s="79"/>
      <c r="AF36" s="16"/>
      <c r="AG36" s="16"/>
      <c r="AH36" s="16"/>
      <c r="AI36" s="16"/>
      <c r="AJ36" s="16"/>
      <c r="AK36" s="16"/>
      <c r="AL36" s="16"/>
      <c r="AM36" s="16"/>
    </row>
    <row r="37" spans="1:39" s="6" customFormat="1" ht="15" customHeight="1" x14ac:dyDescent="0.3">
      <c r="A37" s="6" t="s">
        <v>41</v>
      </c>
      <c r="B37" s="19">
        <f ca="1">ROUND(FIRE1120_raw!B39,0)</f>
        <v>12</v>
      </c>
      <c r="C37" s="19">
        <f ca="1">ROUND(FIRE1120_raw!C39,0)</f>
        <v>0</v>
      </c>
      <c r="D37" s="19">
        <f ca="1">IF(FIRE1120_raw!D39="..", "..", ROUND(FIRE1120_raw!D39,0))</f>
        <v>0</v>
      </c>
      <c r="E37" s="127">
        <f ca="1">FIRE1120_raw!E39</f>
        <v>0</v>
      </c>
      <c r="F37" s="115" t="s">
        <v>175</v>
      </c>
      <c r="G37" s="19">
        <f ca="1">ROUND(FIRE1120_raw!G39,0)</f>
        <v>6</v>
      </c>
      <c r="H37" s="19">
        <f ca="1">ROUND(FIRE1120_raw!H39,0)</f>
        <v>0</v>
      </c>
      <c r="I37" s="19">
        <f ca="1">IF(FIRE1120_raw!I39="..", "..", ROUND(FIRE1120_raw!I39,0))</f>
        <v>0</v>
      </c>
      <c r="J37" s="133">
        <f ca="1">FIRE1120_raw!J39</f>
        <v>0</v>
      </c>
      <c r="K37" s="115" t="s">
        <v>175</v>
      </c>
      <c r="L37" s="14">
        <f t="shared" ca="1" si="0"/>
        <v>18</v>
      </c>
      <c r="M37" s="14">
        <f t="shared" ca="1" si="1"/>
        <v>0</v>
      </c>
      <c r="N37" s="19">
        <f ca="1">IF(FIRE1120_raw!N39="..", "..", ROUND(FIRE1120_raw!N39,0))</f>
        <v>0</v>
      </c>
      <c r="O37" s="133">
        <f ca="1">FIRE1120_raw!O39</f>
        <v>0</v>
      </c>
      <c r="P37" s="115" t="s">
        <v>175</v>
      </c>
      <c r="Q37" s="19">
        <f ca="1">ROUND(FIRE1120_raw!Q39,0)</f>
        <v>0</v>
      </c>
      <c r="R37" s="19">
        <f ca="1">ROUND(FIRE1120_raw!R39,0)</f>
        <v>3</v>
      </c>
      <c r="S37" s="19">
        <f ca="1">IF(FIRE1120_raw!S39="..", "..", ROUND(FIRE1120_raw!S39,0))</f>
        <v>0</v>
      </c>
      <c r="T37" s="133">
        <f ca="1">FIRE1120_raw!T39</f>
        <v>1</v>
      </c>
      <c r="U37" s="115" t="s">
        <v>175</v>
      </c>
      <c r="V37" s="19">
        <f ca="1">ROUND(FIRE1120_raw!V39,0)</f>
        <v>4</v>
      </c>
      <c r="W37" s="19">
        <f ca="1">ROUND(FIRE1120_raw!W39,0)</f>
        <v>2</v>
      </c>
      <c r="X37" s="19">
        <f ca="1">IF(FIRE1120_raw!X39="..", "..", ROUND(FIRE1120_raw!X39,0))</f>
        <v>0</v>
      </c>
      <c r="Y37" s="133">
        <f ca="1">FIRE1120_raw!Y39</f>
        <v>0.33333333333333331</v>
      </c>
      <c r="Z37" s="115" t="s">
        <v>175</v>
      </c>
      <c r="AA37" s="14">
        <f t="shared" ca="1" si="2"/>
        <v>22</v>
      </c>
      <c r="AB37" s="14">
        <f t="shared" ca="1" si="3"/>
        <v>5</v>
      </c>
      <c r="AC37" s="19">
        <f ca="1">IF(FIRE1120_raw!AC39="..", "..", ROUND(FIRE1120_raw!AC39,0))</f>
        <v>0</v>
      </c>
      <c r="AD37" s="133">
        <f ca="1">FIRE1120_raw!AD39</f>
        <v>0.18518518518518517</v>
      </c>
      <c r="AE37" s="16"/>
      <c r="AF37" s="16"/>
      <c r="AG37" s="16"/>
      <c r="AH37" s="16"/>
      <c r="AI37" s="16"/>
      <c r="AJ37" s="16"/>
      <c r="AK37" s="16"/>
      <c r="AL37" s="16"/>
      <c r="AM37" s="16"/>
    </row>
    <row r="38" spans="1:39" s="6" customFormat="1" ht="15" customHeight="1" x14ac:dyDescent="0.3">
      <c r="A38" s="5" t="s">
        <v>42</v>
      </c>
      <c r="B38" s="19">
        <f ca="1">ROUND(FIRE1120_raw!B40,0)</f>
        <v>1</v>
      </c>
      <c r="C38" s="19">
        <f ca="1">ROUND(FIRE1120_raw!C40,0)</f>
        <v>2</v>
      </c>
      <c r="D38" s="19">
        <f ca="1">IF(FIRE1120_raw!D40="..", "..", ROUND(FIRE1120_raw!D40,0))</f>
        <v>0</v>
      </c>
      <c r="E38" s="127">
        <f ca="1">FIRE1120_raw!E40</f>
        <v>0.66666666666666663</v>
      </c>
      <c r="F38" s="115" t="s">
        <v>175</v>
      </c>
      <c r="G38" s="19">
        <f ca="1">ROUND(FIRE1120_raw!G40,0)</f>
        <v>15</v>
      </c>
      <c r="H38" s="19">
        <f ca="1">ROUND(FIRE1120_raw!H40,0)</f>
        <v>3</v>
      </c>
      <c r="I38" s="19">
        <f ca="1">IF(FIRE1120_raw!I40="..", "..", ROUND(FIRE1120_raw!I40,0))</f>
        <v>0</v>
      </c>
      <c r="J38" s="133">
        <f ca="1">FIRE1120_raw!J40</f>
        <v>0.16666666666666666</v>
      </c>
      <c r="K38" s="115" t="s">
        <v>175</v>
      </c>
      <c r="L38" s="14">
        <f t="shared" ca="1" si="0"/>
        <v>16</v>
      </c>
      <c r="M38" s="14">
        <f t="shared" ca="1" si="1"/>
        <v>5</v>
      </c>
      <c r="N38" s="19">
        <f ca="1">IF(FIRE1120_raw!N40="..", "..", ROUND(FIRE1120_raw!N40,0))</f>
        <v>0</v>
      </c>
      <c r="O38" s="133">
        <f ca="1">FIRE1120_raw!O40</f>
        <v>0.23809523809523808</v>
      </c>
      <c r="P38" s="115" t="s">
        <v>175</v>
      </c>
      <c r="Q38" s="19">
        <f ca="1">ROUND(FIRE1120_raw!Q40,0)</f>
        <v>0</v>
      </c>
      <c r="R38" s="19">
        <f ca="1">ROUND(FIRE1120_raw!R40,0)</f>
        <v>0</v>
      </c>
      <c r="S38" s="19">
        <f ca="1">IF(FIRE1120_raw!S40="..", "..", ROUND(FIRE1120_raw!S40,0))</f>
        <v>0</v>
      </c>
      <c r="T38" s="133" t="str">
        <f ca="1">FIRE1120_raw!T40</f>
        <v>-</v>
      </c>
      <c r="U38" s="115" t="s">
        <v>175</v>
      </c>
      <c r="V38" s="19">
        <f ca="1">ROUND(FIRE1120_raw!V40,0)</f>
        <v>14</v>
      </c>
      <c r="W38" s="19">
        <f ca="1">ROUND(FIRE1120_raw!W40,0)</f>
        <v>10</v>
      </c>
      <c r="X38" s="19">
        <f ca="1">IF(FIRE1120_raw!X40="..", "..", ROUND(FIRE1120_raw!X40,0))</f>
        <v>0</v>
      </c>
      <c r="Y38" s="133">
        <f ca="1">FIRE1120_raw!Y40</f>
        <v>0.41666666666666669</v>
      </c>
      <c r="Z38" s="115" t="s">
        <v>175</v>
      </c>
      <c r="AA38" s="14">
        <f t="shared" ca="1" si="2"/>
        <v>30</v>
      </c>
      <c r="AB38" s="14">
        <f t="shared" ca="1" si="3"/>
        <v>15</v>
      </c>
      <c r="AC38" s="19">
        <f ca="1">IF(FIRE1120_raw!AC40="..", "..", ROUND(FIRE1120_raw!AC40,0))</f>
        <v>0</v>
      </c>
      <c r="AD38" s="133">
        <f ca="1">FIRE1120_raw!AD40</f>
        <v>0.33333333333333331</v>
      </c>
      <c r="AE38" s="16"/>
      <c r="AF38" s="16"/>
      <c r="AG38" s="16"/>
      <c r="AH38" s="16"/>
      <c r="AI38" s="16"/>
      <c r="AJ38" s="16"/>
      <c r="AK38" s="16"/>
      <c r="AL38" s="16"/>
      <c r="AM38" s="16"/>
    </row>
    <row r="39" spans="1:39" s="6" customFormat="1" ht="15" customHeight="1" x14ac:dyDescent="0.3">
      <c r="A39" s="5" t="s">
        <v>43</v>
      </c>
      <c r="B39" s="19">
        <f ca="1">ROUND(FIRE1120_raw!B41,0)</f>
        <v>20</v>
      </c>
      <c r="C39" s="19">
        <f ca="1">ROUND(FIRE1120_raw!C41,0)</f>
        <v>4</v>
      </c>
      <c r="D39" s="19">
        <f ca="1">IF(FIRE1120_raw!D41="..", "..", ROUND(FIRE1120_raw!D41,0))</f>
        <v>0</v>
      </c>
      <c r="E39" s="127">
        <f ca="1">FIRE1120_raw!E41</f>
        <v>0.16666666666666666</v>
      </c>
      <c r="F39" s="115" t="s">
        <v>175</v>
      </c>
      <c r="G39" s="19">
        <f ca="1">ROUND(FIRE1120_raw!G41,0)</f>
        <v>59</v>
      </c>
      <c r="H39" s="19">
        <f ca="1">ROUND(FIRE1120_raw!H41,0)</f>
        <v>10</v>
      </c>
      <c r="I39" s="19">
        <f ca="1">IF(FIRE1120_raw!I41="..", "..", ROUND(FIRE1120_raw!I41,0))</f>
        <v>0</v>
      </c>
      <c r="J39" s="133">
        <f ca="1">FIRE1120_raw!J41</f>
        <v>0.14492753623188406</v>
      </c>
      <c r="K39" s="115" t="s">
        <v>175</v>
      </c>
      <c r="L39" s="14">
        <f t="shared" ca="1" si="0"/>
        <v>79</v>
      </c>
      <c r="M39" s="14">
        <f t="shared" ca="1" si="1"/>
        <v>14</v>
      </c>
      <c r="N39" s="19">
        <f ca="1">IF(FIRE1120_raw!N41="..", "..", ROUND(FIRE1120_raw!N41,0))</f>
        <v>0</v>
      </c>
      <c r="O39" s="133">
        <f ca="1">FIRE1120_raw!O41</f>
        <v>0.15053763440860216</v>
      </c>
      <c r="P39" s="115" t="s">
        <v>175</v>
      </c>
      <c r="Q39" s="19">
        <f ca="1">ROUND(FIRE1120_raw!Q41,0)</f>
        <v>0</v>
      </c>
      <c r="R39" s="19">
        <f ca="1">ROUND(FIRE1120_raw!R41,0)</f>
        <v>0</v>
      </c>
      <c r="S39" s="19">
        <f ca="1">IF(FIRE1120_raw!S41="..", "..", ROUND(FIRE1120_raw!S41,0))</f>
        <v>0</v>
      </c>
      <c r="T39" s="133" t="str">
        <f ca="1">FIRE1120_raw!T41</f>
        <v>-</v>
      </c>
      <c r="U39" s="115" t="s">
        <v>175</v>
      </c>
      <c r="V39" s="19">
        <f ca="1">ROUND(FIRE1120_raw!V41,0)</f>
        <v>6</v>
      </c>
      <c r="W39" s="19">
        <f ca="1">ROUND(FIRE1120_raw!W41,0)</f>
        <v>1</v>
      </c>
      <c r="X39" s="19">
        <f ca="1">IF(FIRE1120_raw!X41="..", "..", ROUND(FIRE1120_raw!X41,0))</f>
        <v>0</v>
      </c>
      <c r="Y39" s="133">
        <f ca="1">FIRE1120_raw!Y41</f>
        <v>0.14285714285714285</v>
      </c>
      <c r="Z39" s="115" t="s">
        <v>175</v>
      </c>
      <c r="AA39" s="14">
        <f t="shared" ca="1" si="2"/>
        <v>85</v>
      </c>
      <c r="AB39" s="14">
        <f t="shared" ca="1" si="3"/>
        <v>15</v>
      </c>
      <c r="AC39" s="19">
        <f ca="1">IF(FIRE1120_raw!AC41="..", "..", ROUND(FIRE1120_raw!AC41,0))</f>
        <v>0</v>
      </c>
      <c r="AD39" s="133">
        <f ca="1">FIRE1120_raw!AD41</f>
        <v>0.15</v>
      </c>
      <c r="AE39" s="16"/>
      <c r="AF39" s="16"/>
      <c r="AG39" s="16"/>
      <c r="AH39" s="16"/>
      <c r="AI39" s="16"/>
      <c r="AJ39" s="16"/>
      <c r="AK39" s="16"/>
      <c r="AL39" s="16"/>
      <c r="AM39" s="16"/>
    </row>
    <row r="40" spans="1:39" s="6" customFormat="1" ht="15" customHeight="1" x14ac:dyDescent="0.3">
      <c r="A40" s="5" t="s">
        <v>44</v>
      </c>
      <c r="B40" s="19">
        <f ca="1">ROUND(FIRE1120_raw!B42,0)</f>
        <v>11</v>
      </c>
      <c r="C40" s="19">
        <f ca="1">ROUND(FIRE1120_raw!C42,0)</f>
        <v>0</v>
      </c>
      <c r="D40" s="19">
        <f ca="1">IF(FIRE1120_raw!D42="..", "..", ROUND(FIRE1120_raw!D42,0))</f>
        <v>0</v>
      </c>
      <c r="E40" s="127">
        <f ca="1">FIRE1120_raw!E42</f>
        <v>0</v>
      </c>
      <c r="F40" s="115" t="s">
        <v>175</v>
      </c>
      <c r="G40" s="19">
        <f ca="1">ROUND(FIRE1120_raw!G42,0)</f>
        <v>21</v>
      </c>
      <c r="H40" s="19">
        <f ca="1">ROUND(FIRE1120_raw!H42,0)</f>
        <v>1</v>
      </c>
      <c r="I40" s="19">
        <f ca="1">IF(FIRE1120_raw!I42="..", "..", ROUND(FIRE1120_raw!I42,0))</f>
        <v>0</v>
      </c>
      <c r="J40" s="133">
        <f ca="1">FIRE1120_raw!J42</f>
        <v>4.5454545454545456E-2</v>
      </c>
      <c r="K40" s="115" t="s">
        <v>175</v>
      </c>
      <c r="L40" s="14">
        <f t="shared" ca="1" si="0"/>
        <v>32</v>
      </c>
      <c r="M40" s="14">
        <f t="shared" ca="1" si="1"/>
        <v>1</v>
      </c>
      <c r="N40" s="19">
        <f ca="1">IF(FIRE1120_raw!N42="..", "..", ROUND(FIRE1120_raw!N42,0))</f>
        <v>0</v>
      </c>
      <c r="O40" s="133">
        <f ca="1">FIRE1120_raw!O42</f>
        <v>3.0303030303030304E-2</v>
      </c>
      <c r="P40" s="115" t="s">
        <v>175</v>
      </c>
      <c r="Q40" s="19">
        <f ca="1">ROUND(FIRE1120_raw!Q42,0)</f>
        <v>0</v>
      </c>
      <c r="R40" s="19">
        <f ca="1">ROUND(FIRE1120_raw!R42,0)</f>
        <v>0</v>
      </c>
      <c r="S40" s="19">
        <f ca="1">IF(FIRE1120_raw!S42="..", "..", ROUND(FIRE1120_raw!S42,0))</f>
        <v>0</v>
      </c>
      <c r="T40" s="133" t="str">
        <f ca="1">FIRE1120_raw!T42</f>
        <v>-</v>
      </c>
      <c r="U40" s="115" t="s">
        <v>175</v>
      </c>
      <c r="V40" s="19">
        <f ca="1">ROUND(FIRE1120_raw!V42,0)</f>
        <v>3</v>
      </c>
      <c r="W40" s="19">
        <f ca="1">ROUND(FIRE1120_raw!W42,0)</f>
        <v>2</v>
      </c>
      <c r="X40" s="19">
        <f ca="1">IF(FIRE1120_raw!X42="..", "..", ROUND(FIRE1120_raw!X42,0))</f>
        <v>0</v>
      </c>
      <c r="Y40" s="133">
        <f ca="1">FIRE1120_raw!Y42</f>
        <v>0.4</v>
      </c>
      <c r="Z40" s="115" t="s">
        <v>175</v>
      </c>
      <c r="AA40" s="14">
        <f t="shared" ca="1" si="2"/>
        <v>35</v>
      </c>
      <c r="AB40" s="14">
        <f t="shared" ca="1" si="3"/>
        <v>3</v>
      </c>
      <c r="AC40" s="19">
        <f ca="1">IF(FIRE1120_raw!AC42="..", "..", ROUND(FIRE1120_raw!AC42,0))</f>
        <v>0</v>
      </c>
      <c r="AD40" s="133">
        <f ca="1">FIRE1120_raw!AD42</f>
        <v>7.8947368421052627E-2</v>
      </c>
      <c r="AE40" s="16"/>
      <c r="AF40" s="16"/>
      <c r="AG40" s="16"/>
      <c r="AH40" s="16"/>
      <c r="AI40" s="16"/>
      <c r="AJ40" s="16"/>
      <c r="AK40" s="16"/>
      <c r="AL40" s="16"/>
      <c r="AM40" s="16"/>
    </row>
    <row r="41" spans="1:39" s="6" customFormat="1" ht="15" customHeight="1" x14ac:dyDescent="0.3">
      <c r="A41" s="5" t="s">
        <v>45</v>
      </c>
      <c r="B41" s="19">
        <f ca="1">ROUND(FIRE1120_raw!B43,0)</f>
        <v>17</v>
      </c>
      <c r="C41" s="19">
        <f ca="1">ROUND(FIRE1120_raw!C43,0)</f>
        <v>1</v>
      </c>
      <c r="D41" s="19">
        <f ca="1">IF(FIRE1120_raw!D43="..", "..", ROUND(FIRE1120_raw!D43,0))</f>
        <v>0</v>
      </c>
      <c r="E41" s="127">
        <f ca="1">FIRE1120_raw!E43</f>
        <v>5.5555555555555552E-2</v>
      </c>
      <c r="F41" s="115" t="s">
        <v>175</v>
      </c>
      <c r="G41" s="19">
        <f ca="1">ROUND(FIRE1120_raw!G43,0)</f>
        <v>30</v>
      </c>
      <c r="H41" s="19">
        <f ca="1">ROUND(FIRE1120_raw!H43,0)</f>
        <v>2</v>
      </c>
      <c r="I41" s="19">
        <f ca="1">IF(FIRE1120_raw!I43="..", "..", ROUND(FIRE1120_raw!I43,0))</f>
        <v>2</v>
      </c>
      <c r="J41" s="133">
        <f ca="1">FIRE1120_raw!J43</f>
        <v>5.8823529411764705E-2</v>
      </c>
      <c r="K41" s="115" t="s">
        <v>175</v>
      </c>
      <c r="L41" s="14">
        <f t="shared" ca="1" si="0"/>
        <v>47</v>
      </c>
      <c r="M41" s="14">
        <f t="shared" ca="1" si="1"/>
        <v>3</v>
      </c>
      <c r="N41" s="19">
        <f ca="1">IF(FIRE1120_raw!N43="..", "..", ROUND(FIRE1120_raw!N43,0))</f>
        <v>2</v>
      </c>
      <c r="O41" s="133">
        <f ca="1">FIRE1120_raw!O43</f>
        <v>5.7692307692307696E-2</v>
      </c>
      <c r="P41" s="115" t="s">
        <v>175</v>
      </c>
      <c r="Q41" s="19">
        <f ca="1">ROUND(FIRE1120_raw!Q43,0)</f>
        <v>0</v>
      </c>
      <c r="R41" s="19">
        <f ca="1">ROUND(FIRE1120_raw!R43,0)</f>
        <v>0</v>
      </c>
      <c r="S41" s="19">
        <f ca="1">IF(FIRE1120_raw!S43="..", "..", ROUND(FIRE1120_raw!S43,0))</f>
        <v>0</v>
      </c>
      <c r="T41" s="133" t="str">
        <f ca="1">FIRE1120_raw!T43</f>
        <v>-</v>
      </c>
      <c r="U41" s="115" t="s">
        <v>175</v>
      </c>
      <c r="V41" s="19">
        <f ca="1">ROUND(FIRE1120_raw!V43,0)</f>
        <v>0</v>
      </c>
      <c r="W41" s="19">
        <f ca="1">ROUND(FIRE1120_raw!W43,0)</f>
        <v>7</v>
      </c>
      <c r="X41" s="19">
        <f ca="1">IF(FIRE1120_raw!X43="..", "..", ROUND(FIRE1120_raw!X43,0))</f>
        <v>0</v>
      </c>
      <c r="Y41" s="133">
        <f ca="1">FIRE1120_raw!Y43</f>
        <v>1</v>
      </c>
      <c r="Z41" s="115" t="s">
        <v>175</v>
      </c>
      <c r="AA41" s="14">
        <f t="shared" ca="1" si="2"/>
        <v>47</v>
      </c>
      <c r="AB41" s="14">
        <f t="shared" ca="1" si="3"/>
        <v>10</v>
      </c>
      <c r="AC41" s="19">
        <f ca="1">IF(FIRE1120_raw!AC43="..", "..", ROUND(FIRE1120_raw!AC43,0))</f>
        <v>2</v>
      </c>
      <c r="AD41" s="133">
        <f ca="1">FIRE1120_raw!AD43</f>
        <v>0.16949152542372881</v>
      </c>
      <c r="AE41" s="16"/>
      <c r="AF41" s="16"/>
      <c r="AG41" s="16"/>
      <c r="AH41" s="16"/>
      <c r="AI41" s="16"/>
      <c r="AJ41" s="16"/>
      <c r="AK41" s="16"/>
      <c r="AL41" s="16"/>
      <c r="AM41" s="16"/>
    </row>
    <row r="42" spans="1:39" s="6" customFormat="1" ht="15" customHeight="1" x14ac:dyDescent="0.3">
      <c r="A42" s="5" t="s">
        <v>46</v>
      </c>
      <c r="B42" s="19">
        <f ca="1">ROUND(FIRE1120_raw!B44,0)</f>
        <v>8</v>
      </c>
      <c r="C42" s="19">
        <f ca="1">ROUND(FIRE1120_raw!C44,0)</f>
        <v>0</v>
      </c>
      <c r="D42" s="19">
        <f ca="1">IF(FIRE1120_raw!D44="..", "..", ROUND(FIRE1120_raw!D44,0))</f>
        <v>0</v>
      </c>
      <c r="E42" s="127">
        <f ca="1">FIRE1120_raw!E44</f>
        <v>0</v>
      </c>
      <c r="F42" s="115" t="s">
        <v>175</v>
      </c>
      <c r="G42" s="19">
        <f ca="1">ROUND(FIRE1120_raw!G44,0)</f>
        <v>38</v>
      </c>
      <c r="H42" s="19">
        <f ca="1">ROUND(FIRE1120_raw!H44,0)</f>
        <v>4</v>
      </c>
      <c r="I42" s="19">
        <f ca="1">IF(FIRE1120_raw!I44="..", "..", ROUND(FIRE1120_raw!I44,0))</f>
        <v>0</v>
      </c>
      <c r="J42" s="133">
        <f ca="1">FIRE1120_raw!J44</f>
        <v>9.5238095238095233E-2</v>
      </c>
      <c r="K42" s="115" t="s">
        <v>175</v>
      </c>
      <c r="L42" s="14">
        <f t="shared" ca="1" si="0"/>
        <v>46</v>
      </c>
      <c r="M42" s="14">
        <f t="shared" ca="1" si="1"/>
        <v>4</v>
      </c>
      <c r="N42" s="19">
        <f ca="1">IF(FIRE1120_raw!N44="..", "..", ROUND(FIRE1120_raw!N44,0))</f>
        <v>0</v>
      </c>
      <c r="O42" s="133">
        <f ca="1">FIRE1120_raw!O44</f>
        <v>0.08</v>
      </c>
      <c r="P42" s="115" t="s">
        <v>175</v>
      </c>
      <c r="Q42" s="19">
        <f ca="1">ROUND(FIRE1120_raw!Q44,0)</f>
        <v>0</v>
      </c>
      <c r="R42" s="19">
        <f ca="1">ROUND(FIRE1120_raw!R44,0)</f>
        <v>0</v>
      </c>
      <c r="S42" s="19">
        <f ca="1">IF(FIRE1120_raw!S44="..", "..", ROUND(FIRE1120_raw!S44,0))</f>
        <v>0</v>
      </c>
      <c r="T42" s="133" t="str">
        <f ca="1">FIRE1120_raw!T44</f>
        <v>-</v>
      </c>
      <c r="U42" s="115" t="s">
        <v>175</v>
      </c>
      <c r="V42" s="19">
        <f ca="1">ROUND(FIRE1120_raw!V44,0)</f>
        <v>8</v>
      </c>
      <c r="W42" s="19">
        <f ca="1">ROUND(FIRE1120_raw!W44,0)</f>
        <v>9</v>
      </c>
      <c r="X42" s="19">
        <f ca="1">IF(FIRE1120_raw!X44="..", "..", ROUND(FIRE1120_raw!X44,0))</f>
        <v>0</v>
      </c>
      <c r="Y42" s="133">
        <f ca="1">FIRE1120_raw!Y44</f>
        <v>0.52941176470588236</v>
      </c>
      <c r="Z42" s="115" t="s">
        <v>175</v>
      </c>
      <c r="AA42" s="14">
        <f t="shared" ca="1" si="2"/>
        <v>54</v>
      </c>
      <c r="AB42" s="14">
        <f t="shared" ca="1" si="3"/>
        <v>13</v>
      </c>
      <c r="AC42" s="19">
        <f ca="1">IF(FIRE1120_raw!AC44="..", "..", ROUND(FIRE1120_raw!AC44,0))</f>
        <v>0</v>
      </c>
      <c r="AD42" s="133">
        <f ca="1">FIRE1120_raw!AD44</f>
        <v>0.19402985074626866</v>
      </c>
      <c r="AE42" s="16"/>
      <c r="AF42" s="16"/>
      <c r="AG42" s="16"/>
      <c r="AH42" s="16"/>
      <c r="AI42" s="16"/>
      <c r="AJ42" s="16"/>
      <c r="AK42" s="16"/>
      <c r="AL42" s="16"/>
      <c r="AM42" s="16"/>
    </row>
    <row r="43" spans="1:39" s="6" customFormat="1" ht="15" customHeight="1" x14ac:dyDescent="0.3">
      <c r="A43" s="5" t="s">
        <v>47</v>
      </c>
      <c r="B43" s="19">
        <f ca="1">ROUND(FIRE1120_raw!B45,0)</f>
        <v>21</v>
      </c>
      <c r="C43" s="19">
        <f ca="1">ROUND(FIRE1120_raw!C45,0)</f>
        <v>2</v>
      </c>
      <c r="D43" s="19">
        <f ca="1">IF(FIRE1120_raw!D45="..", "..", ROUND(FIRE1120_raw!D45,0))</f>
        <v>0</v>
      </c>
      <c r="E43" s="127">
        <f ca="1">FIRE1120_raw!E45</f>
        <v>8.6956521739130432E-2</v>
      </c>
      <c r="F43" s="115" t="s">
        <v>175</v>
      </c>
      <c r="G43" s="19">
        <f ca="1">ROUND(FIRE1120_raw!G45,0)</f>
        <v>18</v>
      </c>
      <c r="H43" s="19">
        <f ca="1">ROUND(FIRE1120_raw!H45,0)</f>
        <v>0</v>
      </c>
      <c r="I43" s="19">
        <f ca="1">IF(FIRE1120_raw!I45="..", "..", ROUND(FIRE1120_raw!I45,0))</f>
        <v>0</v>
      </c>
      <c r="J43" s="133">
        <f ca="1">FIRE1120_raw!J45</f>
        <v>0</v>
      </c>
      <c r="K43" s="115" t="s">
        <v>175</v>
      </c>
      <c r="L43" s="14">
        <f t="shared" ca="1" si="0"/>
        <v>39</v>
      </c>
      <c r="M43" s="14">
        <f t="shared" ca="1" si="1"/>
        <v>2</v>
      </c>
      <c r="N43" s="19">
        <f ca="1">IF(FIRE1120_raw!N45="..", "..", ROUND(FIRE1120_raw!N45,0))</f>
        <v>0</v>
      </c>
      <c r="O43" s="133">
        <f ca="1">FIRE1120_raw!O45</f>
        <v>4.878048780487805E-2</v>
      </c>
      <c r="P43" s="115" t="s">
        <v>175</v>
      </c>
      <c r="Q43" s="19">
        <f ca="1">ROUND(FIRE1120_raw!Q45,0)</f>
        <v>4</v>
      </c>
      <c r="R43" s="19">
        <f ca="1">ROUND(FIRE1120_raw!R45,0)</f>
        <v>5</v>
      </c>
      <c r="S43" s="19">
        <f ca="1">IF(FIRE1120_raw!S45="..", "..", ROUND(FIRE1120_raw!S45,0))</f>
        <v>0</v>
      </c>
      <c r="T43" s="133">
        <f ca="1">FIRE1120_raw!T45</f>
        <v>0.55555555555555558</v>
      </c>
      <c r="U43" s="115" t="s">
        <v>175</v>
      </c>
      <c r="V43" s="19">
        <f ca="1">ROUND(FIRE1120_raw!V45,0)</f>
        <v>9</v>
      </c>
      <c r="W43" s="19">
        <f ca="1">ROUND(FIRE1120_raw!W45,0)</f>
        <v>16</v>
      </c>
      <c r="X43" s="19">
        <f ca="1">IF(FIRE1120_raw!X45="..", "..", ROUND(FIRE1120_raw!X45,0))</f>
        <v>0</v>
      </c>
      <c r="Y43" s="133">
        <f ca="1">FIRE1120_raw!Y45</f>
        <v>0.64</v>
      </c>
      <c r="Z43" s="115" t="s">
        <v>175</v>
      </c>
      <c r="AA43" s="14">
        <f t="shared" ca="1" si="2"/>
        <v>52</v>
      </c>
      <c r="AB43" s="14">
        <f t="shared" ca="1" si="3"/>
        <v>23</v>
      </c>
      <c r="AC43" s="19">
        <f ca="1">IF(FIRE1120_raw!AC45="..", "..", ROUND(FIRE1120_raw!AC45,0))</f>
        <v>0</v>
      </c>
      <c r="AD43" s="133">
        <f ca="1">FIRE1120_raw!AD45</f>
        <v>0.30666666666666664</v>
      </c>
      <c r="AE43" s="16"/>
      <c r="AF43" s="16"/>
      <c r="AG43" s="16"/>
      <c r="AH43" s="16"/>
      <c r="AI43" s="16"/>
      <c r="AJ43" s="16"/>
      <c r="AK43" s="16"/>
      <c r="AL43" s="16"/>
      <c r="AM43" s="16"/>
    </row>
    <row r="44" spans="1:39" s="6" customFormat="1" ht="15" customHeight="1" x14ac:dyDescent="0.3">
      <c r="A44" s="5" t="s">
        <v>48</v>
      </c>
      <c r="B44" s="19">
        <f ca="1">ROUND(FIRE1120_raw!B46,0)</f>
        <v>12</v>
      </c>
      <c r="C44" s="19">
        <f ca="1">ROUND(FIRE1120_raw!C46,0)</f>
        <v>4</v>
      </c>
      <c r="D44" s="19">
        <f ca="1">IF(FIRE1120_raw!D46="..", "..", ROUND(FIRE1120_raw!D46,0))</f>
        <v>0</v>
      </c>
      <c r="E44" s="127">
        <f ca="1">FIRE1120_raw!E46</f>
        <v>0.25</v>
      </c>
      <c r="F44" s="115" t="s">
        <v>175</v>
      </c>
      <c r="G44" s="19">
        <f ca="1">ROUND(FIRE1120_raw!G46,0)</f>
        <v>17</v>
      </c>
      <c r="H44" s="19">
        <f ca="1">ROUND(FIRE1120_raw!H46,0)</f>
        <v>1</v>
      </c>
      <c r="I44" s="19">
        <f ca="1">IF(FIRE1120_raw!I46="..", "..", ROUND(FIRE1120_raw!I46,0))</f>
        <v>0</v>
      </c>
      <c r="J44" s="133">
        <f ca="1">FIRE1120_raw!J46</f>
        <v>5.5555555555555552E-2</v>
      </c>
      <c r="K44" s="115" t="s">
        <v>175</v>
      </c>
      <c r="L44" s="14">
        <f t="shared" ca="1" si="0"/>
        <v>29</v>
      </c>
      <c r="M44" s="14">
        <f t="shared" ca="1" si="1"/>
        <v>5</v>
      </c>
      <c r="N44" s="19">
        <f ca="1">IF(FIRE1120_raw!N46="..", "..", ROUND(FIRE1120_raw!N46,0))</f>
        <v>0</v>
      </c>
      <c r="O44" s="133">
        <f ca="1">FIRE1120_raw!O46</f>
        <v>0.14705882352941177</v>
      </c>
      <c r="P44" s="115" t="s">
        <v>175</v>
      </c>
      <c r="Q44" s="19">
        <f ca="1">ROUND(FIRE1120_raw!Q46,0)</f>
        <v>2</v>
      </c>
      <c r="R44" s="19">
        <f ca="1">ROUND(FIRE1120_raw!R46,0)</f>
        <v>0</v>
      </c>
      <c r="S44" s="19">
        <f ca="1">IF(FIRE1120_raw!S46="..", "..", ROUND(FIRE1120_raw!S46,0))</f>
        <v>0</v>
      </c>
      <c r="T44" s="133">
        <f ca="1">FIRE1120_raw!T46</f>
        <v>0</v>
      </c>
      <c r="U44" s="115" t="s">
        <v>175</v>
      </c>
      <c r="V44" s="19">
        <f ca="1">ROUND(FIRE1120_raw!V46,0)</f>
        <v>7</v>
      </c>
      <c r="W44" s="19">
        <f ca="1">ROUND(FIRE1120_raw!W46,0)</f>
        <v>8</v>
      </c>
      <c r="X44" s="19">
        <f ca="1">IF(FIRE1120_raw!X46="..", "..", ROUND(FIRE1120_raw!X46,0))</f>
        <v>0</v>
      </c>
      <c r="Y44" s="133">
        <f ca="1">FIRE1120_raw!Y46</f>
        <v>0.53333333333333333</v>
      </c>
      <c r="Z44" s="115" t="s">
        <v>175</v>
      </c>
      <c r="AA44" s="14">
        <f t="shared" ca="1" si="2"/>
        <v>38</v>
      </c>
      <c r="AB44" s="14">
        <f t="shared" ca="1" si="3"/>
        <v>13</v>
      </c>
      <c r="AC44" s="19">
        <f ca="1">IF(FIRE1120_raw!AC46="..", "..", ROUND(FIRE1120_raw!AC46,0))</f>
        <v>0</v>
      </c>
      <c r="AD44" s="133">
        <f ca="1">FIRE1120_raw!AD46</f>
        <v>0.25490196078431371</v>
      </c>
      <c r="AE44" s="16"/>
      <c r="AF44" s="16"/>
      <c r="AG44" s="16"/>
      <c r="AH44" s="16"/>
      <c r="AI44" s="16"/>
      <c r="AJ44" s="16"/>
      <c r="AK44" s="16"/>
      <c r="AL44" s="16"/>
      <c r="AM44" s="16"/>
    </row>
    <row r="45" spans="1:39" s="6" customFormat="1" ht="15" customHeight="1" x14ac:dyDescent="0.3">
      <c r="A45" s="5" t="s">
        <v>49</v>
      </c>
      <c r="B45" s="19">
        <f ca="1">ROUND(FIRE1120_raw!B47,0)</f>
        <v>20</v>
      </c>
      <c r="C45" s="19">
        <f ca="1">ROUND(FIRE1120_raw!C47,0)</f>
        <v>2</v>
      </c>
      <c r="D45" s="19">
        <f ca="1">IF(FIRE1120_raw!D47="..", "..", ROUND(FIRE1120_raw!D47,0))</f>
        <v>0</v>
      </c>
      <c r="E45" s="127">
        <f ca="1">FIRE1120_raw!E47</f>
        <v>9.0909090909090912E-2</v>
      </c>
      <c r="F45" s="115" t="s">
        <v>175</v>
      </c>
      <c r="G45" s="19">
        <f ca="1">ROUND(FIRE1120_raw!G47,0)</f>
        <v>25</v>
      </c>
      <c r="H45" s="19">
        <f ca="1">ROUND(FIRE1120_raw!H47,0)</f>
        <v>2</v>
      </c>
      <c r="I45" s="19">
        <f ca="1">IF(FIRE1120_raw!I47="..", "..", ROUND(FIRE1120_raw!I47,0))</f>
        <v>0</v>
      </c>
      <c r="J45" s="133">
        <f ca="1">FIRE1120_raw!J47</f>
        <v>7.407407407407407E-2</v>
      </c>
      <c r="K45" s="115" t="s">
        <v>175</v>
      </c>
      <c r="L45" s="14">
        <f t="shared" ca="1" si="0"/>
        <v>45</v>
      </c>
      <c r="M45" s="14">
        <f t="shared" ca="1" si="1"/>
        <v>4</v>
      </c>
      <c r="N45" s="19">
        <f ca="1">IF(FIRE1120_raw!N47="..", "..", ROUND(FIRE1120_raw!N47,0))</f>
        <v>0</v>
      </c>
      <c r="O45" s="133">
        <f ca="1">FIRE1120_raw!O47</f>
        <v>8.1632653061224483E-2</v>
      </c>
      <c r="P45" s="115" t="s">
        <v>175</v>
      </c>
      <c r="Q45" s="19">
        <f ca="1">ROUND(FIRE1120_raw!Q47,0)</f>
        <v>0</v>
      </c>
      <c r="R45" s="19">
        <f ca="1">ROUND(FIRE1120_raw!R47,0)</f>
        <v>0</v>
      </c>
      <c r="S45" s="19">
        <f ca="1">IF(FIRE1120_raw!S47="..", "..", ROUND(FIRE1120_raw!S47,0))</f>
        <v>0</v>
      </c>
      <c r="T45" s="133" t="str">
        <f ca="1">FIRE1120_raw!T47</f>
        <v>-</v>
      </c>
      <c r="U45" s="115" t="s">
        <v>175</v>
      </c>
      <c r="V45" s="19">
        <f ca="1">ROUND(FIRE1120_raw!V47,0)</f>
        <v>16</v>
      </c>
      <c r="W45" s="19">
        <f ca="1">ROUND(FIRE1120_raw!W47,0)</f>
        <v>11</v>
      </c>
      <c r="X45" s="19">
        <f ca="1">IF(FIRE1120_raw!X47="..", "..", ROUND(FIRE1120_raw!X47,0))</f>
        <v>0</v>
      </c>
      <c r="Y45" s="133">
        <f ca="1">FIRE1120_raw!Y47</f>
        <v>0.40740740740740738</v>
      </c>
      <c r="Z45" s="115" t="s">
        <v>175</v>
      </c>
      <c r="AA45" s="14">
        <f t="shared" ca="1" si="2"/>
        <v>61</v>
      </c>
      <c r="AB45" s="14">
        <f t="shared" ca="1" si="3"/>
        <v>15</v>
      </c>
      <c r="AC45" s="19">
        <f ca="1">IF(FIRE1120_raw!AC47="..", "..", ROUND(FIRE1120_raw!AC47,0))</f>
        <v>0</v>
      </c>
      <c r="AD45" s="133">
        <f ca="1">FIRE1120_raw!AD47</f>
        <v>0.19736842105263158</v>
      </c>
      <c r="AE45" s="16"/>
      <c r="AF45" s="16"/>
      <c r="AG45" s="16"/>
      <c r="AH45" s="16"/>
      <c r="AI45" s="16"/>
      <c r="AJ45" s="16"/>
      <c r="AK45" s="16"/>
      <c r="AL45" s="16"/>
      <c r="AM45" s="16"/>
    </row>
    <row r="46" spans="1:39" s="6" customFormat="1" ht="15" customHeight="1" x14ac:dyDescent="0.3">
      <c r="A46" s="5" t="s">
        <v>50</v>
      </c>
      <c r="B46" s="19">
        <f ca="1">ROUND(FIRE1120_raw!B48,0)</f>
        <v>0</v>
      </c>
      <c r="C46" s="19">
        <f ca="1">ROUND(FIRE1120_raw!C48,0)</f>
        <v>0</v>
      </c>
      <c r="D46" s="19">
        <f ca="1">IF(FIRE1120_raw!D48="..", "..", ROUND(FIRE1120_raw!D48,0))</f>
        <v>0</v>
      </c>
      <c r="E46" s="127" t="str">
        <f ca="1">FIRE1120_raw!E48</f>
        <v>-</v>
      </c>
      <c r="F46" s="115" t="s">
        <v>175</v>
      </c>
      <c r="G46" s="19">
        <f ca="1">ROUND(FIRE1120_raw!G48,0)</f>
        <v>4</v>
      </c>
      <c r="H46" s="19">
        <f ca="1">ROUND(FIRE1120_raw!H48,0)</f>
        <v>1</v>
      </c>
      <c r="I46" s="19">
        <f ca="1">IF(FIRE1120_raw!I48="..", "..", ROUND(FIRE1120_raw!I48,0))</f>
        <v>0</v>
      </c>
      <c r="J46" s="133">
        <f ca="1">FIRE1120_raw!J48</f>
        <v>0.2</v>
      </c>
      <c r="K46" s="115" t="s">
        <v>175</v>
      </c>
      <c r="L46" s="14">
        <f t="shared" ref="L46" ca="1" si="4">B46+G46</f>
        <v>4</v>
      </c>
      <c r="M46" s="14">
        <f t="shared" ref="M46" ca="1" si="5">C46+H46</f>
        <v>1</v>
      </c>
      <c r="N46" s="19">
        <f ca="1">IF(FIRE1120_raw!N48="..", "..", ROUND(FIRE1120_raw!N48,0))</f>
        <v>0</v>
      </c>
      <c r="O46" s="133">
        <f ca="1">FIRE1120_raw!O48</f>
        <v>0.2</v>
      </c>
      <c r="P46" s="115" t="s">
        <v>175</v>
      </c>
      <c r="Q46" s="19">
        <f ca="1">ROUND(FIRE1120_raw!Q48,0)</f>
        <v>0</v>
      </c>
      <c r="R46" s="19">
        <f ca="1">ROUND(FIRE1120_raw!R48,0)</f>
        <v>0</v>
      </c>
      <c r="S46" s="19">
        <f ca="1">IF(FIRE1120_raw!S48="..", "..", ROUND(FIRE1120_raw!S48,0))</f>
        <v>0</v>
      </c>
      <c r="T46" s="133" t="str">
        <f ca="1">FIRE1120_raw!T48</f>
        <v>-</v>
      </c>
      <c r="U46" s="115" t="s">
        <v>175</v>
      </c>
      <c r="V46" s="19">
        <f ca="1">ROUND(FIRE1120_raw!V48,0)</f>
        <v>0</v>
      </c>
      <c r="W46" s="19">
        <f ca="1">ROUND(FIRE1120_raw!W48,0)</f>
        <v>0</v>
      </c>
      <c r="X46" s="19">
        <f ca="1">IF(FIRE1120_raw!X48="..", "..", ROUND(FIRE1120_raw!X48,0))</f>
        <v>0</v>
      </c>
      <c r="Y46" s="133" t="str">
        <f ca="1">FIRE1120_raw!Y48</f>
        <v>-</v>
      </c>
      <c r="Z46" s="115" t="s">
        <v>175</v>
      </c>
      <c r="AA46" s="14">
        <f t="shared" ref="AA46" ca="1" si="6">L46+Q46+V46</f>
        <v>4</v>
      </c>
      <c r="AB46" s="14">
        <f t="shared" ref="AB46" ca="1" si="7">M46+R46+W46</f>
        <v>1</v>
      </c>
      <c r="AC46" s="19">
        <f ca="1">IF(FIRE1120_raw!AC48="..", "..", ROUND(FIRE1120_raw!AC48,0))</f>
        <v>0</v>
      </c>
      <c r="AD46" s="133">
        <f ca="1">FIRE1120_raw!AD48</f>
        <v>0.2</v>
      </c>
      <c r="AE46" s="16"/>
      <c r="AF46" s="16"/>
      <c r="AG46" s="16"/>
      <c r="AH46" s="16"/>
      <c r="AI46" s="16"/>
      <c r="AJ46" s="16"/>
      <c r="AK46" s="16"/>
      <c r="AL46" s="16"/>
      <c r="AM46" s="16"/>
    </row>
    <row r="47" spans="1:39" s="6" customFormat="1" ht="15" customHeight="1" x14ac:dyDescent="0.3">
      <c r="A47" s="22" t="s">
        <v>51</v>
      </c>
      <c r="B47" s="14">
        <f ca="1">SUM(B48:B54)</f>
        <v>487</v>
      </c>
      <c r="C47" s="14">
        <f ca="1">SUM(C48:C54)</f>
        <v>93</v>
      </c>
      <c r="D47" s="14">
        <f ca="1">SUM(D48:D54)</f>
        <v>0</v>
      </c>
      <c r="E47" s="127">
        <f ca="1">FIRE1120_raw!E49</f>
        <v>0.16034482758620688</v>
      </c>
      <c r="F47" s="115" t="s">
        <v>175</v>
      </c>
      <c r="G47" s="14">
        <f ca="1">SUM(G48:G54)</f>
        <v>69</v>
      </c>
      <c r="H47" s="14">
        <f ca="1">SUM(H48:H54)</f>
        <v>10</v>
      </c>
      <c r="I47" s="14">
        <f ca="1">SUM(I48:I54)</f>
        <v>0</v>
      </c>
      <c r="J47" s="133">
        <f ca="1">FIRE1120_raw!J49</f>
        <v>0.12658227848101267</v>
      </c>
      <c r="K47" s="115" t="s">
        <v>175</v>
      </c>
      <c r="L47" s="14">
        <f ca="1">SUM(L48:L54)</f>
        <v>556</v>
      </c>
      <c r="M47" s="14">
        <f ca="1">SUM(M48:M54)</f>
        <v>103</v>
      </c>
      <c r="N47" s="14">
        <f ca="1">SUM(N48:N54)</f>
        <v>0</v>
      </c>
      <c r="O47" s="133">
        <f ca="1">FIRE1120_raw!O49</f>
        <v>0.15629742033383914</v>
      </c>
      <c r="P47" s="115" t="s">
        <v>175</v>
      </c>
      <c r="Q47" s="14">
        <f ca="1">SUM(Q48:Q54)</f>
        <v>7</v>
      </c>
      <c r="R47" s="14">
        <f ca="1">SUM(R48:R54)</f>
        <v>18</v>
      </c>
      <c r="S47" s="14">
        <f ca="1">SUM(S48:S54)</f>
        <v>0</v>
      </c>
      <c r="T47" s="133">
        <f ca="1">FIRE1120_raw!T49</f>
        <v>0.72</v>
      </c>
      <c r="U47" s="115" t="s">
        <v>175</v>
      </c>
      <c r="V47" s="14">
        <f ca="1">SUM(V48:V54)</f>
        <v>111</v>
      </c>
      <c r="W47" s="14">
        <f ca="1">SUM(W48:W54)</f>
        <v>99</v>
      </c>
      <c r="X47" s="14">
        <f ca="1">SUM(X48:X54)</f>
        <v>0</v>
      </c>
      <c r="Y47" s="133">
        <f ca="1">FIRE1120_raw!Y49</f>
        <v>0.47142857142857142</v>
      </c>
      <c r="Z47" s="115" t="s">
        <v>175</v>
      </c>
      <c r="AA47" s="14">
        <f ca="1">SUM(AA48:AA54)</f>
        <v>674</v>
      </c>
      <c r="AB47" s="14">
        <f ca="1">SUM(AB48:AB54)</f>
        <v>220</v>
      </c>
      <c r="AC47" s="14">
        <f ca="1">SUM(AC48:AC54)</f>
        <v>0</v>
      </c>
      <c r="AD47" s="133">
        <f ca="1">FIRE1120_raw!AD49</f>
        <v>0.24608501118568232</v>
      </c>
      <c r="AE47" s="16"/>
      <c r="AF47" s="16"/>
      <c r="AG47" s="16"/>
      <c r="AH47" s="16"/>
      <c r="AI47" s="16"/>
      <c r="AJ47" s="16"/>
      <c r="AK47" s="16"/>
      <c r="AL47" s="16"/>
      <c r="AM47" s="16"/>
    </row>
    <row r="48" spans="1:39" s="6" customFormat="1" ht="15" customHeight="1" x14ac:dyDescent="0.3">
      <c r="A48" s="5" t="s">
        <v>52</v>
      </c>
      <c r="B48" s="19">
        <f ca="1">ROUND(FIRE1120_raw!B50,0)</f>
        <v>62</v>
      </c>
      <c r="C48" s="19">
        <f ca="1">ROUND(FIRE1120_raw!C50,0)</f>
        <v>10</v>
      </c>
      <c r="D48" s="19">
        <f ca="1">IF(FIRE1120_raw!D50="..", "..", ROUND(FIRE1120_raw!D50,0))</f>
        <v>0</v>
      </c>
      <c r="E48" s="127">
        <f ca="1">FIRE1120_raw!E50</f>
        <v>0.1388888888888889</v>
      </c>
      <c r="F48" s="115" t="s">
        <v>175</v>
      </c>
      <c r="G48" s="19">
        <f ca="1">ROUND(FIRE1120_raw!G50,0)</f>
        <v>0</v>
      </c>
      <c r="H48" s="19">
        <f ca="1">ROUND(FIRE1120_raw!H50,0)</f>
        <v>0</v>
      </c>
      <c r="I48" s="19">
        <f ca="1">IF(FIRE1120_raw!I50="..", "..", ROUND(FIRE1120_raw!I50,0))</f>
        <v>0</v>
      </c>
      <c r="J48" s="133" t="str">
        <f ca="1">FIRE1120_raw!J50</f>
        <v>-</v>
      </c>
      <c r="K48" s="115" t="s">
        <v>175</v>
      </c>
      <c r="L48" s="14">
        <f t="shared" ref="L48:M53" ca="1" si="8">B48+G48</f>
        <v>62</v>
      </c>
      <c r="M48" s="14">
        <f t="shared" ca="1" si="8"/>
        <v>10</v>
      </c>
      <c r="N48" s="19">
        <f ca="1">IF(FIRE1120_raw!N50="..", "..", ROUND(FIRE1120_raw!N50,0))</f>
        <v>0</v>
      </c>
      <c r="O48" s="133">
        <f ca="1">FIRE1120_raw!O50</f>
        <v>0.1388888888888889</v>
      </c>
      <c r="P48" s="115" t="s">
        <v>175</v>
      </c>
      <c r="Q48" s="19">
        <f ca="1">ROUND(FIRE1120_raw!Q50,0)</f>
        <v>0</v>
      </c>
      <c r="R48" s="19">
        <f ca="1">ROUND(FIRE1120_raw!R50,0)</f>
        <v>0</v>
      </c>
      <c r="S48" s="19">
        <f ca="1">IF(FIRE1120_raw!S50="..", "..", ROUND(FIRE1120_raw!S50,0))</f>
        <v>0</v>
      </c>
      <c r="T48" s="133" t="str">
        <f ca="1">FIRE1120_raw!T50</f>
        <v>-</v>
      </c>
      <c r="U48" s="115" t="s">
        <v>175</v>
      </c>
      <c r="V48" s="19">
        <f ca="1">ROUND(FIRE1120_raw!V50,0)</f>
        <v>5</v>
      </c>
      <c r="W48" s="19">
        <f ca="1">ROUND(FIRE1120_raw!W50,0)</f>
        <v>6</v>
      </c>
      <c r="X48" s="19">
        <f ca="1">IF(FIRE1120_raw!X50="..", "..", ROUND(FIRE1120_raw!X50,0))</f>
        <v>0</v>
      </c>
      <c r="Y48" s="133">
        <f ca="1">FIRE1120_raw!Y50</f>
        <v>0.54545454545454541</v>
      </c>
      <c r="Z48" s="115" t="s">
        <v>175</v>
      </c>
      <c r="AA48" s="14">
        <f t="shared" ref="AA48:AB53" ca="1" si="9">L48+Q48+V48</f>
        <v>67</v>
      </c>
      <c r="AB48" s="14">
        <f t="shared" ca="1" si="9"/>
        <v>16</v>
      </c>
      <c r="AC48" s="19">
        <f ca="1">IF(FIRE1120_raw!AC50="..", "..", ROUND(FIRE1120_raw!AC50,0))</f>
        <v>0</v>
      </c>
      <c r="AD48" s="133">
        <f ca="1">FIRE1120_raw!AD50</f>
        <v>0.19277108433734941</v>
      </c>
      <c r="AE48" s="16"/>
      <c r="AF48" s="16"/>
      <c r="AG48" s="16"/>
      <c r="AH48" s="16"/>
      <c r="AI48" s="16"/>
      <c r="AJ48" s="16"/>
      <c r="AK48" s="16"/>
      <c r="AL48" s="16"/>
      <c r="AM48" s="16"/>
    </row>
    <row r="49" spans="1:39" s="6" customFormat="1" ht="15" customHeight="1" x14ac:dyDescent="0.3">
      <c r="A49" s="5" t="s">
        <v>53</v>
      </c>
      <c r="B49" s="19">
        <f ca="1">ROUND(FIRE1120_raw!B51,0)</f>
        <v>55</v>
      </c>
      <c r="C49" s="19">
        <f ca="1">ROUND(FIRE1120_raw!C51,0)</f>
        <v>4</v>
      </c>
      <c r="D49" s="19">
        <f ca="1">IF(FIRE1120_raw!D51="..", "..", ROUND(FIRE1120_raw!D51,0))</f>
        <v>0</v>
      </c>
      <c r="E49" s="127">
        <f ca="1">FIRE1120_raw!E51</f>
        <v>6.7796610169491525E-2</v>
      </c>
      <c r="F49" s="115" t="s">
        <v>175</v>
      </c>
      <c r="G49" s="19">
        <f ca="1">ROUND(FIRE1120_raw!G51,0)</f>
        <v>34</v>
      </c>
      <c r="H49" s="19">
        <f ca="1">ROUND(FIRE1120_raw!H51,0)</f>
        <v>3</v>
      </c>
      <c r="I49" s="19">
        <f ca="1">IF(FIRE1120_raw!I51="..", "..", ROUND(FIRE1120_raw!I51,0))</f>
        <v>0</v>
      </c>
      <c r="J49" s="133">
        <f ca="1">FIRE1120_raw!J51</f>
        <v>8.1081081081081086E-2</v>
      </c>
      <c r="K49" s="115" t="s">
        <v>175</v>
      </c>
      <c r="L49" s="14">
        <f t="shared" ca="1" si="8"/>
        <v>89</v>
      </c>
      <c r="M49" s="14">
        <f t="shared" ca="1" si="8"/>
        <v>7</v>
      </c>
      <c r="N49" s="19">
        <f ca="1">IF(FIRE1120_raw!N51="..", "..", ROUND(FIRE1120_raw!N51,0))</f>
        <v>0</v>
      </c>
      <c r="O49" s="133">
        <f ca="1">FIRE1120_raw!O51</f>
        <v>7.2916666666666671E-2</v>
      </c>
      <c r="P49" s="115" t="s">
        <v>175</v>
      </c>
      <c r="Q49" s="19">
        <f ca="1">ROUND(FIRE1120_raw!Q51,0)</f>
        <v>0</v>
      </c>
      <c r="R49" s="19">
        <f ca="1">ROUND(FIRE1120_raw!R51,0)</f>
        <v>4</v>
      </c>
      <c r="S49" s="19">
        <f ca="1">IF(FIRE1120_raw!S51="..", "..", ROUND(FIRE1120_raw!S51,0))</f>
        <v>0</v>
      </c>
      <c r="T49" s="133">
        <f ca="1">FIRE1120_raw!T51</f>
        <v>1</v>
      </c>
      <c r="U49" s="115" t="s">
        <v>175</v>
      </c>
      <c r="V49" s="19">
        <f ca="1">ROUND(FIRE1120_raw!V51,0)</f>
        <v>3</v>
      </c>
      <c r="W49" s="19">
        <f ca="1">ROUND(FIRE1120_raw!W51,0)</f>
        <v>5</v>
      </c>
      <c r="X49" s="19">
        <f ca="1">IF(FIRE1120_raw!X51="..", "..", ROUND(FIRE1120_raw!X51,0))</f>
        <v>0</v>
      </c>
      <c r="Y49" s="133">
        <f ca="1">FIRE1120_raw!Y51</f>
        <v>0.625</v>
      </c>
      <c r="Z49" s="115" t="s">
        <v>175</v>
      </c>
      <c r="AA49" s="14">
        <f t="shared" ca="1" si="9"/>
        <v>92</v>
      </c>
      <c r="AB49" s="14">
        <f t="shared" ca="1" si="9"/>
        <v>16</v>
      </c>
      <c r="AC49" s="19">
        <f ca="1">IF(FIRE1120_raw!AC51="..", "..", ROUND(FIRE1120_raw!AC51,0))</f>
        <v>0</v>
      </c>
      <c r="AD49" s="133">
        <f ca="1">FIRE1120_raw!AD51</f>
        <v>0.14814814814814814</v>
      </c>
      <c r="AE49" s="16"/>
      <c r="AF49" s="16"/>
      <c r="AG49" s="16"/>
      <c r="AH49" s="16"/>
      <c r="AI49" s="16"/>
      <c r="AJ49" s="16"/>
      <c r="AK49" s="16"/>
      <c r="AL49" s="16"/>
      <c r="AM49" s="16"/>
    </row>
    <row r="50" spans="1:39" s="6" customFormat="1" ht="15" customHeight="1" x14ac:dyDescent="0.3">
      <c r="A50" s="5" t="s">
        <v>54</v>
      </c>
      <c r="B50" s="19">
        <f ca="1">ROUND(FIRE1120_raw!B52,0)</f>
        <v>38</v>
      </c>
      <c r="C50" s="19">
        <f ca="1">ROUND(FIRE1120_raw!C52,0)</f>
        <v>2</v>
      </c>
      <c r="D50" s="19">
        <f ca="1">IF(FIRE1120_raw!D52="..", "..", ROUND(FIRE1120_raw!D52,0))</f>
        <v>0</v>
      </c>
      <c r="E50" s="127">
        <f ca="1">FIRE1120_raw!E52</f>
        <v>0.05</v>
      </c>
      <c r="F50" s="115" t="s">
        <v>175</v>
      </c>
      <c r="G50" s="19">
        <f ca="1">ROUND(FIRE1120_raw!G52,0)</f>
        <v>16</v>
      </c>
      <c r="H50" s="19">
        <f ca="1">ROUND(FIRE1120_raw!H52,0)</f>
        <v>3</v>
      </c>
      <c r="I50" s="19">
        <f ca="1">IF(FIRE1120_raw!I52="..", "..", ROUND(FIRE1120_raw!I52,0))</f>
        <v>0</v>
      </c>
      <c r="J50" s="133">
        <f ca="1">FIRE1120_raw!J52</f>
        <v>0.15789473684210525</v>
      </c>
      <c r="K50" s="115" t="s">
        <v>175</v>
      </c>
      <c r="L50" s="14">
        <f t="shared" ca="1" si="8"/>
        <v>54</v>
      </c>
      <c r="M50" s="14">
        <f t="shared" ca="1" si="8"/>
        <v>5</v>
      </c>
      <c r="N50" s="19">
        <f ca="1">IF(FIRE1120_raw!N52="..", "..", ROUND(FIRE1120_raw!N52,0))</f>
        <v>0</v>
      </c>
      <c r="O50" s="133">
        <f ca="1">FIRE1120_raw!O52</f>
        <v>8.4745762711864403E-2</v>
      </c>
      <c r="P50" s="115" t="s">
        <v>175</v>
      </c>
      <c r="Q50" s="19">
        <f ca="1">ROUND(FIRE1120_raw!Q52,0)</f>
        <v>1</v>
      </c>
      <c r="R50" s="19">
        <f ca="1">ROUND(FIRE1120_raw!R52,0)</f>
        <v>0</v>
      </c>
      <c r="S50" s="19">
        <f ca="1">IF(FIRE1120_raw!S52="..", "..", ROUND(FIRE1120_raw!S52,0))</f>
        <v>0</v>
      </c>
      <c r="T50" s="133">
        <f ca="1">FIRE1120_raw!T52</f>
        <v>0</v>
      </c>
      <c r="U50" s="115" t="s">
        <v>175</v>
      </c>
      <c r="V50" s="19">
        <f ca="1">ROUND(FIRE1120_raw!V52,0)</f>
        <v>5</v>
      </c>
      <c r="W50" s="19">
        <f ca="1">ROUND(FIRE1120_raw!W52,0)</f>
        <v>5</v>
      </c>
      <c r="X50" s="19">
        <f ca="1">IF(FIRE1120_raw!X52="..", "..", ROUND(FIRE1120_raw!X52,0))</f>
        <v>0</v>
      </c>
      <c r="Y50" s="133">
        <f ca="1">FIRE1120_raw!Y52</f>
        <v>0.5</v>
      </c>
      <c r="Z50" s="115" t="s">
        <v>175</v>
      </c>
      <c r="AA50" s="14">
        <f t="shared" ca="1" si="9"/>
        <v>60</v>
      </c>
      <c r="AB50" s="14">
        <f t="shared" ca="1" si="9"/>
        <v>10</v>
      </c>
      <c r="AC50" s="19">
        <f ca="1">IF(FIRE1120_raw!AC52="..", "..", ROUND(FIRE1120_raw!AC52,0))</f>
        <v>0</v>
      </c>
      <c r="AD50" s="133">
        <f ca="1">FIRE1120_raw!AD52</f>
        <v>0.14285714285714285</v>
      </c>
      <c r="AE50" s="16"/>
      <c r="AF50" s="16"/>
      <c r="AG50" s="16"/>
      <c r="AH50" s="16"/>
      <c r="AI50" s="16"/>
      <c r="AJ50" s="16"/>
      <c r="AK50" s="16"/>
      <c r="AL50" s="16"/>
      <c r="AM50" s="16"/>
    </row>
    <row r="51" spans="1:39" s="6" customFormat="1" ht="15" customHeight="1" x14ac:dyDescent="0.3">
      <c r="A51" s="2" t="s">
        <v>55</v>
      </c>
      <c r="B51" s="19">
        <f ca="1">ROUND(FIRE1120_raw!B53,0)</f>
        <v>41</v>
      </c>
      <c r="C51" s="19">
        <f ca="1">ROUND(FIRE1120_raw!C53,0)</f>
        <v>4</v>
      </c>
      <c r="D51" s="19">
        <f ca="1">IF(FIRE1120_raw!D53="..", "..", ROUND(FIRE1120_raw!D53,0))</f>
        <v>0</v>
      </c>
      <c r="E51" s="127">
        <f ca="1">FIRE1120_raw!E53</f>
        <v>8.8888888888888892E-2</v>
      </c>
      <c r="F51" s="115" t="s">
        <v>175</v>
      </c>
      <c r="G51" s="19">
        <f ca="1">ROUND(FIRE1120_raw!G53,0)</f>
        <v>0</v>
      </c>
      <c r="H51" s="19">
        <f ca="1">ROUND(FIRE1120_raw!H53,0)</f>
        <v>0</v>
      </c>
      <c r="I51" s="19">
        <f ca="1">IF(FIRE1120_raw!I53="..", "..", ROUND(FIRE1120_raw!I53,0))</f>
        <v>0</v>
      </c>
      <c r="J51" s="133" t="str">
        <f ca="1">FIRE1120_raw!J53</f>
        <v>-</v>
      </c>
      <c r="K51" s="115" t="s">
        <v>175</v>
      </c>
      <c r="L51" s="14">
        <f t="shared" ca="1" si="8"/>
        <v>41</v>
      </c>
      <c r="M51" s="14">
        <f t="shared" ca="1" si="8"/>
        <v>4</v>
      </c>
      <c r="N51" s="19">
        <f ca="1">IF(FIRE1120_raw!N53="..", "..", ROUND(FIRE1120_raw!N53,0))</f>
        <v>0</v>
      </c>
      <c r="O51" s="133">
        <f ca="1">FIRE1120_raw!O53</f>
        <v>8.8888888888888892E-2</v>
      </c>
      <c r="P51" s="115" t="s">
        <v>175</v>
      </c>
      <c r="Q51" s="19">
        <f ca="1">ROUND(FIRE1120_raw!Q53,0)</f>
        <v>1</v>
      </c>
      <c r="R51" s="19">
        <f ca="1">ROUND(FIRE1120_raw!R53,0)</f>
        <v>2</v>
      </c>
      <c r="S51" s="19">
        <f ca="1">IF(FIRE1120_raw!S53="..", "..", ROUND(FIRE1120_raw!S53,0))</f>
        <v>0</v>
      </c>
      <c r="T51" s="133">
        <f ca="1">FIRE1120_raw!T53</f>
        <v>0.66666666666666663</v>
      </c>
      <c r="U51" s="115" t="s">
        <v>175</v>
      </c>
      <c r="V51" s="19">
        <f ca="1">ROUND(FIRE1120_raw!V53,0)</f>
        <v>16</v>
      </c>
      <c r="W51" s="19">
        <f ca="1">ROUND(FIRE1120_raw!W53,0)</f>
        <v>7</v>
      </c>
      <c r="X51" s="19">
        <f ca="1">IF(FIRE1120_raw!X53="..", "..", ROUND(FIRE1120_raw!X53,0))</f>
        <v>0</v>
      </c>
      <c r="Y51" s="133">
        <f ca="1">FIRE1120_raw!Y53</f>
        <v>0.30434782608695654</v>
      </c>
      <c r="Z51" s="115" t="s">
        <v>175</v>
      </c>
      <c r="AA51" s="14">
        <f t="shared" ca="1" si="9"/>
        <v>58</v>
      </c>
      <c r="AB51" s="14">
        <f t="shared" ca="1" si="9"/>
        <v>13</v>
      </c>
      <c r="AC51" s="19">
        <f ca="1">IF(FIRE1120_raw!AC53="..", "..", ROUND(FIRE1120_raw!AC53,0))</f>
        <v>0</v>
      </c>
      <c r="AD51" s="133">
        <f ca="1">FIRE1120_raw!AD53</f>
        <v>0.18309859154929578</v>
      </c>
      <c r="AE51" s="16"/>
      <c r="AF51" s="16"/>
      <c r="AG51" s="16"/>
      <c r="AH51" s="16"/>
      <c r="AI51" s="16"/>
      <c r="AJ51" s="16"/>
      <c r="AK51" s="16"/>
      <c r="AL51" s="16"/>
      <c r="AM51" s="16"/>
    </row>
    <row r="52" spans="1:39" s="6" customFormat="1" ht="15" customHeight="1" x14ac:dyDescent="0.3">
      <c r="A52" s="2" t="s">
        <v>56</v>
      </c>
      <c r="B52" s="19">
        <f ca="1">ROUND(FIRE1120_raw!B54,0)</f>
        <v>51</v>
      </c>
      <c r="C52" s="19">
        <f ca="1">ROUND(FIRE1120_raw!C54,0)</f>
        <v>17</v>
      </c>
      <c r="D52" s="19">
        <f ca="1">IF(FIRE1120_raw!D54="..", "..", ROUND(FIRE1120_raw!D54,0))</f>
        <v>0</v>
      </c>
      <c r="E52" s="127">
        <f ca="1">FIRE1120_raw!E54</f>
        <v>0.25</v>
      </c>
      <c r="F52" s="115" t="s">
        <v>175</v>
      </c>
      <c r="G52" s="19">
        <f ca="1">ROUND(FIRE1120_raw!G54,0)</f>
        <v>0</v>
      </c>
      <c r="H52" s="19">
        <f ca="1">ROUND(FIRE1120_raw!H54,0)</f>
        <v>0</v>
      </c>
      <c r="I52" s="19">
        <f ca="1">IF(FIRE1120_raw!I54="..", "..", ROUND(FIRE1120_raw!I54,0))</f>
        <v>0</v>
      </c>
      <c r="J52" s="133" t="str">
        <f ca="1">FIRE1120_raw!J54</f>
        <v>-</v>
      </c>
      <c r="K52" s="115" t="s">
        <v>175</v>
      </c>
      <c r="L52" s="14">
        <f t="shared" ca="1" si="8"/>
        <v>51</v>
      </c>
      <c r="M52" s="14">
        <f t="shared" ca="1" si="8"/>
        <v>17</v>
      </c>
      <c r="N52" s="19">
        <f ca="1">IF(FIRE1120_raw!N54="..", "..", ROUND(FIRE1120_raw!N54,0))</f>
        <v>0</v>
      </c>
      <c r="O52" s="133">
        <f ca="1">FIRE1120_raw!O54</f>
        <v>0.25</v>
      </c>
      <c r="P52" s="115" t="s">
        <v>175</v>
      </c>
      <c r="Q52" s="19">
        <f ca="1">ROUND(FIRE1120_raw!Q54,0)</f>
        <v>1</v>
      </c>
      <c r="R52" s="19">
        <f ca="1">ROUND(FIRE1120_raw!R54,0)</f>
        <v>7</v>
      </c>
      <c r="S52" s="19">
        <f ca="1">IF(FIRE1120_raw!S54="..", "..", ROUND(FIRE1120_raw!S54,0))</f>
        <v>0</v>
      </c>
      <c r="T52" s="133">
        <f ca="1">FIRE1120_raw!T54</f>
        <v>0.875</v>
      </c>
      <c r="U52" s="115" t="s">
        <v>175</v>
      </c>
      <c r="V52" s="19">
        <f ca="1">ROUND(FIRE1120_raw!V54,0)</f>
        <v>16</v>
      </c>
      <c r="W52" s="19">
        <f ca="1">ROUND(FIRE1120_raw!W54,0)</f>
        <v>16</v>
      </c>
      <c r="X52" s="19">
        <f ca="1">IF(FIRE1120_raw!X54="..", "..", ROUND(FIRE1120_raw!X54,0))</f>
        <v>0</v>
      </c>
      <c r="Y52" s="133">
        <f ca="1">FIRE1120_raw!Y54</f>
        <v>0.5</v>
      </c>
      <c r="Z52" s="115" t="s">
        <v>175</v>
      </c>
      <c r="AA52" s="14">
        <f t="shared" ca="1" si="9"/>
        <v>68</v>
      </c>
      <c r="AB52" s="14">
        <f t="shared" ca="1" si="9"/>
        <v>40</v>
      </c>
      <c r="AC52" s="19">
        <f ca="1">IF(FIRE1120_raw!AC54="..", "..", ROUND(FIRE1120_raw!AC54,0))</f>
        <v>0</v>
      </c>
      <c r="AD52" s="133">
        <f ca="1">FIRE1120_raw!AD54</f>
        <v>0.37037037037037035</v>
      </c>
      <c r="AE52" s="16"/>
      <c r="AF52" s="16"/>
      <c r="AG52" s="16"/>
      <c r="AH52" s="16"/>
      <c r="AI52" s="16"/>
      <c r="AJ52" s="16"/>
      <c r="AK52" s="16"/>
      <c r="AL52" s="16"/>
      <c r="AM52" s="16"/>
    </row>
    <row r="53" spans="1:39" s="6" customFormat="1" ht="15" customHeight="1" x14ac:dyDescent="0.3">
      <c r="A53" s="2" t="s">
        <v>57</v>
      </c>
      <c r="B53" s="19">
        <f ca="1">ROUND(FIRE1120_raw!B55,0)</f>
        <v>26</v>
      </c>
      <c r="C53" s="19">
        <f ca="1">ROUND(FIRE1120_raw!C55,0)</f>
        <v>1</v>
      </c>
      <c r="D53" s="19">
        <f ca="1">IF(FIRE1120_raw!D55="..", "..", ROUND(FIRE1120_raw!D55,0))</f>
        <v>0</v>
      </c>
      <c r="E53" s="127">
        <f ca="1">FIRE1120_raw!E55</f>
        <v>3.7037037037037035E-2</v>
      </c>
      <c r="F53" s="115" t="s">
        <v>175</v>
      </c>
      <c r="G53" s="19">
        <f ca="1">ROUND(FIRE1120_raw!G55,0)</f>
        <v>19</v>
      </c>
      <c r="H53" s="19">
        <f ca="1">ROUND(FIRE1120_raw!H55,0)</f>
        <v>4</v>
      </c>
      <c r="I53" s="19">
        <f ca="1">IF(FIRE1120_raw!I55="..", "..", ROUND(FIRE1120_raw!I55,0))</f>
        <v>0</v>
      </c>
      <c r="J53" s="133">
        <f ca="1">FIRE1120_raw!J55</f>
        <v>0.17391304347826086</v>
      </c>
      <c r="K53" s="115" t="s">
        <v>175</v>
      </c>
      <c r="L53" s="14">
        <f t="shared" ca="1" si="8"/>
        <v>45</v>
      </c>
      <c r="M53" s="14">
        <f t="shared" ca="1" si="8"/>
        <v>5</v>
      </c>
      <c r="N53" s="19">
        <f ca="1">IF(FIRE1120_raw!N55="..", "..", ROUND(FIRE1120_raw!N55,0))</f>
        <v>0</v>
      </c>
      <c r="O53" s="133">
        <f ca="1">FIRE1120_raw!O55</f>
        <v>0.1</v>
      </c>
      <c r="P53" s="115" t="s">
        <v>175</v>
      </c>
      <c r="Q53" s="19">
        <f ca="1">ROUND(FIRE1120_raw!Q55,0)</f>
        <v>3</v>
      </c>
      <c r="R53" s="19">
        <f ca="1">ROUND(FIRE1120_raw!R55,0)</f>
        <v>2</v>
      </c>
      <c r="S53" s="19">
        <f ca="1">IF(FIRE1120_raw!S55="..", "..", ROUND(FIRE1120_raw!S55,0))</f>
        <v>0</v>
      </c>
      <c r="T53" s="133">
        <f ca="1">FIRE1120_raw!T55</f>
        <v>0.4</v>
      </c>
      <c r="U53" s="115" t="s">
        <v>175</v>
      </c>
      <c r="V53" s="19">
        <f ca="1">ROUND(FIRE1120_raw!V55,0)</f>
        <v>15</v>
      </c>
      <c r="W53" s="19">
        <f ca="1">ROUND(FIRE1120_raw!W55,0)</f>
        <v>10</v>
      </c>
      <c r="X53" s="19">
        <f ca="1">IF(FIRE1120_raw!X55="..", "..", ROUND(FIRE1120_raw!X55,0))</f>
        <v>0</v>
      </c>
      <c r="Y53" s="133">
        <f ca="1">FIRE1120_raw!Y55</f>
        <v>0.4</v>
      </c>
      <c r="Z53" s="115" t="s">
        <v>175</v>
      </c>
      <c r="AA53" s="14">
        <f t="shared" ca="1" si="9"/>
        <v>63</v>
      </c>
      <c r="AB53" s="14">
        <f t="shared" ca="1" si="9"/>
        <v>17</v>
      </c>
      <c r="AC53" s="19">
        <f ca="1">IF(FIRE1120_raw!AC55="..", "..", ROUND(FIRE1120_raw!AC55,0))</f>
        <v>0</v>
      </c>
      <c r="AD53" s="133">
        <f ca="1">FIRE1120_raw!AD55</f>
        <v>0.21249999999999999</v>
      </c>
      <c r="AE53" s="16"/>
      <c r="AF53" s="16"/>
      <c r="AG53" s="16"/>
      <c r="AH53" s="16"/>
      <c r="AI53" s="16"/>
      <c r="AJ53" s="16"/>
      <c r="AK53" s="16"/>
      <c r="AL53" s="16"/>
      <c r="AM53" s="16"/>
    </row>
    <row r="54" spans="1:39" s="6" customFormat="1" ht="15" customHeight="1" thickBot="1" x14ac:dyDescent="0.35">
      <c r="A54" s="23" t="s">
        <v>58</v>
      </c>
      <c r="B54" s="24">
        <f ca="1">ROUND(FIRE1120_raw!B56,0)</f>
        <v>214</v>
      </c>
      <c r="C54" s="24">
        <f ca="1">ROUND(FIRE1120_raw!C56,0)</f>
        <v>55</v>
      </c>
      <c r="D54" s="24">
        <f ca="1">IF(FIRE1120_raw!D56="..", "..", ROUND(FIRE1120_raw!D56,0))</f>
        <v>0</v>
      </c>
      <c r="E54" s="128">
        <f ca="1">FIRE1120_raw!E56</f>
        <v>0.20446096654275092</v>
      </c>
      <c r="F54" s="116" t="s">
        <v>175</v>
      </c>
      <c r="G54" s="24">
        <f ca="1">ROUND(FIRE1120_raw!G56,0)</f>
        <v>0</v>
      </c>
      <c r="H54" s="24">
        <f ca="1">ROUND(FIRE1120_raw!H56,0)</f>
        <v>0</v>
      </c>
      <c r="I54" s="24">
        <f ca="1">IF(FIRE1120_raw!I56="..", "..", ROUND(FIRE1120_raw!I56,0))</f>
        <v>0</v>
      </c>
      <c r="J54" s="134" t="str">
        <f ca="1">FIRE1120_raw!J56</f>
        <v>-</v>
      </c>
      <c r="K54" s="116" t="s">
        <v>175</v>
      </c>
      <c r="L54" s="25">
        <f t="shared" ref="L54" ca="1" si="10">B54+G54</f>
        <v>214</v>
      </c>
      <c r="M54" s="25">
        <f t="shared" ref="M54" ca="1" si="11">C54+H54</f>
        <v>55</v>
      </c>
      <c r="N54" s="24">
        <f ca="1">IF(FIRE1120_raw!N56="..", "..", ROUND(FIRE1120_raw!N56,0))</f>
        <v>0</v>
      </c>
      <c r="O54" s="134">
        <f ca="1">FIRE1120_raw!O56</f>
        <v>0.20446096654275092</v>
      </c>
      <c r="P54" s="131" t="s">
        <v>175</v>
      </c>
      <c r="Q54" s="24">
        <f ca="1">ROUND(FIRE1120_raw!Q56,0)</f>
        <v>1</v>
      </c>
      <c r="R54" s="24">
        <f ca="1">ROUND(FIRE1120_raw!R56,0)</f>
        <v>3</v>
      </c>
      <c r="S54" s="24">
        <f ca="1">IF(FIRE1120_raw!S56="..", "..", ROUND(FIRE1120_raw!S56,0))</f>
        <v>0</v>
      </c>
      <c r="T54" s="134">
        <f ca="1">FIRE1120_raw!T56</f>
        <v>0.75</v>
      </c>
      <c r="U54" s="116" t="s">
        <v>175</v>
      </c>
      <c r="V54" s="24">
        <f ca="1">ROUND(FIRE1120_raw!V56,0)</f>
        <v>51</v>
      </c>
      <c r="W54" s="24">
        <f ca="1">ROUND(FIRE1120_raw!W56,0)</f>
        <v>50</v>
      </c>
      <c r="X54" s="24">
        <f ca="1">IF(FIRE1120_raw!X56="..", "..", ROUND(FIRE1120_raw!X56,0))</f>
        <v>0</v>
      </c>
      <c r="Y54" s="134">
        <f ca="1">FIRE1120_raw!Y56</f>
        <v>0.49504950495049505</v>
      </c>
      <c r="Z54" s="131" t="s">
        <v>175</v>
      </c>
      <c r="AA54" s="25">
        <f t="shared" ref="AA54" ca="1" si="12">L54+Q54+V54</f>
        <v>266</v>
      </c>
      <c r="AB54" s="25">
        <f t="shared" ref="AB54" ca="1" si="13">M54+R54+W54</f>
        <v>108</v>
      </c>
      <c r="AC54" s="24">
        <f ca="1">IF(FIRE1120_raw!AC56="..", "..", ROUND(FIRE1120_raw!AC56,0))</f>
        <v>0</v>
      </c>
      <c r="AD54" s="134">
        <f ca="1">FIRE1120_raw!AD56</f>
        <v>0.28877005347593582</v>
      </c>
      <c r="AE54" s="16"/>
      <c r="AF54" s="16"/>
      <c r="AG54" s="16"/>
      <c r="AH54" s="16"/>
      <c r="AI54" s="16"/>
      <c r="AJ54" s="16"/>
      <c r="AK54" s="16"/>
      <c r="AL54" s="16"/>
      <c r="AM54" s="16"/>
    </row>
    <row r="55" spans="1:39" ht="29.25" customHeight="1" x14ac:dyDescent="0.3">
      <c r="A55" s="65" t="s">
        <v>141</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row>
    <row r="56" spans="1:39" x14ac:dyDescent="0.3">
      <c r="A56" s="65" t="s">
        <v>173</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row>
    <row r="57" spans="1:39" ht="29.25" customHeight="1" x14ac:dyDescent="0.3">
      <c r="A57" s="66" t="s">
        <v>60</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9" ht="15" customHeight="1" x14ac:dyDescent="0.3">
      <c r="A58" s="73" t="s">
        <v>239</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9" ht="15" customHeight="1" x14ac:dyDescent="0.3">
      <c r="A59" s="73" t="s">
        <v>190</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9" ht="15" customHeight="1" x14ac:dyDescent="0.3">
      <c r="A60" s="73" t="s">
        <v>189</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9" ht="29.25" customHeight="1" x14ac:dyDescent="0.3">
      <c r="A61" s="6" t="s">
        <v>62</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9" x14ac:dyDescent="0.3">
      <c r="A62" s="68" t="s">
        <v>63</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9" ht="29.25" customHeight="1" x14ac:dyDescent="0.3">
      <c r="A63" s="64" t="s">
        <v>64</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9" ht="27" customHeight="1" x14ac:dyDescent="0.3">
      <c r="A64" s="6" t="s">
        <v>153</v>
      </c>
      <c r="B64" s="6"/>
      <c r="C64" s="6"/>
      <c r="D64" s="6"/>
      <c r="E64" s="6"/>
      <c r="F64" s="6"/>
      <c r="G64" s="6"/>
      <c r="H64" s="6"/>
      <c r="I64" s="6"/>
      <c r="J64" s="6"/>
      <c r="K64" s="6"/>
      <c r="L64" s="6"/>
      <c r="M64" s="6"/>
      <c r="N64" s="6"/>
      <c r="O64" s="6"/>
      <c r="P64" s="6"/>
      <c r="Q64" s="6"/>
      <c r="R64" s="6"/>
      <c r="S64" s="6"/>
      <c r="T64" s="6"/>
      <c r="U64" s="6"/>
      <c r="V64" s="6"/>
      <c r="W64" s="6"/>
      <c r="X64" s="6"/>
      <c r="Y64" s="6"/>
      <c r="Z64" s="6"/>
      <c r="AB64" s="78"/>
      <c r="AC64" s="78"/>
      <c r="AD64" s="78"/>
    </row>
    <row r="65" spans="1:30" x14ac:dyDescent="0.3">
      <c r="A65" s="74" t="s">
        <v>132</v>
      </c>
      <c r="B65" s="6"/>
      <c r="C65" s="6"/>
      <c r="D65" s="6"/>
      <c r="E65" s="6"/>
      <c r="F65" s="6"/>
      <c r="G65" s="6"/>
      <c r="H65" s="6"/>
      <c r="I65" s="6"/>
      <c r="J65" s="6"/>
      <c r="K65" s="6"/>
      <c r="L65" s="6"/>
      <c r="M65" s="6"/>
      <c r="N65" s="6"/>
      <c r="O65" s="6"/>
      <c r="P65" s="6"/>
      <c r="Q65" s="6"/>
      <c r="R65" s="6"/>
      <c r="S65" s="6"/>
      <c r="T65" s="6"/>
      <c r="U65" s="6"/>
      <c r="V65" s="6"/>
      <c r="W65" s="6"/>
      <c r="X65" s="6"/>
      <c r="Y65" s="6"/>
      <c r="Z65" s="6"/>
      <c r="AB65" s="108"/>
      <c r="AC65" s="108"/>
      <c r="AD65" s="78"/>
    </row>
    <row r="66" spans="1:30" x14ac:dyDescent="0.3">
      <c r="A66" s="114" t="s">
        <v>174</v>
      </c>
    </row>
    <row r="87" spans="32:32" x14ac:dyDescent="0.3">
      <c r="AF87" s="5" t="s">
        <v>184</v>
      </c>
    </row>
    <row r="88" spans="32:32" x14ac:dyDescent="0.3">
      <c r="AF88" s="5" t="s">
        <v>144</v>
      </c>
    </row>
    <row r="89" spans="32:32" x14ac:dyDescent="0.3">
      <c r="AF89" s="5" t="s">
        <v>112</v>
      </c>
    </row>
    <row r="90" spans="32:32" x14ac:dyDescent="0.3">
      <c r="AF90" s="5" t="s">
        <v>73</v>
      </c>
    </row>
    <row r="91" spans="32:32" x14ac:dyDescent="0.3">
      <c r="AF91" s="5" t="s">
        <v>74</v>
      </c>
    </row>
  </sheetData>
  <dataValidations count="1">
    <dataValidation type="list" allowBlank="1" showInputMessage="1" showErrorMessage="1" sqref="A3" xr:uid="{00000000-0002-0000-0300-000000000000}">
      <formula1>$AF$87:$AF$91</formula1>
    </dataValidation>
  </dataValidations>
  <hyperlinks>
    <hyperlink ref="A62" r:id="rId1" xr:uid="{00000000-0004-0000-0300-000000000000}"/>
    <hyperlink ref="A65" r:id="rId2" xr:uid="{00000000-0004-0000-0300-000001000000}"/>
    <hyperlink ref="AB65:AD65" r:id="rId3" display="Next Update: Autumn 2020" xr:uid="{4B8F5927-9F9F-4507-AB13-85867BBC1DC6}"/>
  </hyperlinks>
  <pageMargins left="0.7" right="0.7" top="0.75" bottom="0.75" header="0.3" footer="0.3"/>
  <pageSetup paperSize="9" orientation="portrait" r:id="rId4"/>
  <ignoredErrors>
    <ignoredError sqref="L47:M47 AA47:AB4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05BE3-A889-4692-9911-FD789CD2A27D}">
  <sheetPr codeName="Sheet9"/>
  <dimension ref="B1:H23"/>
  <sheetViews>
    <sheetView workbookViewId="0">
      <selection activeCell="B1" sqref="B1"/>
    </sheetView>
  </sheetViews>
  <sheetFormatPr defaultRowHeight="14.4" x14ac:dyDescent="0.3"/>
  <cols>
    <col min="2" max="2" width="56.77734375" customWidth="1"/>
    <col min="5" max="5" width="1.77734375" hidden="1" customWidth="1"/>
    <col min="6" max="6" width="8.21875" hidden="1" customWidth="1"/>
    <col min="7" max="7" width="3.5546875" hidden="1" customWidth="1"/>
  </cols>
  <sheetData>
    <row r="1" spans="2:8" x14ac:dyDescent="0.3">
      <c r="B1" t="s">
        <v>133</v>
      </c>
      <c r="G1" t="s">
        <v>113</v>
      </c>
    </row>
    <row r="2" spans="2:8" x14ac:dyDescent="0.3">
      <c r="G2" t="s">
        <v>114</v>
      </c>
      <c r="H2" s="69"/>
    </row>
    <row r="3" spans="2:8" x14ac:dyDescent="0.3">
      <c r="B3" s="70" t="s">
        <v>115</v>
      </c>
      <c r="C3" s="70" t="s">
        <v>116</v>
      </c>
      <c r="D3" s="70" t="s">
        <v>117</v>
      </c>
      <c r="E3" s="70"/>
      <c r="F3" t="s">
        <v>146</v>
      </c>
      <c r="G3" s="70"/>
      <c r="H3" s="70" t="s">
        <v>118</v>
      </c>
    </row>
    <row r="4" spans="2:8" ht="73.5" customHeight="1" x14ac:dyDescent="0.3">
      <c r="B4" s="71" t="s">
        <v>131</v>
      </c>
      <c r="C4" t="s">
        <v>120</v>
      </c>
      <c r="D4" t="s">
        <v>151</v>
      </c>
      <c r="E4">
        <f>IF(D4="No",0,1)</f>
        <v>0</v>
      </c>
      <c r="F4" t="s">
        <v>120</v>
      </c>
      <c r="H4" t="s">
        <v>156</v>
      </c>
    </row>
    <row r="5" spans="2:8" x14ac:dyDescent="0.3">
      <c r="B5" t="s">
        <v>121</v>
      </c>
      <c r="C5" t="s">
        <v>120</v>
      </c>
      <c r="D5" t="s">
        <v>151</v>
      </c>
      <c r="E5">
        <f t="shared" ref="E5:E21" si="0">IF(D5="No",0,1)</f>
        <v>0</v>
      </c>
      <c r="F5" t="s">
        <v>147</v>
      </c>
    </row>
    <row r="6" spans="2:8" x14ac:dyDescent="0.3">
      <c r="B6" t="s">
        <v>122</v>
      </c>
      <c r="C6" t="s">
        <v>120</v>
      </c>
      <c r="D6" t="s">
        <v>151</v>
      </c>
      <c r="E6">
        <f t="shared" si="0"/>
        <v>0</v>
      </c>
      <c r="F6" t="s">
        <v>119</v>
      </c>
    </row>
    <row r="7" spans="2:8" x14ac:dyDescent="0.3">
      <c r="B7" t="s">
        <v>140</v>
      </c>
      <c r="C7" t="s">
        <v>120</v>
      </c>
      <c r="D7" t="s">
        <v>151</v>
      </c>
      <c r="E7">
        <f t="shared" si="0"/>
        <v>0</v>
      </c>
      <c r="F7" t="s">
        <v>148</v>
      </c>
    </row>
    <row r="8" spans="2:8" x14ac:dyDescent="0.3">
      <c r="B8" t="s">
        <v>134</v>
      </c>
      <c r="C8" t="s">
        <v>120</v>
      </c>
      <c r="D8" t="s">
        <v>151</v>
      </c>
      <c r="E8">
        <f t="shared" si="0"/>
        <v>0</v>
      </c>
      <c r="F8" t="s">
        <v>149</v>
      </c>
    </row>
    <row r="9" spans="2:8" x14ac:dyDescent="0.3">
      <c r="B9" t="s">
        <v>135</v>
      </c>
      <c r="C9" t="s">
        <v>120</v>
      </c>
      <c r="D9" t="s">
        <v>151</v>
      </c>
      <c r="E9">
        <f t="shared" si="0"/>
        <v>0</v>
      </c>
      <c r="F9" t="s">
        <v>150</v>
      </c>
    </row>
    <row r="10" spans="2:8" x14ac:dyDescent="0.3">
      <c r="B10" t="s">
        <v>136</v>
      </c>
      <c r="C10" t="s">
        <v>120</v>
      </c>
      <c r="D10" t="s">
        <v>151</v>
      </c>
      <c r="E10">
        <f t="shared" si="0"/>
        <v>0</v>
      </c>
      <c r="F10" t="s">
        <v>124</v>
      </c>
    </row>
    <row r="11" spans="2:8" x14ac:dyDescent="0.3">
      <c r="B11" t="s">
        <v>137</v>
      </c>
      <c r="C11" t="s">
        <v>120</v>
      </c>
      <c r="D11" t="s">
        <v>151</v>
      </c>
      <c r="E11">
        <f t="shared" si="0"/>
        <v>0</v>
      </c>
    </row>
    <row r="12" spans="2:8" x14ac:dyDescent="0.3">
      <c r="B12" t="s">
        <v>138</v>
      </c>
      <c r="C12" t="s">
        <v>120</v>
      </c>
      <c r="D12" t="s">
        <v>151</v>
      </c>
      <c r="E12">
        <f t="shared" si="0"/>
        <v>0</v>
      </c>
    </row>
    <row r="13" spans="2:8" x14ac:dyDescent="0.3">
      <c r="B13" t="s">
        <v>154</v>
      </c>
      <c r="C13" t="s">
        <v>120</v>
      </c>
      <c r="D13" t="s">
        <v>151</v>
      </c>
      <c r="E13">
        <f t="shared" si="0"/>
        <v>0</v>
      </c>
    </row>
    <row r="14" spans="2:8" x14ac:dyDescent="0.3">
      <c r="B14" t="s">
        <v>123</v>
      </c>
      <c r="C14" t="s">
        <v>120</v>
      </c>
      <c r="D14" t="s">
        <v>151</v>
      </c>
      <c r="E14">
        <f t="shared" si="0"/>
        <v>0</v>
      </c>
    </row>
    <row r="15" spans="2:8" x14ac:dyDescent="0.3">
      <c r="B15" t="s">
        <v>125</v>
      </c>
      <c r="C15" t="s">
        <v>120</v>
      </c>
      <c r="D15" t="s">
        <v>151</v>
      </c>
      <c r="E15">
        <f t="shared" si="0"/>
        <v>0</v>
      </c>
    </row>
    <row r="16" spans="2:8" x14ac:dyDescent="0.3">
      <c r="B16" t="s">
        <v>126</v>
      </c>
      <c r="C16" t="s">
        <v>120</v>
      </c>
      <c r="D16" t="s">
        <v>152</v>
      </c>
      <c r="E16">
        <f t="shared" si="0"/>
        <v>1</v>
      </c>
      <c r="H16" t="s">
        <v>155</v>
      </c>
    </row>
    <row r="17" spans="2:5" x14ac:dyDescent="0.3">
      <c r="B17" t="s">
        <v>127</v>
      </c>
      <c r="C17" t="s">
        <v>120</v>
      </c>
      <c r="D17" t="s">
        <v>151</v>
      </c>
      <c r="E17">
        <f t="shared" si="0"/>
        <v>0</v>
      </c>
    </row>
    <row r="18" spans="2:5" x14ac:dyDescent="0.3">
      <c r="B18" t="s">
        <v>128</v>
      </c>
      <c r="C18" t="s">
        <v>120</v>
      </c>
      <c r="D18" t="s">
        <v>151</v>
      </c>
      <c r="E18">
        <f t="shared" si="0"/>
        <v>0</v>
      </c>
    </row>
    <row r="19" spans="2:5" x14ac:dyDescent="0.3">
      <c r="B19" t="s">
        <v>129</v>
      </c>
      <c r="C19" t="s">
        <v>120</v>
      </c>
      <c r="D19" t="s">
        <v>151</v>
      </c>
      <c r="E19">
        <f t="shared" si="0"/>
        <v>0</v>
      </c>
    </row>
    <row r="20" spans="2:5" x14ac:dyDescent="0.3">
      <c r="B20" t="s">
        <v>139</v>
      </c>
      <c r="C20" t="s">
        <v>120</v>
      </c>
      <c r="D20" t="s">
        <v>151</v>
      </c>
      <c r="E20">
        <f t="shared" si="0"/>
        <v>0</v>
      </c>
    </row>
    <row r="21" spans="2:5" x14ac:dyDescent="0.3">
      <c r="B21" t="s">
        <v>171</v>
      </c>
      <c r="C21" t="s">
        <v>120</v>
      </c>
      <c r="D21" t="s">
        <v>151</v>
      </c>
      <c r="E21">
        <f t="shared" si="0"/>
        <v>0</v>
      </c>
    </row>
    <row r="23" spans="2:5" x14ac:dyDescent="0.3">
      <c r="B23" t="s">
        <v>130</v>
      </c>
      <c r="C23" s="72">
        <f>SUM(E4:G21)</f>
        <v>1</v>
      </c>
    </row>
  </sheetData>
  <conditionalFormatting sqref="D4:D6 D13:D17">
    <cfRule type="containsText" dxfId="16" priority="18" operator="containsText" text="Yes">
      <formula>NOT(ISERROR(SEARCH("Yes",D4)))</formula>
    </cfRule>
    <cfRule type="containsText" dxfId="15" priority="19" operator="containsText" text="No">
      <formula>NOT(ISERROR(SEARCH("No",D4)))</formula>
    </cfRule>
  </conditionalFormatting>
  <conditionalFormatting sqref="C4:C6 C13:C22">
    <cfRule type="notContainsBlanks" dxfId="14" priority="20">
      <formula>LEN(TRIM(C4))&gt;0</formula>
    </cfRule>
  </conditionalFormatting>
  <conditionalFormatting sqref="C23">
    <cfRule type="cellIs" dxfId="13" priority="16" operator="greaterThan">
      <formula>0</formula>
    </cfRule>
    <cfRule type="cellIs" dxfId="12" priority="17" operator="lessThan">
      <formula>1</formula>
    </cfRule>
  </conditionalFormatting>
  <conditionalFormatting sqref="D7">
    <cfRule type="containsText" dxfId="11" priority="10" operator="containsText" text="Yes">
      <formula>NOT(ISERROR(SEARCH("Yes",D7)))</formula>
    </cfRule>
    <cfRule type="containsText" dxfId="10" priority="11" operator="containsText" text="No">
      <formula>NOT(ISERROR(SEARCH("No",D7)))</formula>
    </cfRule>
  </conditionalFormatting>
  <conditionalFormatting sqref="C7">
    <cfRule type="notContainsBlanks" dxfId="9" priority="12">
      <formula>LEN(TRIM(C7))&gt;0</formula>
    </cfRule>
  </conditionalFormatting>
  <conditionalFormatting sqref="D18">
    <cfRule type="containsText" dxfId="8" priority="8" operator="containsText" text="Yes">
      <formula>NOT(ISERROR(SEARCH("Yes",D18)))</formula>
    </cfRule>
    <cfRule type="containsText" dxfId="7" priority="9" operator="containsText" text="No">
      <formula>NOT(ISERROR(SEARCH("No",D18)))</formula>
    </cfRule>
  </conditionalFormatting>
  <conditionalFormatting sqref="D8:D12">
    <cfRule type="containsText" dxfId="6" priority="5" operator="containsText" text="Yes">
      <formula>NOT(ISERROR(SEARCH("Yes",D8)))</formula>
    </cfRule>
    <cfRule type="containsText" dxfId="5" priority="6" operator="containsText" text="No">
      <formula>NOT(ISERROR(SEARCH("No",D8)))</formula>
    </cfRule>
  </conditionalFormatting>
  <conditionalFormatting sqref="C8:C12">
    <cfRule type="notContainsBlanks" dxfId="4" priority="7">
      <formula>LEN(TRIM(C8))&gt;0</formula>
    </cfRule>
  </conditionalFormatting>
  <conditionalFormatting sqref="D19:D20">
    <cfRule type="containsText" dxfId="3" priority="3" operator="containsText" text="Yes">
      <formula>NOT(ISERROR(SEARCH("Yes",D19)))</formula>
    </cfRule>
    <cfRule type="containsText" dxfId="2" priority="4" operator="containsText" text="No">
      <formula>NOT(ISERROR(SEARCH("No",D19)))</formula>
    </cfRule>
  </conditionalFormatting>
  <conditionalFormatting sqref="D21:D22">
    <cfRule type="containsText" dxfId="1" priority="1" operator="containsText" text="Yes">
      <formula>NOT(ISERROR(SEARCH("Yes",D21)))</formula>
    </cfRule>
    <cfRule type="containsText" dxfId="0" priority="2" operator="containsText" text="No">
      <formula>NOT(ISERROR(SEARCH("No",D21)))</formula>
    </cfRule>
  </conditionalFormatting>
  <dataValidations count="2">
    <dataValidation type="list" allowBlank="1" showInputMessage="1" showErrorMessage="1" sqref="C4:C20" xr:uid="{8412C1B9-4103-4B87-B9EE-F131D774BF1E}">
      <formula1>$F$3:$F$10</formula1>
    </dataValidation>
    <dataValidation type="list" allowBlank="1" showInputMessage="1" showErrorMessage="1" sqref="D4:D22" xr:uid="{7F1E9860-668E-4D71-9BC2-6D29AF613012}">
      <formula1>$G$1:$G$2</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E6C24-56F5-4802-B4F1-6E0D425FB799}">
  <sheetPr codeName="Sheet6"/>
  <dimension ref="B2:R74"/>
  <sheetViews>
    <sheetView workbookViewId="0">
      <selection activeCell="L17" sqref="L17"/>
    </sheetView>
  </sheetViews>
  <sheetFormatPr defaultColWidth="8.77734375" defaultRowHeight="12.6" x14ac:dyDescent="0.25"/>
  <cols>
    <col min="1" max="15" width="8.77734375" style="42"/>
    <col min="16" max="16" width="13.5546875" style="42" bestFit="1" customWidth="1"/>
    <col min="17" max="16384" width="8.77734375" style="42"/>
  </cols>
  <sheetData>
    <row r="2" spans="2:18" x14ac:dyDescent="0.25">
      <c r="B2" s="43" t="s">
        <v>78</v>
      </c>
      <c r="C2" s="42" t="s">
        <v>79</v>
      </c>
    </row>
    <row r="3" spans="2:18" ht="14.4" x14ac:dyDescent="0.3">
      <c r="B3" s="44" t="s">
        <v>80</v>
      </c>
      <c r="C3" s="42" t="s">
        <v>81</v>
      </c>
    </row>
    <row r="4" spans="2:18" ht="14.4" x14ac:dyDescent="0.3">
      <c r="B4" s="44"/>
    </row>
    <row r="6" spans="2:18" ht="14.4" x14ac:dyDescent="0.3">
      <c r="B6" s="45" t="s">
        <v>82</v>
      </c>
      <c r="D6" s="45" t="s">
        <v>76</v>
      </c>
      <c r="F6" s="45" t="s">
        <v>83</v>
      </c>
      <c r="H6" s="46">
        <f>MAX(H8:H53)</f>
        <v>46</v>
      </c>
      <c r="I6" s="45" t="s">
        <v>84</v>
      </c>
      <c r="K6" s="45" t="s">
        <v>85</v>
      </c>
      <c r="M6" s="47"/>
      <c r="N6" s="48"/>
      <c r="O6" s="49"/>
      <c r="P6" s="48"/>
      <c r="Q6" s="48"/>
      <c r="R6" s="48"/>
    </row>
    <row r="7" spans="2:18" ht="14.4" x14ac:dyDescent="0.3">
      <c r="B7" s="50" t="s">
        <v>142</v>
      </c>
      <c r="D7" s="51" t="s">
        <v>143</v>
      </c>
      <c r="F7" s="51" t="s">
        <v>86</v>
      </c>
      <c r="H7" s="46">
        <v>47</v>
      </c>
      <c r="I7" s="43" t="e">
        <f>VLOOKUP(H7,H8:I53,2,FALSE)</f>
        <v>#N/A</v>
      </c>
      <c r="K7" s="51" t="str">
        <f>CONCATENATE("_",D7,".xlsx")</f>
        <v>_2019_20.xlsx</v>
      </c>
      <c r="M7" s="52"/>
      <c r="N7" s="48"/>
      <c r="O7" s="49"/>
      <c r="P7" s="48"/>
      <c r="Q7" s="48"/>
      <c r="R7" s="48"/>
    </row>
    <row r="8" spans="2:18" ht="14.4" x14ac:dyDescent="0.3">
      <c r="D8" s="53" t="str">
        <f>CONCATENATE(LEFT(D7,4),"-",RIGHT(D7,2))</f>
        <v>2019-20</v>
      </c>
      <c r="H8" s="42">
        <v>1</v>
      </c>
      <c r="I8" s="54" t="s">
        <v>12</v>
      </c>
      <c r="M8" s="55"/>
      <c r="N8" s="48"/>
      <c r="O8" s="48"/>
      <c r="P8" s="55"/>
      <c r="Q8" s="48"/>
      <c r="R8" s="48"/>
    </row>
    <row r="9" spans="2:18" ht="14.4" x14ac:dyDescent="0.3">
      <c r="D9" s="43" t="str">
        <f>CONCATENATE(LEFT(D7,2),RIGHT(D7,2))</f>
        <v>2020</v>
      </c>
      <c r="H9" s="42">
        <v>2</v>
      </c>
      <c r="I9" s="54" t="s">
        <v>13</v>
      </c>
      <c r="M9" s="55"/>
      <c r="N9" s="48"/>
      <c r="O9" s="48"/>
      <c r="P9" s="56"/>
      <c r="Q9" s="48"/>
      <c r="R9" s="48"/>
    </row>
    <row r="10" spans="2:18" ht="14.4" x14ac:dyDescent="0.3">
      <c r="H10" s="42">
        <v>3</v>
      </c>
      <c r="I10" s="54" t="s">
        <v>14</v>
      </c>
      <c r="M10" s="56"/>
      <c r="N10" s="48"/>
      <c r="O10" s="48"/>
      <c r="P10" s="56"/>
      <c r="Q10" s="48"/>
      <c r="R10" s="48"/>
    </row>
    <row r="11" spans="2:18" ht="14.4" x14ac:dyDescent="0.3">
      <c r="H11" s="42">
        <v>4</v>
      </c>
      <c r="I11" s="54" t="s">
        <v>15</v>
      </c>
      <c r="M11" s="56"/>
      <c r="N11" s="48"/>
      <c r="O11" s="48"/>
      <c r="P11" s="56"/>
      <c r="Q11" s="48"/>
      <c r="R11" s="48"/>
    </row>
    <row r="12" spans="2:18" ht="14.4" x14ac:dyDescent="0.3">
      <c r="H12" s="42">
        <v>5</v>
      </c>
      <c r="I12" s="54" t="s">
        <v>16</v>
      </c>
      <c r="M12" s="57"/>
      <c r="P12" s="57"/>
      <c r="R12" s="57"/>
    </row>
    <row r="13" spans="2:18" ht="14.4" x14ac:dyDescent="0.3">
      <c r="H13" s="42">
        <v>6</v>
      </c>
      <c r="I13" s="54" t="s">
        <v>17</v>
      </c>
      <c r="M13" s="58" t="s">
        <v>90</v>
      </c>
      <c r="O13" s="46">
        <f>MAX(O15:O19)</f>
        <v>4</v>
      </c>
      <c r="P13" s="45" t="s">
        <v>91</v>
      </c>
      <c r="Q13" s="45" t="s">
        <v>92</v>
      </c>
      <c r="R13" s="45" t="s">
        <v>93</v>
      </c>
    </row>
    <row r="14" spans="2:18" ht="14.4" x14ac:dyDescent="0.3">
      <c r="H14" s="42">
        <v>7</v>
      </c>
      <c r="I14" s="54" t="s">
        <v>18</v>
      </c>
      <c r="M14" s="59" t="s">
        <v>95</v>
      </c>
      <c r="O14" s="46">
        <v>5</v>
      </c>
      <c r="P14" s="43" t="e">
        <f>VLOOKUP(O14,O15:P19,2,FALSE)</f>
        <v>#N/A</v>
      </c>
      <c r="Q14" s="43" t="e">
        <f>VLOOKUP(P14,P15:Q19,2,FALSE)</f>
        <v>#N/A</v>
      </c>
      <c r="R14" s="43" t="e">
        <f>VLOOKUP(Q14,Q15:R19,2,FALSE)</f>
        <v>#N/A</v>
      </c>
    </row>
    <row r="15" spans="2:18" ht="14.4" x14ac:dyDescent="0.3">
      <c r="H15" s="42">
        <v>8</v>
      </c>
      <c r="I15" s="54" t="s">
        <v>19</v>
      </c>
      <c r="M15" s="55"/>
      <c r="O15" s="42">
        <v>1</v>
      </c>
      <c r="P15" s="44" t="s">
        <v>104</v>
      </c>
      <c r="Q15" s="42" t="s">
        <v>94</v>
      </c>
      <c r="R15" s="48" t="s">
        <v>7</v>
      </c>
    </row>
    <row r="16" spans="2:18" ht="14.4" x14ac:dyDescent="0.3">
      <c r="H16" s="42">
        <v>9</v>
      </c>
      <c r="I16" s="54" t="s">
        <v>20</v>
      </c>
      <c r="M16" s="55"/>
      <c r="O16" s="42">
        <v>2</v>
      </c>
      <c r="P16" s="44" t="s">
        <v>105</v>
      </c>
      <c r="Q16" s="42" t="s">
        <v>87</v>
      </c>
      <c r="R16" s="48" t="s">
        <v>7</v>
      </c>
    </row>
    <row r="17" spans="8:18" ht="14.4" x14ac:dyDescent="0.3">
      <c r="H17" s="42">
        <v>10</v>
      </c>
      <c r="I17" s="54" t="s">
        <v>21</v>
      </c>
      <c r="M17" s="55"/>
      <c r="O17" s="42">
        <v>3</v>
      </c>
      <c r="P17" s="44" t="s">
        <v>106</v>
      </c>
      <c r="Q17" s="42" t="s">
        <v>89</v>
      </c>
      <c r="R17" s="48" t="s">
        <v>7</v>
      </c>
    </row>
    <row r="18" spans="8:18" ht="14.4" x14ac:dyDescent="0.3">
      <c r="H18" s="42">
        <v>11</v>
      </c>
      <c r="I18" s="54" t="s">
        <v>22</v>
      </c>
      <c r="M18" s="55"/>
      <c r="O18" s="42">
        <v>4</v>
      </c>
      <c r="P18" s="44" t="s">
        <v>107</v>
      </c>
      <c r="Q18" s="42" t="s">
        <v>88</v>
      </c>
      <c r="R18" s="48" t="s">
        <v>7</v>
      </c>
    </row>
    <row r="19" spans="8:18" ht="14.4" x14ac:dyDescent="0.3">
      <c r="H19" s="42">
        <v>12</v>
      </c>
      <c r="I19" s="54" t="s">
        <v>24</v>
      </c>
      <c r="M19" s="55"/>
      <c r="P19" s="44"/>
      <c r="R19" s="48"/>
    </row>
    <row r="20" spans="8:18" ht="14.4" x14ac:dyDescent="0.3">
      <c r="H20" s="42">
        <v>13</v>
      </c>
      <c r="I20" s="54" t="s">
        <v>25</v>
      </c>
      <c r="M20" s="55"/>
      <c r="P20" s="44"/>
      <c r="R20" s="48"/>
    </row>
    <row r="21" spans="8:18" ht="14.4" x14ac:dyDescent="0.3">
      <c r="H21" s="42">
        <v>14</v>
      </c>
      <c r="I21" s="54" t="s">
        <v>26</v>
      </c>
      <c r="M21" s="55"/>
      <c r="P21" s="44"/>
      <c r="R21" s="48"/>
    </row>
    <row r="22" spans="8:18" ht="14.4" x14ac:dyDescent="0.3">
      <c r="H22" s="42">
        <v>15</v>
      </c>
      <c r="I22" s="54" t="s">
        <v>27</v>
      </c>
      <c r="M22" s="55"/>
      <c r="P22" s="44"/>
      <c r="R22" s="48"/>
    </row>
    <row r="23" spans="8:18" ht="14.4" x14ac:dyDescent="0.3">
      <c r="H23" s="42">
        <v>16</v>
      </c>
      <c r="I23" s="54" t="s">
        <v>58</v>
      </c>
      <c r="M23" s="55"/>
      <c r="P23" s="44"/>
      <c r="R23" s="48"/>
    </row>
    <row r="24" spans="8:18" ht="14.4" x14ac:dyDescent="0.3">
      <c r="H24" s="42">
        <v>17</v>
      </c>
      <c r="I24" s="54" t="s">
        <v>52</v>
      </c>
      <c r="M24" s="58" t="s">
        <v>90</v>
      </c>
      <c r="O24" s="46">
        <f>MAX(O26:O30)</f>
        <v>4</v>
      </c>
      <c r="P24" s="45" t="s">
        <v>96</v>
      </c>
      <c r="Q24" s="45" t="s">
        <v>97</v>
      </c>
      <c r="R24" s="45" t="s">
        <v>98</v>
      </c>
    </row>
    <row r="25" spans="8:18" ht="14.4" x14ac:dyDescent="0.3">
      <c r="H25" s="42">
        <v>18</v>
      </c>
      <c r="I25" s="54" t="s">
        <v>28</v>
      </c>
      <c r="M25" s="59" t="s">
        <v>95</v>
      </c>
      <c r="O25" s="46">
        <v>5</v>
      </c>
      <c r="P25" s="43" t="e">
        <f>VLOOKUP(O25,O26:P30,2,FALSE)</f>
        <v>#N/A</v>
      </c>
      <c r="Q25" s="43" t="e">
        <f>VLOOKUP(P25,P26:Q30,2,FALSE)</f>
        <v>#N/A</v>
      </c>
      <c r="R25" s="43" t="e">
        <f>VLOOKUP(Q25,Q26:R30,2,FALSE)</f>
        <v>#N/A</v>
      </c>
    </row>
    <row r="26" spans="8:18" ht="14.4" x14ac:dyDescent="0.3">
      <c r="H26" s="42">
        <v>19</v>
      </c>
      <c r="I26" s="54" t="s">
        <v>29</v>
      </c>
      <c r="M26" s="55"/>
      <c r="O26" s="42">
        <v>1</v>
      </c>
      <c r="P26" s="44" t="s">
        <v>108</v>
      </c>
      <c r="Q26" s="42" t="s">
        <v>94</v>
      </c>
      <c r="R26" s="48" t="s">
        <v>8</v>
      </c>
    </row>
    <row r="27" spans="8:18" ht="14.4" x14ac:dyDescent="0.3">
      <c r="H27" s="42">
        <v>20</v>
      </c>
      <c r="I27" s="54" t="s">
        <v>30</v>
      </c>
      <c r="M27" s="55"/>
      <c r="O27" s="42">
        <v>2</v>
      </c>
      <c r="P27" s="44" t="s">
        <v>109</v>
      </c>
      <c r="Q27" s="42" t="s">
        <v>87</v>
      </c>
      <c r="R27" s="48" t="s">
        <v>8</v>
      </c>
    </row>
    <row r="28" spans="8:18" ht="14.4" x14ac:dyDescent="0.3">
      <c r="H28" s="42">
        <v>21</v>
      </c>
      <c r="I28" s="54" t="s">
        <v>31</v>
      </c>
      <c r="M28" s="55"/>
      <c r="O28" s="42">
        <v>3</v>
      </c>
      <c r="P28" s="44" t="s">
        <v>110</v>
      </c>
      <c r="Q28" s="42" t="s">
        <v>89</v>
      </c>
      <c r="R28" s="48" t="s">
        <v>8</v>
      </c>
    </row>
    <row r="29" spans="8:18" ht="14.4" x14ac:dyDescent="0.3">
      <c r="H29" s="42">
        <v>22</v>
      </c>
      <c r="I29" s="54" t="s">
        <v>32</v>
      </c>
      <c r="M29" s="55"/>
      <c r="O29" s="42">
        <v>4</v>
      </c>
      <c r="P29" s="44" t="s">
        <v>111</v>
      </c>
      <c r="Q29" s="42" t="s">
        <v>88</v>
      </c>
      <c r="R29" s="48" t="s">
        <v>8</v>
      </c>
    </row>
    <row r="30" spans="8:18" ht="14.4" x14ac:dyDescent="0.3">
      <c r="H30" s="42">
        <v>23</v>
      </c>
      <c r="I30" s="54" t="s">
        <v>50</v>
      </c>
      <c r="M30" s="55"/>
      <c r="P30" s="44"/>
      <c r="R30" s="48"/>
    </row>
    <row r="31" spans="8:18" ht="14.4" x14ac:dyDescent="0.3">
      <c r="H31" s="42">
        <v>24</v>
      </c>
      <c r="I31" s="54" t="s">
        <v>33</v>
      </c>
      <c r="M31" s="55"/>
      <c r="P31" s="44"/>
      <c r="R31" s="48"/>
    </row>
    <row r="32" spans="8:18" ht="14.4" x14ac:dyDescent="0.3">
      <c r="H32" s="42">
        <v>25</v>
      </c>
      <c r="I32" s="54" t="s">
        <v>34</v>
      </c>
      <c r="M32" s="55"/>
      <c r="P32" s="44"/>
      <c r="R32" s="48"/>
    </row>
    <row r="33" spans="8:18" ht="14.4" x14ac:dyDescent="0.3">
      <c r="H33" s="42">
        <v>26</v>
      </c>
      <c r="I33" s="54" t="s">
        <v>35</v>
      </c>
      <c r="M33" s="55"/>
      <c r="P33" s="44"/>
      <c r="R33" s="48"/>
    </row>
    <row r="34" spans="8:18" ht="14.4" x14ac:dyDescent="0.3">
      <c r="H34" s="42">
        <v>27</v>
      </c>
      <c r="I34" s="54" t="s">
        <v>36</v>
      </c>
      <c r="M34" s="57"/>
      <c r="P34" s="57"/>
      <c r="R34" s="48"/>
    </row>
    <row r="35" spans="8:18" ht="14.4" x14ac:dyDescent="0.3">
      <c r="H35" s="42">
        <v>28</v>
      </c>
      <c r="I35" s="54" t="s">
        <v>53</v>
      </c>
      <c r="M35" s="55"/>
      <c r="N35" s="55"/>
      <c r="O35" s="55"/>
      <c r="P35" s="55"/>
      <c r="Q35" s="55"/>
      <c r="R35" s="55"/>
    </row>
    <row r="36" spans="8:18" ht="14.4" x14ac:dyDescent="0.3">
      <c r="H36" s="42">
        <v>29</v>
      </c>
      <c r="I36" s="54" t="s">
        <v>37</v>
      </c>
      <c r="M36" s="55"/>
      <c r="N36" s="55"/>
      <c r="O36" s="55"/>
      <c r="P36" s="55"/>
      <c r="Q36" s="55"/>
      <c r="R36" s="55"/>
    </row>
    <row r="37" spans="8:18" ht="14.4" x14ac:dyDescent="0.3">
      <c r="H37" s="42">
        <v>30</v>
      </c>
      <c r="I37" s="54" t="s">
        <v>39</v>
      </c>
      <c r="M37" s="55"/>
      <c r="N37" s="55"/>
      <c r="O37" s="55"/>
      <c r="P37" s="55"/>
      <c r="Q37" s="55"/>
      <c r="R37" s="55"/>
    </row>
    <row r="38" spans="8:18" ht="14.4" x14ac:dyDescent="0.3">
      <c r="H38" s="42">
        <v>31</v>
      </c>
      <c r="I38" s="54" t="s">
        <v>40</v>
      </c>
      <c r="M38" s="55"/>
      <c r="N38" s="55"/>
      <c r="O38" s="55"/>
      <c r="P38" s="55"/>
      <c r="Q38" s="55"/>
      <c r="R38" s="55"/>
    </row>
    <row r="39" spans="8:18" ht="14.4" x14ac:dyDescent="0.3">
      <c r="H39" s="42">
        <v>32</v>
      </c>
      <c r="I39" s="54" t="s">
        <v>41</v>
      </c>
      <c r="M39" s="55"/>
      <c r="N39" s="55"/>
      <c r="O39" s="55"/>
      <c r="P39" s="55"/>
      <c r="Q39" s="55"/>
      <c r="R39" s="55"/>
    </row>
    <row r="40" spans="8:18" ht="14.4" x14ac:dyDescent="0.3">
      <c r="H40" s="42">
        <v>33</v>
      </c>
      <c r="I40" s="54" t="s">
        <v>42</v>
      </c>
      <c r="M40" s="55"/>
      <c r="N40" s="55"/>
      <c r="O40" s="55"/>
      <c r="P40" s="55"/>
      <c r="Q40" s="55"/>
      <c r="R40" s="55"/>
    </row>
    <row r="41" spans="8:18" ht="14.4" x14ac:dyDescent="0.3">
      <c r="H41" s="42">
        <v>34</v>
      </c>
      <c r="I41" s="54" t="s">
        <v>43</v>
      </c>
      <c r="M41" s="55"/>
      <c r="N41" s="55"/>
      <c r="O41" s="55"/>
      <c r="P41" s="55"/>
      <c r="Q41" s="55"/>
      <c r="R41" s="55"/>
    </row>
    <row r="42" spans="8:18" ht="14.4" x14ac:dyDescent="0.3">
      <c r="H42" s="42">
        <v>35</v>
      </c>
      <c r="I42" s="54" t="s">
        <v>44</v>
      </c>
      <c r="M42" s="55"/>
      <c r="N42" s="55"/>
      <c r="O42" s="55"/>
      <c r="P42" s="55"/>
      <c r="Q42" s="55"/>
      <c r="R42" s="55"/>
    </row>
    <row r="43" spans="8:18" ht="14.4" x14ac:dyDescent="0.3">
      <c r="H43" s="42">
        <v>36</v>
      </c>
      <c r="I43" s="54" t="s">
        <v>54</v>
      </c>
      <c r="M43" s="55"/>
      <c r="N43" s="55"/>
      <c r="O43" s="55"/>
      <c r="P43" s="55"/>
      <c r="Q43" s="55"/>
      <c r="R43" s="55"/>
    </row>
    <row r="44" spans="8:18" ht="14.4" x14ac:dyDescent="0.3">
      <c r="H44" s="42">
        <v>37</v>
      </c>
      <c r="I44" s="54" t="s">
        <v>45</v>
      </c>
      <c r="M44" s="55"/>
      <c r="N44" s="55"/>
      <c r="O44" s="55"/>
      <c r="P44" s="55"/>
      <c r="Q44" s="55"/>
      <c r="R44" s="55"/>
    </row>
    <row r="45" spans="8:18" ht="14.4" x14ac:dyDescent="0.3">
      <c r="H45" s="42">
        <v>38</v>
      </c>
      <c r="I45" s="54" t="s">
        <v>46</v>
      </c>
      <c r="M45" s="55"/>
      <c r="N45" s="55"/>
      <c r="O45" s="55"/>
      <c r="P45" s="55"/>
      <c r="Q45" s="55"/>
      <c r="R45" s="55"/>
    </row>
    <row r="46" spans="8:18" ht="14.4" x14ac:dyDescent="0.3">
      <c r="H46" s="42">
        <v>39</v>
      </c>
      <c r="I46" s="54" t="s">
        <v>47</v>
      </c>
      <c r="M46" s="55"/>
      <c r="N46" s="55"/>
      <c r="O46" s="55"/>
      <c r="P46" s="55"/>
      <c r="Q46" s="55"/>
      <c r="R46" s="55"/>
    </row>
    <row r="47" spans="8:18" ht="14.4" x14ac:dyDescent="0.3">
      <c r="H47" s="42">
        <v>40</v>
      </c>
      <c r="I47" s="54" t="s">
        <v>55</v>
      </c>
      <c r="M47" s="55"/>
      <c r="N47" s="55"/>
      <c r="O47" s="55"/>
      <c r="P47" s="55"/>
      <c r="Q47" s="55"/>
      <c r="R47" s="55"/>
    </row>
    <row r="48" spans="8:18" ht="14.4" x14ac:dyDescent="0.3">
      <c r="H48" s="42">
        <v>41</v>
      </c>
      <c r="I48" s="54" t="s">
        <v>48</v>
      </c>
      <c r="M48" s="55"/>
      <c r="N48" s="55"/>
      <c r="O48" s="55"/>
      <c r="P48" s="55"/>
      <c r="Q48" s="55"/>
      <c r="R48" s="55"/>
    </row>
    <row r="49" spans="8:18" ht="14.4" x14ac:dyDescent="0.3">
      <c r="H49" s="42">
        <v>42</v>
      </c>
      <c r="I49" s="54" t="s">
        <v>56</v>
      </c>
      <c r="M49" s="55"/>
      <c r="N49" s="55"/>
      <c r="O49" s="55"/>
      <c r="P49" s="55"/>
      <c r="Q49" s="55"/>
      <c r="R49" s="55"/>
    </row>
    <row r="50" spans="8:18" ht="14.4" x14ac:dyDescent="0.3">
      <c r="H50" s="42">
        <v>43</v>
      </c>
      <c r="I50" s="54" t="s">
        <v>49</v>
      </c>
      <c r="M50" s="55"/>
      <c r="N50" s="55"/>
      <c r="O50" s="55"/>
      <c r="P50" s="55"/>
      <c r="Q50" s="55"/>
      <c r="R50" s="55"/>
    </row>
    <row r="51" spans="8:18" ht="14.4" x14ac:dyDescent="0.3">
      <c r="H51" s="42">
        <v>44</v>
      </c>
      <c r="I51" s="54" t="s">
        <v>57</v>
      </c>
      <c r="M51" s="55"/>
      <c r="N51" s="55"/>
      <c r="O51" s="55"/>
      <c r="P51" s="55"/>
      <c r="Q51" s="55"/>
      <c r="R51" s="55"/>
    </row>
    <row r="52" spans="8:18" ht="14.4" x14ac:dyDescent="0.3">
      <c r="H52" s="42">
        <v>45</v>
      </c>
      <c r="I52" s="54" t="s">
        <v>23</v>
      </c>
      <c r="M52" s="57"/>
      <c r="P52" s="44"/>
      <c r="R52" s="48"/>
    </row>
    <row r="53" spans="8:18" ht="14.4" x14ac:dyDescent="0.3">
      <c r="H53" s="42">
        <v>46</v>
      </c>
      <c r="I53" s="54" t="s">
        <v>38</v>
      </c>
      <c r="M53" s="57"/>
      <c r="P53" s="44"/>
      <c r="R53" s="48"/>
    </row>
    <row r="54" spans="8:18" ht="14.4" x14ac:dyDescent="0.3">
      <c r="M54" s="57"/>
      <c r="P54" s="44"/>
      <c r="R54" s="48"/>
    </row>
    <row r="55" spans="8:18" ht="14.4" x14ac:dyDescent="0.3">
      <c r="M55" s="57"/>
      <c r="P55" s="44"/>
      <c r="R55" s="48"/>
    </row>
    <row r="56" spans="8:18" x14ac:dyDescent="0.25">
      <c r="P56" s="60"/>
      <c r="R56" s="48"/>
    </row>
    <row r="57" spans="8:18" ht="14.4" x14ac:dyDescent="0.3">
      <c r="O57" s="44"/>
    </row>
    <row r="58" spans="8:18" ht="14.4" x14ac:dyDescent="0.3">
      <c r="O58" s="44"/>
    </row>
    <row r="59" spans="8:18" ht="14.4" x14ac:dyDescent="0.3">
      <c r="O59" s="44"/>
    </row>
    <row r="60" spans="8:18" ht="14.4" x14ac:dyDescent="0.3">
      <c r="O60" s="44"/>
    </row>
    <row r="61" spans="8:18" ht="14.4" x14ac:dyDescent="0.3">
      <c r="O61" s="44"/>
    </row>
    <row r="74" spans="9:9" ht="14.4" x14ac:dyDescent="0.3">
      <c r="I74" s="54"/>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D3"/>
  <sheetViews>
    <sheetView workbookViewId="0">
      <selection activeCell="E12" sqref="E12"/>
    </sheetView>
  </sheetViews>
  <sheetFormatPr defaultRowHeight="14.4" x14ac:dyDescent="0.3"/>
  <sheetData>
    <row r="2" spans="2:4" x14ac:dyDescent="0.3">
      <c r="B2" s="40">
        <f ca="1">FIRE1120!L6+FIRE1120!M6</f>
        <v>2431</v>
      </c>
      <c r="C2" s="40">
        <v>34962</v>
      </c>
      <c r="D2" s="41">
        <f ca="1">B2/C2</f>
        <v>6.9532635432755563E-2</v>
      </c>
    </row>
    <row r="3" spans="2:4" x14ac:dyDescent="0.3">
      <c r="B3" t="s">
        <v>145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3A677-6ABB-4EF8-9D3D-D914C1B2A6FD}">
  <dimension ref="A1:D25"/>
  <sheetViews>
    <sheetView workbookViewId="0"/>
  </sheetViews>
  <sheetFormatPr defaultColWidth="9.44140625" defaultRowHeight="13.8" x14ac:dyDescent="0.25"/>
  <cols>
    <col min="1" max="1" width="24.5546875" style="104" customWidth="1"/>
    <col min="2" max="2" width="70.21875" style="105" customWidth="1"/>
    <col min="3" max="3" width="25" style="104" customWidth="1"/>
    <col min="4" max="4" width="16.21875" style="104" customWidth="1"/>
    <col min="5" max="5" width="9.44140625" style="104" customWidth="1"/>
    <col min="6" max="16384" width="9.44140625" style="104"/>
  </cols>
  <sheetData>
    <row r="1" spans="1:4" s="91" customFormat="1" ht="15.6" customHeight="1" x14ac:dyDescent="0.25">
      <c r="A1" s="90" t="s">
        <v>167</v>
      </c>
      <c r="C1" s="92"/>
      <c r="D1" s="92"/>
    </row>
    <row r="2" spans="1:4" s="91" customFormat="1" ht="21.6" customHeight="1" x14ac:dyDescent="0.25">
      <c r="A2" s="126" t="s">
        <v>180</v>
      </c>
      <c r="C2" s="92"/>
      <c r="D2" s="92"/>
    </row>
    <row r="3" spans="1:4" s="93" customFormat="1" ht="18" customHeight="1" x14ac:dyDescent="0.2">
      <c r="A3" s="93" t="s">
        <v>161</v>
      </c>
      <c r="C3" s="94"/>
      <c r="D3" s="94"/>
    </row>
    <row r="4" spans="1:4" s="93" customFormat="1" ht="18" customHeight="1" x14ac:dyDescent="0.2">
      <c r="A4" s="95" t="s">
        <v>162</v>
      </c>
      <c r="C4" s="94"/>
      <c r="D4" s="94"/>
    </row>
    <row r="5" spans="1:4" s="99" customFormat="1" ht="24" customHeight="1" x14ac:dyDescent="0.3">
      <c r="A5" s="97" t="s">
        <v>163</v>
      </c>
      <c r="B5" s="97" t="s">
        <v>164</v>
      </c>
      <c r="C5" s="97" t="s">
        <v>165</v>
      </c>
      <c r="D5" s="98" t="s">
        <v>166</v>
      </c>
    </row>
    <row r="6" spans="1:4" s="103" customFormat="1" ht="12.75" customHeight="1" x14ac:dyDescent="0.2">
      <c r="A6" s="95" t="s">
        <v>169</v>
      </c>
      <c r="B6" s="100" t="s">
        <v>170</v>
      </c>
      <c r="C6" s="101" t="s">
        <v>181</v>
      </c>
      <c r="D6" s="102" t="s">
        <v>113</v>
      </c>
    </row>
    <row r="7" spans="1:4" s="103" customFormat="1" ht="13.95" customHeight="1" x14ac:dyDescent="0.2">
      <c r="A7" s="96"/>
      <c r="B7" s="100"/>
      <c r="C7" s="101"/>
      <c r="D7" s="102"/>
    </row>
    <row r="8" spans="1:4" s="103" customFormat="1" ht="12.75" customHeight="1" x14ac:dyDescent="0.2">
      <c r="A8" s="96"/>
      <c r="B8" s="100"/>
      <c r="C8" s="101"/>
      <c r="D8" s="102"/>
    </row>
    <row r="9" spans="1:4" s="103" customFormat="1" ht="13.95" customHeight="1" x14ac:dyDescent="0.2">
      <c r="A9" s="96"/>
      <c r="B9" s="100"/>
      <c r="C9" s="101"/>
      <c r="D9" s="102"/>
    </row>
    <row r="10" spans="1:4" s="99" customFormat="1" ht="14.4" x14ac:dyDescent="0.3">
      <c r="A10" s="104"/>
      <c r="B10" s="105"/>
      <c r="C10" s="106"/>
      <c r="D10" s="104"/>
    </row>
    <row r="11" spans="1:4" s="99" customFormat="1" ht="14.4" x14ac:dyDescent="0.3">
      <c r="A11" s="104"/>
      <c r="B11" s="105"/>
      <c r="C11" s="106"/>
      <c r="D11" s="104"/>
    </row>
    <row r="12" spans="1:4" s="99" customFormat="1" ht="14.4" x14ac:dyDescent="0.3">
      <c r="A12" s="104"/>
      <c r="B12" s="105"/>
      <c r="C12" s="106"/>
      <c r="D12" s="104"/>
    </row>
    <row r="13" spans="1:4" s="99" customFormat="1" ht="14.4" x14ac:dyDescent="0.3">
      <c r="A13" s="104"/>
      <c r="B13" s="105"/>
      <c r="C13" s="106"/>
      <c r="D13" s="104"/>
    </row>
    <row r="14" spans="1:4" s="99" customFormat="1" ht="14.4" x14ac:dyDescent="0.3">
      <c r="A14" s="104"/>
      <c r="B14" s="105"/>
      <c r="C14" s="106"/>
      <c r="D14" s="104"/>
    </row>
    <row r="15" spans="1:4" s="99" customFormat="1" ht="14.4" x14ac:dyDescent="0.3">
      <c r="A15" s="104"/>
      <c r="B15" s="105"/>
      <c r="C15" s="106"/>
      <c r="D15" s="104"/>
    </row>
    <row r="16" spans="1:4" s="99" customFormat="1" ht="14.4" x14ac:dyDescent="0.3">
      <c r="A16" s="104"/>
      <c r="B16" s="105"/>
      <c r="C16" s="106"/>
      <c r="D16" s="104"/>
    </row>
    <row r="17" spans="1:4" s="99" customFormat="1" ht="14.4" x14ac:dyDescent="0.3">
      <c r="A17" s="104"/>
      <c r="B17" s="105"/>
      <c r="C17" s="106"/>
      <c r="D17" s="104"/>
    </row>
    <row r="18" spans="1:4" s="99" customFormat="1" ht="14.4" x14ac:dyDescent="0.3">
      <c r="A18" s="104"/>
      <c r="B18" s="105"/>
      <c r="C18" s="106"/>
      <c r="D18" s="104"/>
    </row>
    <row r="19" spans="1:4" s="99" customFormat="1" ht="14.4" x14ac:dyDescent="0.3">
      <c r="A19" s="104"/>
      <c r="B19" s="105"/>
      <c r="C19" s="106"/>
      <c r="D19" s="104"/>
    </row>
    <row r="20" spans="1:4" s="99" customFormat="1" ht="14.4" x14ac:dyDescent="0.3">
      <c r="A20" s="104"/>
      <c r="B20" s="105"/>
      <c r="C20" s="106"/>
      <c r="D20" s="104"/>
    </row>
    <row r="21" spans="1:4" s="99" customFormat="1" ht="14.4" x14ac:dyDescent="0.3">
      <c r="A21" s="104"/>
      <c r="B21" s="105"/>
      <c r="C21" s="106"/>
      <c r="D21" s="104"/>
    </row>
    <row r="22" spans="1:4" s="99" customFormat="1" ht="14.4" x14ac:dyDescent="0.3">
      <c r="B22" s="105"/>
      <c r="C22" s="106"/>
      <c r="D22" s="104"/>
    </row>
    <row r="23" spans="1:4" s="99" customFormat="1" ht="14.4" x14ac:dyDescent="0.3">
      <c r="B23" s="105"/>
      <c r="C23" s="106"/>
      <c r="D23" s="104"/>
    </row>
    <row r="24" spans="1:4" s="99" customFormat="1" ht="14.4" x14ac:dyDescent="0.3">
      <c r="B24" s="105"/>
      <c r="C24" s="106"/>
      <c r="D24" s="104"/>
    </row>
    <row r="25" spans="1:4" s="99" customFormat="1" ht="14.4" x14ac:dyDescent="0.3">
      <c r="B25" s="105"/>
      <c r="C25" s="106"/>
      <c r="D25" s="104"/>
    </row>
  </sheetData>
  <hyperlinks>
    <hyperlink ref="A4" location="Cover_sheet!A1" display="Cover sheet" xr:uid="{4AC4E13C-E1D5-44DE-8333-649A37184971}"/>
    <hyperlink ref="A6" location="FIRE1120!A1" display="FIRE1120" xr:uid="{5E8F3747-AD0B-45B9-8583-ABB8851F8ED8}"/>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FC2E0-B8BB-48BD-A14A-D6DF874A2083}">
  <sheetPr codeName="Sheet7"/>
  <dimension ref="A1:G1289"/>
  <sheetViews>
    <sheetView workbookViewId="0"/>
  </sheetViews>
  <sheetFormatPr defaultRowHeight="14.4" x14ac:dyDescent="0.3"/>
  <cols>
    <col min="1" max="7" width="13.21875" customWidth="1"/>
  </cols>
  <sheetData>
    <row r="1" spans="1:7" x14ac:dyDescent="0.3">
      <c r="A1" t="s">
        <v>76</v>
      </c>
      <c r="B1" t="s">
        <v>99</v>
      </c>
      <c r="C1" t="s">
        <v>100</v>
      </c>
      <c r="D1" t="s">
        <v>77</v>
      </c>
      <c r="E1" t="s">
        <v>102</v>
      </c>
      <c r="F1" t="s">
        <v>103</v>
      </c>
      <c r="G1" t="s">
        <v>101</v>
      </c>
    </row>
    <row r="2" spans="1:7" x14ac:dyDescent="0.3">
      <c r="A2">
        <v>2019</v>
      </c>
      <c r="B2" t="s">
        <v>12</v>
      </c>
      <c r="C2" t="s">
        <v>100</v>
      </c>
      <c r="D2" t="s">
        <v>77</v>
      </c>
      <c r="E2" t="s">
        <v>94</v>
      </c>
      <c r="F2" t="s">
        <v>7</v>
      </c>
      <c r="G2">
        <v>17</v>
      </c>
    </row>
    <row r="3" spans="1:7" x14ac:dyDescent="0.3">
      <c r="A3">
        <v>2019</v>
      </c>
      <c r="B3" t="s">
        <v>12</v>
      </c>
      <c r="C3" t="s">
        <v>100</v>
      </c>
      <c r="D3" t="s">
        <v>77</v>
      </c>
      <c r="E3" t="s">
        <v>87</v>
      </c>
      <c r="F3" t="s">
        <v>7</v>
      </c>
      <c r="G3">
        <v>12</v>
      </c>
    </row>
    <row r="4" spans="1:7" x14ac:dyDescent="0.3">
      <c r="A4">
        <v>2019</v>
      </c>
      <c r="B4" t="s">
        <v>12</v>
      </c>
      <c r="C4" t="s">
        <v>100</v>
      </c>
      <c r="D4" t="s">
        <v>77</v>
      </c>
      <c r="E4" t="s">
        <v>89</v>
      </c>
      <c r="F4" t="s">
        <v>7</v>
      </c>
      <c r="G4">
        <v>10</v>
      </c>
    </row>
    <row r="5" spans="1:7" x14ac:dyDescent="0.3">
      <c r="A5">
        <v>2019</v>
      </c>
      <c r="B5" t="s">
        <v>12</v>
      </c>
      <c r="C5" t="s">
        <v>100</v>
      </c>
      <c r="D5" t="s">
        <v>77</v>
      </c>
      <c r="E5" t="s">
        <v>88</v>
      </c>
      <c r="F5" t="s">
        <v>7</v>
      </c>
    </row>
    <row r="6" spans="1:7" x14ac:dyDescent="0.3">
      <c r="A6">
        <v>2019</v>
      </c>
      <c r="B6" t="s">
        <v>13</v>
      </c>
      <c r="C6" t="s">
        <v>100</v>
      </c>
      <c r="D6" t="s">
        <v>77</v>
      </c>
      <c r="E6" t="s">
        <v>94</v>
      </c>
      <c r="F6" t="s">
        <v>7</v>
      </c>
      <c r="G6">
        <v>24</v>
      </c>
    </row>
    <row r="7" spans="1:7" x14ac:dyDescent="0.3">
      <c r="A7">
        <v>2019</v>
      </c>
      <c r="B7" t="s">
        <v>13</v>
      </c>
      <c r="C7" t="s">
        <v>100</v>
      </c>
      <c r="D7" t="s">
        <v>77</v>
      </c>
      <c r="E7" t="s">
        <v>87</v>
      </c>
      <c r="F7" t="s">
        <v>7</v>
      </c>
      <c r="G7">
        <v>17</v>
      </c>
    </row>
    <row r="8" spans="1:7" x14ac:dyDescent="0.3">
      <c r="A8">
        <v>2019</v>
      </c>
      <c r="B8" t="s">
        <v>13</v>
      </c>
      <c r="C8" t="s">
        <v>100</v>
      </c>
      <c r="D8" t="s">
        <v>77</v>
      </c>
      <c r="E8" t="s">
        <v>89</v>
      </c>
      <c r="F8" t="s">
        <v>7</v>
      </c>
      <c r="G8">
        <v>13</v>
      </c>
    </row>
    <row r="9" spans="1:7" x14ac:dyDescent="0.3">
      <c r="A9">
        <v>2019</v>
      </c>
      <c r="B9" t="s">
        <v>13</v>
      </c>
      <c r="C9" t="s">
        <v>100</v>
      </c>
      <c r="D9" t="s">
        <v>77</v>
      </c>
      <c r="E9" t="s">
        <v>88</v>
      </c>
      <c r="F9" t="s">
        <v>7</v>
      </c>
      <c r="G9">
        <v>0</v>
      </c>
    </row>
    <row r="10" spans="1:7" x14ac:dyDescent="0.3">
      <c r="A10">
        <v>2019</v>
      </c>
      <c r="B10" t="s">
        <v>14</v>
      </c>
      <c r="C10" t="s">
        <v>100</v>
      </c>
      <c r="D10" t="s">
        <v>77</v>
      </c>
      <c r="E10" t="s">
        <v>94</v>
      </c>
      <c r="F10" t="s">
        <v>7</v>
      </c>
      <c r="G10">
        <v>19</v>
      </c>
    </row>
    <row r="11" spans="1:7" x14ac:dyDescent="0.3">
      <c r="A11">
        <v>2019</v>
      </c>
      <c r="B11" t="s">
        <v>14</v>
      </c>
      <c r="C11" t="s">
        <v>100</v>
      </c>
      <c r="D11" t="s">
        <v>77</v>
      </c>
      <c r="E11" t="s">
        <v>87</v>
      </c>
      <c r="F11" t="s">
        <v>7</v>
      </c>
      <c r="G11">
        <v>14</v>
      </c>
    </row>
    <row r="12" spans="1:7" x14ac:dyDescent="0.3">
      <c r="A12">
        <v>2019</v>
      </c>
      <c r="B12" t="s">
        <v>14</v>
      </c>
      <c r="C12" t="s">
        <v>100</v>
      </c>
      <c r="D12" t="s">
        <v>77</v>
      </c>
      <c r="E12" t="s">
        <v>89</v>
      </c>
      <c r="F12" t="s">
        <v>7</v>
      </c>
      <c r="G12">
        <v>10</v>
      </c>
    </row>
    <row r="13" spans="1:7" x14ac:dyDescent="0.3">
      <c r="A13">
        <v>2019</v>
      </c>
      <c r="B13" t="s">
        <v>14</v>
      </c>
      <c r="C13" t="s">
        <v>100</v>
      </c>
      <c r="D13" t="s">
        <v>77</v>
      </c>
      <c r="E13" t="s">
        <v>88</v>
      </c>
      <c r="F13" t="s">
        <v>7</v>
      </c>
      <c r="G13">
        <v>3</v>
      </c>
    </row>
    <row r="14" spans="1:7" x14ac:dyDescent="0.3">
      <c r="A14">
        <v>2019</v>
      </c>
      <c r="B14" t="s">
        <v>15</v>
      </c>
      <c r="C14" t="s">
        <v>100</v>
      </c>
      <c r="D14" t="s">
        <v>77</v>
      </c>
      <c r="E14" t="s">
        <v>94</v>
      </c>
      <c r="F14" t="s">
        <v>7</v>
      </c>
      <c r="G14">
        <v>16</v>
      </c>
    </row>
    <row r="15" spans="1:7" x14ac:dyDescent="0.3">
      <c r="A15">
        <v>2019</v>
      </c>
      <c r="B15" t="s">
        <v>15</v>
      </c>
      <c r="C15" t="s">
        <v>100</v>
      </c>
      <c r="D15" t="s">
        <v>77</v>
      </c>
      <c r="E15" t="s">
        <v>87</v>
      </c>
      <c r="F15" t="s">
        <v>7</v>
      </c>
      <c r="G15">
        <v>24</v>
      </c>
    </row>
    <row r="16" spans="1:7" x14ac:dyDescent="0.3">
      <c r="A16">
        <v>2019</v>
      </c>
      <c r="B16" t="s">
        <v>15</v>
      </c>
      <c r="C16" t="s">
        <v>100</v>
      </c>
      <c r="D16" t="s">
        <v>77</v>
      </c>
      <c r="E16" t="s">
        <v>89</v>
      </c>
      <c r="F16" t="s">
        <v>7</v>
      </c>
      <c r="G16">
        <v>2</v>
      </c>
    </row>
    <row r="17" spans="1:7" x14ac:dyDescent="0.3">
      <c r="A17">
        <v>2019</v>
      </c>
      <c r="B17" t="s">
        <v>15</v>
      </c>
      <c r="C17" t="s">
        <v>100</v>
      </c>
      <c r="D17" t="s">
        <v>77</v>
      </c>
      <c r="E17" t="s">
        <v>88</v>
      </c>
      <c r="F17" t="s">
        <v>7</v>
      </c>
    </row>
    <row r="18" spans="1:7" x14ac:dyDescent="0.3">
      <c r="A18">
        <v>2019</v>
      </c>
      <c r="B18" t="s">
        <v>16</v>
      </c>
      <c r="C18" t="s">
        <v>100</v>
      </c>
      <c r="D18" t="s">
        <v>77</v>
      </c>
      <c r="E18" t="s">
        <v>94</v>
      </c>
      <c r="F18" t="s">
        <v>7</v>
      </c>
      <c r="G18">
        <v>34</v>
      </c>
    </row>
    <row r="19" spans="1:7" x14ac:dyDescent="0.3">
      <c r="A19">
        <v>2019</v>
      </c>
      <c r="B19" t="s">
        <v>16</v>
      </c>
      <c r="C19" t="s">
        <v>100</v>
      </c>
      <c r="D19" t="s">
        <v>77</v>
      </c>
      <c r="E19" t="s">
        <v>87</v>
      </c>
      <c r="F19" t="s">
        <v>7</v>
      </c>
      <c r="G19">
        <v>12</v>
      </c>
    </row>
    <row r="20" spans="1:7" x14ac:dyDescent="0.3">
      <c r="A20">
        <v>2019</v>
      </c>
      <c r="B20" t="s">
        <v>16</v>
      </c>
      <c r="C20" t="s">
        <v>100</v>
      </c>
      <c r="D20" t="s">
        <v>77</v>
      </c>
      <c r="E20" t="s">
        <v>89</v>
      </c>
      <c r="F20" t="s">
        <v>7</v>
      </c>
      <c r="G20">
        <v>12</v>
      </c>
    </row>
    <row r="21" spans="1:7" x14ac:dyDescent="0.3">
      <c r="A21">
        <v>2019</v>
      </c>
      <c r="B21" t="s">
        <v>16</v>
      </c>
      <c r="C21" t="s">
        <v>100</v>
      </c>
      <c r="D21" t="s">
        <v>77</v>
      </c>
      <c r="E21" t="s">
        <v>88</v>
      </c>
      <c r="F21" t="s">
        <v>7</v>
      </c>
      <c r="G21">
        <v>2</v>
      </c>
    </row>
    <row r="22" spans="1:7" x14ac:dyDescent="0.3">
      <c r="A22">
        <v>2019</v>
      </c>
      <c r="B22" t="s">
        <v>17</v>
      </c>
      <c r="C22" t="s">
        <v>100</v>
      </c>
      <c r="D22" t="s">
        <v>77</v>
      </c>
      <c r="E22" t="s">
        <v>94</v>
      </c>
      <c r="F22" t="s">
        <v>7</v>
      </c>
      <c r="G22">
        <v>24</v>
      </c>
    </row>
    <row r="23" spans="1:7" x14ac:dyDescent="0.3">
      <c r="A23">
        <v>2019</v>
      </c>
      <c r="B23" t="s">
        <v>17</v>
      </c>
      <c r="C23" t="s">
        <v>100</v>
      </c>
      <c r="D23" t="s">
        <v>77</v>
      </c>
      <c r="E23" t="s">
        <v>87</v>
      </c>
      <c r="F23" t="s">
        <v>7</v>
      </c>
      <c r="G23">
        <v>44</v>
      </c>
    </row>
    <row r="24" spans="1:7" x14ac:dyDescent="0.3">
      <c r="A24">
        <v>2019</v>
      </c>
      <c r="B24" t="s">
        <v>17</v>
      </c>
      <c r="C24" t="s">
        <v>100</v>
      </c>
      <c r="D24" t="s">
        <v>77</v>
      </c>
      <c r="E24" t="s">
        <v>89</v>
      </c>
      <c r="F24" t="s">
        <v>7</v>
      </c>
      <c r="G24">
        <v>6</v>
      </c>
    </row>
    <row r="25" spans="1:7" x14ac:dyDescent="0.3">
      <c r="A25">
        <v>2019</v>
      </c>
      <c r="B25" t="s">
        <v>17</v>
      </c>
      <c r="C25" t="s">
        <v>100</v>
      </c>
      <c r="D25" t="s">
        <v>77</v>
      </c>
      <c r="E25" t="s">
        <v>88</v>
      </c>
      <c r="F25" t="s">
        <v>7</v>
      </c>
    </row>
    <row r="26" spans="1:7" x14ac:dyDescent="0.3">
      <c r="A26">
        <v>2019</v>
      </c>
      <c r="B26" t="s">
        <v>18</v>
      </c>
      <c r="C26" t="s">
        <v>100</v>
      </c>
      <c r="D26" t="s">
        <v>77</v>
      </c>
      <c r="E26" t="s">
        <v>94</v>
      </c>
      <c r="F26" t="s">
        <v>7</v>
      </c>
      <c r="G26">
        <v>12</v>
      </c>
    </row>
    <row r="27" spans="1:7" x14ac:dyDescent="0.3">
      <c r="A27">
        <v>2019</v>
      </c>
      <c r="B27" t="s">
        <v>18</v>
      </c>
      <c r="C27" t="s">
        <v>100</v>
      </c>
      <c r="D27" t="s">
        <v>77</v>
      </c>
      <c r="E27" t="s">
        <v>87</v>
      </c>
      <c r="F27" t="s">
        <v>7</v>
      </c>
      <c r="G27">
        <v>34</v>
      </c>
    </row>
    <row r="28" spans="1:7" x14ac:dyDescent="0.3">
      <c r="A28">
        <v>2019</v>
      </c>
      <c r="B28" t="s">
        <v>18</v>
      </c>
      <c r="C28" t="s">
        <v>100</v>
      </c>
      <c r="D28" t="s">
        <v>77</v>
      </c>
      <c r="E28" t="s">
        <v>89</v>
      </c>
      <c r="F28" t="s">
        <v>7</v>
      </c>
      <c r="G28">
        <v>5</v>
      </c>
    </row>
    <row r="29" spans="1:7" x14ac:dyDescent="0.3">
      <c r="A29">
        <v>2019</v>
      </c>
      <c r="B29" t="s">
        <v>18</v>
      </c>
      <c r="C29" t="s">
        <v>100</v>
      </c>
      <c r="D29" t="s">
        <v>77</v>
      </c>
      <c r="E29" t="s">
        <v>88</v>
      </c>
      <c r="F29" t="s">
        <v>7</v>
      </c>
      <c r="G29">
        <v>0</v>
      </c>
    </row>
    <row r="30" spans="1:7" x14ac:dyDescent="0.3">
      <c r="A30">
        <v>2019</v>
      </c>
      <c r="B30" t="s">
        <v>19</v>
      </c>
      <c r="C30" t="s">
        <v>100</v>
      </c>
      <c r="D30" t="s">
        <v>77</v>
      </c>
      <c r="E30" t="s">
        <v>94</v>
      </c>
      <c r="F30" t="s">
        <v>7</v>
      </c>
      <c r="G30">
        <v>56</v>
      </c>
    </row>
    <row r="31" spans="1:7" x14ac:dyDescent="0.3">
      <c r="A31">
        <v>2019</v>
      </c>
      <c r="B31" t="s">
        <v>19</v>
      </c>
      <c r="C31" t="s">
        <v>100</v>
      </c>
      <c r="D31" t="s">
        <v>77</v>
      </c>
      <c r="E31" t="s">
        <v>87</v>
      </c>
      <c r="F31" t="s">
        <v>7</v>
      </c>
      <c r="G31">
        <v>11</v>
      </c>
    </row>
    <row r="32" spans="1:7" x14ac:dyDescent="0.3">
      <c r="A32">
        <v>2019</v>
      </c>
      <c r="B32" t="s">
        <v>19</v>
      </c>
      <c r="C32" t="s">
        <v>100</v>
      </c>
      <c r="D32" t="s">
        <v>77</v>
      </c>
      <c r="E32" t="s">
        <v>89</v>
      </c>
      <c r="F32" t="s">
        <v>7</v>
      </c>
      <c r="G32">
        <v>14</v>
      </c>
    </row>
    <row r="33" spans="1:7" x14ac:dyDescent="0.3">
      <c r="A33">
        <v>2019</v>
      </c>
      <c r="B33" t="s">
        <v>19</v>
      </c>
      <c r="C33" t="s">
        <v>100</v>
      </c>
      <c r="D33" t="s">
        <v>77</v>
      </c>
      <c r="E33" t="s">
        <v>88</v>
      </c>
      <c r="F33" t="s">
        <v>7</v>
      </c>
      <c r="G33">
        <v>1</v>
      </c>
    </row>
    <row r="34" spans="1:7" x14ac:dyDescent="0.3">
      <c r="A34">
        <v>2019</v>
      </c>
      <c r="B34" t="s">
        <v>20</v>
      </c>
      <c r="C34" t="s">
        <v>100</v>
      </c>
      <c r="D34" t="s">
        <v>77</v>
      </c>
      <c r="E34" t="s">
        <v>94</v>
      </c>
      <c r="F34" t="s">
        <v>7</v>
      </c>
      <c r="G34">
        <v>17</v>
      </c>
    </row>
    <row r="35" spans="1:7" x14ac:dyDescent="0.3">
      <c r="A35">
        <v>2019</v>
      </c>
      <c r="B35" t="s">
        <v>20</v>
      </c>
      <c r="C35" t="s">
        <v>100</v>
      </c>
      <c r="D35" t="s">
        <v>77</v>
      </c>
      <c r="E35" t="s">
        <v>87</v>
      </c>
      <c r="F35" t="s">
        <v>7</v>
      </c>
      <c r="G35">
        <v>7</v>
      </c>
    </row>
    <row r="36" spans="1:7" x14ac:dyDescent="0.3">
      <c r="A36">
        <v>2019</v>
      </c>
      <c r="B36" t="s">
        <v>20</v>
      </c>
      <c r="C36" t="s">
        <v>100</v>
      </c>
      <c r="D36" t="s">
        <v>77</v>
      </c>
      <c r="E36" t="s">
        <v>89</v>
      </c>
      <c r="F36" t="s">
        <v>7</v>
      </c>
      <c r="G36">
        <v>5</v>
      </c>
    </row>
    <row r="37" spans="1:7" x14ac:dyDescent="0.3">
      <c r="A37">
        <v>2019</v>
      </c>
      <c r="B37" t="s">
        <v>20</v>
      </c>
      <c r="C37" t="s">
        <v>100</v>
      </c>
      <c r="D37" t="s">
        <v>77</v>
      </c>
      <c r="E37" t="s">
        <v>88</v>
      </c>
      <c r="F37" t="s">
        <v>7</v>
      </c>
    </row>
    <row r="38" spans="1:7" x14ac:dyDescent="0.3">
      <c r="A38">
        <v>2019</v>
      </c>
      <c r="B38" t="s">
        <v>21</v>
      </c>
      <c r="C38" t="s">
        <v>100</v>
      </c>
      <c r="D38" t="s">
        <v>77</v>
      </c>
      <c r="E38" t="s">
        <v>94</v>
      </c>
      <c r="F38" t="s">
        <v>7</v>
      </c>
      <c r="G38">
        <v>25</v>
      </c>
    </row>
    <row r="39" spans="1:7" x14ac:dyDescent="0.3">
      <c r="A39">
        <v>2019</v>
      </c>
      <c r="B39" t="s">
        <v>21</v>
      </c>
      <c r="C39" t="s">
        <v>100</v>
      </c>
      <c r="D39" t="s">
        <v>77</v>
      </c>
      <c r="E39" t="s">
        <v>87</v>
      </c>
      <c r="F39" t="s">
        <v>7</v>
      </c>
      <c r="G39">
        <v>23</v>
      </c>
    </row>
    <row r="40" spans="1:7" x14ac:dyDescent="0.3">
      <c r="A40">
        <v>2019</v>
      </c>
      <c r="B40" t="s">
        <v>21</v>
      </c>
      <c r="C40" t="s">
        <v>100</v>
      </c>
      <c r="D40" t="s">
        <v>77</v>
      </c>
      <c r="E40" t="s">
        <v>89</v>
      </c>
      <c r="F40" t="s">
        <v>7</v>
      </c>
      <c r="G40">
        <v>9</v>
      </c>
    </row>
    <row r="41" spans="1:7" x14ac:dyDescent="0.3">
      <c r="A41">
        <v>2019</v>
      </c>
      <c r="B41" t="s">
        <v>21</v>
      </c>
      <c r="C41" t="s">
        <v>100</v>
      </c>
      <c r="D41" t="s">
        <v>77</v>
      </c>
      <c r="E41" t="s">
        <v>88</v>
      </c>
      <c r="F41" t="s">
        <v>7</v>
      </c>
    </row>
    <row r="42" spans="1:7" x14ac:dyDescent="0.3">
      <c r="A42">
        <v>2019</v>
      </c>
      <c r="B42" t="s">
        <v>22</v>
      </c>
      <c r="C42" t="s">
        <v>100</v>
      </c>
      <c r="D42" t="s">
        <v>77</v>
      </c>
      <c r="E42" t="s">
        <v>94</v>
      </c>
      <c r="F42" t="s">
        <v>7</v>
      </c>
      <c r="G42">
        <v>112</v>
      </c>
    </row>
    <row r="43" spans="1:7" x14ac:dyDescent="0.3">
      <c r="A43">
        <v>2019</v>
      </c>
      <c r="B43" t="s">
        <v>22</v>
      </c>
      <c r="C43" t="s">
        <v>100</v>
      </c>
      <c r="D43" t="s">
        <v>77</v>
      </c>
      <c r="E43" t="s">
        <v>87</v>
      </c>
      <c r="F43" t="s">
        <v>7</v>
      </c>
      <c r="G43">
        <v>8</v>
      </c>
    </row>
    <row r="44" spans="1:7" x14ac:dyDescent="0.3">
      <c r="A44">
        <v>2019</v>
      </c>
      <c r="B44" t="s">
        <v>22</v>
      </c>
      <c r="C44" t="s">
        <v>100</v>
      </c>
      <c r="D44" t="s">
        <v>77</v>
      </c>
      <c r="E44" t="s">
        <v>89</v>
      </c>
      <c r="F44" t="s">
        <v>7</v>
      </c>
      <c r="G44">
        <v>15</v>
      </c>
    </row>
    <row r="45" spans="1:7" x14ac:dyDescent="0.3">
      <c r="A45">
        <v>2019</v>
      </c>
      <c r="B45" t="s">
        <v>22</v>
      </c>
      <c r="C45" t="s">
        <v>100</v>
      </c>
      <c r="D45" t="s">
        <v>77</v>
      </c>
      <c r="E45" t="s">
        <v>88</v>
      </c>
      <c r="F45" t="s">
        <v>7</v>
      </c>
      <c r="G45">
        <v>0</v>
      </c>
    </row>
    <row r="46" spans="1:7" x14ac:dyDescent="0.3">
      <c r="A46">
        <v>2019</v>
      </c>
      <c r="B46" t="s">
        <v>24</v>
      </c>
      <c r="C46" t="s">
        <v>100</v>
      </c>
      <c r="D46" t="s">
        <v>77</v>
      </c>
      <c r="E46" t="s">
        <v>94</v>
      </c>
      <c r="F46" t="s">
        <v>7</v>
      </c>
      <c r="G46">
        <v>22</v>
      </c>
    </row>
    <row r="47" spans="1:7" x14ac:dyDescent="0.3">
      <c r="A47">
        <v>2019</v>
      </c>
      <c r="B47" t="s">
        <v>24</v>
      </c>
      <c r="C47" t="s">
        <v>100</v>
      </c>
      <c r="D47" t="s">
        <v>77</v>
      </c>
      <c r="E47" t="s">
        <v>87</v>
      </c>
      <c r="F47" t="s">
        <v>7</v>
      </c>
      <c r="G47">
        <v>0</v>
      </c>
    </row>
    <row r="48" spans="1:7" x14ac:dyDescent="0.3">
      <c r="A48">
        <v>2019</v>
      </c>
      <c r="B48" t="s">
        <v>24</v>
      </c>
      <c r="C48" t="s">
        <v>100</v>
      </c>
      <c r="D48" t="s">
        <v>77</v>
      </c>
      <c r="E48" t="s">
        <v>89</v>
      </c>
      <c r="F48" t="s">
        <v>7</v>
      </c>
      <c r="G48">
        <v>4</v>
      </c>
    </row>
    <row r="49" spans="1:7" x14ac:dyDescent="0.3">
      <c r="A49">
        <v>2019</v>
      </c>
      <c r="B49" t="s">
        <v>24</v>
      </c>
      <c r="C49" t="s">
        <v>100</v>
      </c>
      <c r="D49" t="s">
        <v>77</v>
      </c>
      <c r="E49" t="s">
        <v>88</v>
      </c>
      <c r="F49" t="s">
        <v>7</v>
      </c>
      <c r="G49">
        <v>0</v>
      </c>
    </row>
    <row r="50" spans="1:7" x14ac:dyDescent="0.3">
      <c r="A50">
        <v>2019</v>
      </c>
      <c r="B50" t="s">
        <v>25</v>
      </c>
      <c r="C50" t="s">
        <v>100</v>
      </c>
      <c r="D50" t="s">
        <v>77</v>
      </c>
      <c r="E50" t="s">
        <v>94</v>
      </c>
      <c r="F50" t="s">
        <v>7</v>
      </c>
      <c r="G50">
        <v>25</v>
      </c>
    </row>
    <row r="51" spans="1:7" x14ac:dyDescent="0.3">
      <c r="A51">
        <v>2019</v>
      </c>
      <c r="B51" t="s">
        <v>25</v>
      </c>
      <c r="C51" t="s">
        <v>100</v>
      </c>
      <c r="D51" t="s">
        <v>77</v>
      </c>
      <c r="E51" t="s">
        <v>87</v>
      </c>
      <c r="F51" t="s">
        <v>7</v>
      </c>
      <c r="G51">
        <v>1</v>
      </c>
    </row>
    <row r="52" spans="1:7" x14ac:dyDescent="0.3">
      <c r="A52">
        <v>2019</v>
      </c>
      <c r="B52" t="s">
        <v>25</v>
      </c>
      <c r="C52" t="s">
        <v>100</v>
      </c>
      <c r="D52" t="s">
        <v>77</v>
      </c>
      <c r="E52" t="s">
        <v>89</v>
      </c>
      <c r="F52" t="s">
        <v>7</v>
      </c>
      <c r="G52">
        <v>8</v>
      </c>
    </row>
    <row r="53" spans="1:7" x14ac:dyDescent="0.3">
      <c r="A53">
        <v>2019</v>
      </c>
      <c r="B53" t="s">
        <v>25</v>
      </c>
      <c r="C53" t="s">
        <v>100</v>
      </c>
      <c r="D53" t="s">
        <v>77</v>
      </c>
      <c r="E53" t="s">
        <v>88</v>
      </c>
      <c r="F53" t="s">
        <v>7</v>
      </c>
      <c r="G53">
        <v>1</v>
      </c>
    </row>
    <row r="54" spans="1:7" x14ac:dyDescent="0.3">
      <c r="A54">
        <v>2019</v>
      </c>
      <c r="B54" t="s">
        <v>26</v>
      </c>
      <c r="C54" t="s">
        <v>100</v>
      </c>
      <c r="D54" t="s">
        <v>77</v>
      </c>
      <c r="E54" t="s">
        <v>94</v>
      </c>
      <c r="F54" t="s">
        <v>7</v>
      </c>
      <c r="G54">
        <v>60</v>
      </c>
    </row>
    <row r="55" spans="1:7" x14ac:dyDescent="0.3">
      <c r="A55">
        <v>2019</v>
      </c>
      <c r="B55" t="s">
        <v>26</v>
      </c>
      <c r="C55" t="s">
        <v>100</v>
      </c>
      <c r="D55" t="s">
        <v>77</v>
      </c>
      <c r="E55" t="s">
        <v>87</v>
      </c>
      <c r="F55" t="s">
        <v>7</v>
      </c>
      <c r="G55">
        <v>53</v>
      </c>
    </row>
    <row r="56" spans="1:7" x14ac:dyDescent="0.3">
      <c r="A56">
        <v>2019</v>
      </c>
      <c r="B56" t="s">
        <v>26</v>
      </c>
      <c r="C56" t="s">
        <v>100</v>
      </c>
      <c r="D56" t="s">
        <v>77</v>
      </c>
      <c r="E56" t="s">
        <v>89</v>
      </c>
      <c r="F56" t="s">
        <v>7</v>
      </c>
      <c r="G56">
        <v>16</v>
      </c>
    </row>
    <row r="57" spans="1:7" x14ac:dyDescent="0.3">
      <c r="A57">
        <v>2019</v>
      </c>
      <c r="B57" t="s">
        <v>26</v>
      </c>
      <c r="C57" t="s">
        <v>100</v>
      </c>
      <c r="D57" t="s">
        <v>77</v>
      </c>
      <c r="E57" t="s">
        <v>88</v>
      </c>
      <c r="F57" t="s">
        <v>7</v>
      </c>
      <c r="G57">
        <v>0</v>
      </c>
    </row>
    <row r="58" spans="1:7" x14ac:dyDescent="0.3">
      <c r="A58">
        <v>2019</v>
      </c>
      <c r="B58" t="s">
        <v>27</v>
      </c>
      <c r="C58" t="s">
        <v>100</v>
      </c>
      <c r="D58" t="s">
        <v>77</v>
      </c>
      <c r="E58" t="s">
        <v>94</v>
      </c>
      <c r="F58" t="s">
        <v>7</v>
      </c>
      <c r="G58">
        <v>42</v>
      </c>
    </row>
    <row r="59" spans="1:7" x14ac:dyDescent="0.3">
      <c r="A59">
        <v>2019</v>
      </c>
      <c r="B59" t="s">
        <v>27</v>
      </c>
      <c r="C59" t="s">
        <v>100</v>
      </c>
      <c r="D59" t="s">
        <v>77</v>
      </c>
      <c r="E59" t="s">
        <v>87</v>
      </c>
      <c r="F59" t="s">
        <v>7</v>
      </c>
      <c r="G59">
        <v>7</v>
      </c>
    </row>
    <row r="60" spans="1:7" x14ac:dyDescent="0.3">
      <c r="A60">
        <v>2019</v>
      </c>
      <c r="B60" t="s">
        <v>27</v>
      </c>
      <c r="C60" t="s">
        <v>100</v>
      </c>
      <c r="D60" t="s">
        <v>77</v>
      </c>
      <c r="E60" t="s">
        <v>89</v>
      </c>
      <c r="F60" t="s">
        <v>7</v>
      </c>
      <c r="G60">
        <v>5</v>
      </c>
    </row>
    <row r="61" spans="1:7" x14ac:dyDescent="0.3">
      <c r="A61">
        <v>2019</v>
      </c>
      <c r="B61" t="s">
        <v>27</v>
      </c>
      <c r="C61" t="s">
        <v>100</v>
      </c>
      <c r="D61" t="s">
        <v>77</v>
      </c>
      <c r="E61" t="s">
        <v>88</v>
      </c>
      <c r="F61" t="s">
        <v>7</v>
      </c>
      <c r="G61">
        <v>0</v>
      </c>
    </row>
    <row r="62" spans="1:7" x14ac:dyDescent="0.3">
      <c r="A62">
        <v>2019</v>
      </c>
      <c r="B62" t="s">
        <v>58</v>
      </c>
      <c r="C62" t="s">
        <v>100</v>
      </c>
      <c r="D62" t="s">
        <v>77</v>
      </c>
      <c r="E62" t="s">
        <v>94</v>
      </c>
      <c r="F62" t="s">
        <v>7</v>
      </c>
      <c r="G62">
        <v>0</v>
      </c>
    </row>
    <row r="63" spans="1:7" x14ac:dyDescent="0.3">
      <c r="A63">
        <v>2019</v>
      </c>
      <c r="B63" t="s">
        <v>58</v>
      </c>
      <c r="C63" t="s">
        <v>100</v>
      </c>
      <c r="D63" t="s">
        <v>77</v>
      </c>
      <c r="E63" t="s">
        <v>87</v>
      </c>
      <c r="F63" t="s">
        <v>7</v>
      </c>
      <c r="G63">
        <v>387</v>
      </c>
    </row>
    <row r="64" spans="1:7" x14ac:dyDescent="0.3">
      <c r="A64">
        <v>2019</v>
      </c>
      <c r="B64" t="s">
        <v>58</v>
      </c>
      <c r="C64" t="s">
        <v>100</v>
      </c>
      <c r="D64" t="s">
        <v>77</v>
      </c>
      <c r="E64" t="s">
        <v>89</v>
      </c>
      <c r="F64" t="s">
        <v>7</v>
      </c>
      <c r="G64">
        <v>42</v>
      </c>
    </row>
    <row r="65" spans="1:7" x14ac:dyDescent="0.3">
      <c r="A65">
        <v>2019</v>
      </c>
      <c r="B65" t="s">
        <v>58</v>
      </c>
      <c r="C65" t="s">
        <v>100</v>
      </c>
      <c r="D65" t="s">
        <v>77</v>
      </c>
      <c r="E65" t="s">
        <v>88</v>
      </c>
      <c r="F65" t="s">
        <v>7</v>
      </c>
      <c r="G65">
        <v>1</v>
      </c>
    </row>
    <row r="66" spans="1:7" x14ac:dyDescent="0.3">
      <c r="A66">
        <v>2019</v>
      </c>
      <c r="B66" t="s">
        <v>52</v>
      </c>
      <c r="C66" t="s">
        <v>100</v>
      </c>
      <c r="D66" t="s">
        <v>77</v>
      </c>
      <c r="E66" t="s">
        <v>94</v>
      </c>
      <c r="F66" t="s">
        <v>7</v>
      </c>
    </row>
    <row r="67" spans="1:7" x14ac:dyDescent="0.3">
      <c r="A67">
        <v>2019</v>
      </c>
      <c r="B67" t="s">
        <v>52</v>
      </c>
      <c r="C67" t="s">
        <v>100</v>
      </c>
      <c r="D67" t="s">
        <v>77</v>
      </c>
      <c r="E67" t="s">
        <v>87</v>
      </c>
      <c r="F67" t="s">
        <v>7</v>
      </c>
      <c r="G67">
        <v>106</v>
      </c>
    </row>
    <row r="68" spans="1:7" x14ac:dyDescent="0.3">
      <c r="A68">
        <v>2019</v>
      </c>
      <c r="B68" t="s">
        <v>52</v>
      </c>
      <c r="C68" t="s">
        <v>100</v>
      </c>
      <c r="D68" t="s">
        <v>77</v>
      </c>
      <c r="E68" t="s">
        <v>89</v>
      </c>
      <c r="F68" t="s">
        <v>7</v>
      </c>
      <c r="G68">
        <v>31</v>
      </c>
    </row>
    <row r="69" spans="1:7" x14ac:dyDescent="0.3">
      <c r="A69">
        <v>2019</v>
      </c>
      <c r="B69" t="s">
        <v>52</v>
      </c>
      <c r="C69" t="s">
        <v>100</v>
      </c>
      <c r="D69" t="s">
        <v>77</v>
      </c>
      <c r="E69" t="s">
        <v>88</v>
      </c>
      <c r="F69" t="s">
        <v>7</v>
      </c>
    </row>
    <row r="70" spans="1:7" x14ac:dyDescent="0.3">
      <c r="A70">
        <v>2019</v>
      </c>
      <c r="B70" t="s">
        <v>28</v>
      </c>
      <c r="C70" t="s">
        <v>100</v>
      </c>
      <c r="D70" t="s">
        <v>77</v>
      </c>
      <c r="E70" t="s">
        <v>94</v>
      </c>
      <c r="F70" t="s">
        <v>7</v>
      </c>
      <c r="G70">
        <v>94</v>
      </c>
    </row>
    <row r="71" spans="1:7" x14ac:dyDescent="0.3">
      <c r="A71">
        <v>2019</v>
      </c>
      <c r="B71" t="s">
        <v>28</v>
      </c>
      <c r="C71" t="s">
        <v>100</v>
      </c>
      <c r="D71" t="s">
        <v>77</v>
      </c>
      <c r="E71" t="s">
        <v>87</v>
      </c>
      <c r="F71" t="s">
        <v>7</v>
      </c>
      <c r="G71">
        <v>54</v>
      </c>
    </row>
    <row r="72" spans="1:7" x14ac:dyDescent="0.3">
      <c r="A72">
        <v>2019</v>
      </c>
      <c r="B72" t="s">
        <v>28</v>
      </c>
      <c r="C72" t="s">
        <v>100</v>
      </c>
      <c r="D72" t="s">
        <v>77</v>
      </c>
      <c r="E72" t="s">
        <v>89</v>
      </c>
      <c r="F72" t="s">
        <v>7</v>
      </c>
      <c r="G72">
        <v>11</v>
      </c>
    </row>
    <row r="73" spans="1:7" x14ac:dyDescent="0.3">
      <c r="A73">
        <v>2019</v>
      </c>
      <c r="B73" t="s">
        <v>28</v>
      </c>
      <c r="C73" t="s">
        <v>100</v>
      </c>
      <c r="D73" t="s">
        <v>77</v>
      </c>
      <c r="E73" t="s">
        <v>88</v>
      </c>
      <c r="F73" t="s">
        <v>7</v>
      </c>
    </row>
    <row r="74" spans="1:7" x14ac:dyDescent="0.3">
      <c r="A74">
        <v>2019</v>
      </c>
      <c r="B74" t="s">
        <v>29</v>
      </c>
      <c r="C74" t="s">
        <v>100</v>
      </c>
      <c r="D74" t="s">
        <v>77</v>
      </c>
      <c r="E74" t="s">
        <v>94</v>
      </c>
      <c r="F74" t="s">
        <v>7</v>
      </c>
      <c r="G74">
        <v>58</v>
      </c>
    </row>
    <row r="75" spans="1:7" x14ac:dyDescent="0.3">
      <c r="A75">
        <v>2019</v>
      </c>
      <c r="B75" t="s">
        <v>29</v>
      </c>
      <c r="C75" t="s">
        <v>100</v>
      </c>
      <c r="D75" t="s">
        <v>77</v>
      </c>
      <c r="E75" t="s">
        <v>87</v>
      </c>
      <c r="F75" t="s">
        <v>7</v>
      </c>
      <c r="G75">
        <v>21</v>
      </c>
    </row>
    <row r="76" spans="1:7" x14ac:dyDescent="0.3">
      <c r="A76">
        <v>2019</v>
      </c>
      <c r="B76" t="s">
        <v>29</v>
      </c>
      <c r="C76" t="s">
        <v>100</v>
      </c>
      <c r="D76" t="s">
        <v>77</v>
      </c>
      <c r="E76" t="s">
        <v>89</v>
      </c>
      <c r="F76" t="s">
        <v>7</v>
      </c>
      <c r="G76">
        <v>15</v>
      </c>
    </row>
    <row r="77" spans="1:7" x14ac:dyDescent="0.3">
      <c r="A77">
        <v>2019</v>
      </c>
      <c r="B77" t="s">
        <v>29</v>
      </c>
      <c r="C77" t="s">
        <v>100</v>
      </c>
      <c r="D77" t="s">
        <v>77</v>
      </c>
      <c r="E77" t="s">
        <v>88</v>
      </c>
      <c r="F77" t="s">
        <v>7</v>
      </c>
      <c r="G77">
        <v>2</v>
      </c>
    </row>
    <row r="78" spans="1:7" x14ac:dyDescent="0.3">
      <c r="A78">
        <v>2019</v>
      </c>
      <c r="B78" t="s">
        <v>30</v>
      </c>
      <c r="C78" t="s">
        <v>100</v>
      </c>
      <c r="D78" t="s">
        <v>77</v>
      </c>
      <c r="E78" t="s">
        <v>94</v>
      </c>
      <c r="F78" t="s">
        <v>7</v>
      </c>
      <c r="G78">
        <v>20</v>
      </c>
    </row>
    <row r="79" spans="1:7" x14ac:dyDescent="0.3">
      <c r="A79">
        <v>2019</v>
      </c>
      <c r="B79" t="s">
        <v>30</v>
      </c>
      <c r="C79" t="s">
        <v>100</v>
      </c>
      <c r="D79" t="s">
        <v>77</v>
      </c>
      <c r="E79" t="s">
        <v>87</v>
      </c>
      <c r="F79" t="s">
        <v>7</v>
      </c>
      <c r="G79">
        <v>22</v>
      </c>
    </row>
    <row r="80" spans="1:7" x14ac:dyDescent="0.3">
      <c r="A80">
        <v>2019</v>
      </c>
      <c r="B80" t="s">
        <v>30</v>
      </c>
      <c r="C80" t="s">
        <v>100</v>
      </c>
      <c r="D80" t="s">
        <v>77</v>
      </c>
      <c r="E80" t="s">
        <v>89</v>
      </c>
      <c r="F80" t="s">
        <v>7</v>
      </c>
      <c r="G80">
        <v>6</v>
      </c>
    </row>
    <row r="81" spans="1:7" x14ac:dyDescent="0.3">
      <c r="A81">
        <v>2019</v>
      </c>
      <c r="B81" t="s">
        <v>30</v>
      </c>
      <c r="C81" t="s">
        <v>100</v>
      </c>
      <c r="D81" t="s">
        <v>77</v>
      </c>
      <c r="E81" t="s">
        <v>88</v>
      </c>
      <c r="F81" t="s">
        <v>7</v>
      </c>
      <c r="G81">
        <v>0</v>
      </c>
    </row>
    <row r="82" spans="1:7" x14ac:dyDescent="0.3">
      <c r="A82">
        <v>2019</v>
      </c>
      <c r="B82" t="s">
        <v>31</v>
      </c>
      <c r="C82" t="s">
        <v>100</v>
      </c>
      <c r="D82" t="s">
        <v>77</v>
      </c>
      <c r="E82" t="s">
        <v>94</v>
      </c>
      <c r="F82" t="s">
        <v>7</v>
      </c>
      <c r="G82">
        <v>26</v>
      </c>
    </row>
    <row r="83" spans="1:7" x14ac:dyDescent="0.3">
      <c r="A83">
        <v>2019</v>
      </c>
      <c r="B83" t="s">
        <v>31</v>
      </c>
      <c r="C83" t="s">
        <v>100</v>
      </c>
      <c r="D83" t="s">
        <v>77</v>
      </c>
      <c r="E83" t="s">
        <v>87</v>
      </c>
      <c r="F83" t="s">
        <v>7</v>
      </c>
      <c r="G83">
        <v>15</v>
      </c>
    </row>
    <row r="84" spans="1:7" x14ac:dyDescent="0.3">
      <c r="A84">
        <v>2019</v>
      </c>
      <c r="B84" t="s">
        <v>31</v>
      </c>
      <c r="C84" t="s">
        <v>100</v>
      </c>
      <c r="D84" t="s">
        <v>77</v>
      </c>
      <c r="E84" t="s">
        <v>89</v>
      </c>
      <c r="F84" t="s">
        <v>7</v>
      </c>
      <c r="G84">
        <v>5</v>
      </c>
    </row>
    <row r="85" spans="1:7" x14ac:dyDescent="0.3">
      <c r="A85">
        <v>2019</v>
      </c>
      <c r="B85" t="s">
        <v>31</v>
      </c>
      <c r="C85" t="s">
        <v>100</v>
      </c>
      <c r="D85" t="s">
        <v>77</v>
      </c>
      <c r="E85" t="s">
        <v>88</v>
      </c>
      <c r="F85" t="s">
        <v>7</v>
      </c>
    </row>
    <row r="86" spans="1:7" x14ac:dyDescent="0.3">
      <c r="A86">
        <v>2019</v>
      </c>
      <c r="B86" t="s">
        <v>32</v>
      </c>
      <c r="C86" t="s">
        <v>100</v>
      </c>
      <c r="D86" t="s">
        <v>77</v>
      </c>
      <c r="E86" t="s">
        <v>94</v>
      </c>
      <c r="F86" t="s">
        <v>7</v>
      </c>
      <c r="G86">
        <v>9</v>
      </c>
    </row>
    <row r="87" spans="1:7" x14ac:dyDescent="0.3">
      <c r="A87">
        <v>2019</v>
      </c>
      <c r="B87" t="s">
        <v>32</v>
      </c>
      <c r="C87" t="s">
        <v>100</v>
      </c>
      <c r="D87" t="s">
        <v>77</v>
      </c>
      <c r="E87" t="s">
        <v>87</v>
      </c>
      <c r="F87" t="s">
        <v>7</v>
      </c>
      <c r="G87">
        <v>0</v>
      </c>
    </row>
    <row r="88" spans="1:7" x14ac:dyDescent="0.3">
      <c r="A88">
        <v>2019</v>
      </c>
      <c r="B88" t="s">
        <v>32</v>
      </c>
      <c r="C88" t="s">
        <v>100</v>
      </c>
      <c r="D88" t="s">
        <v>77</v>
      </c>
      <c r="E88" t="s">
        <v>89</v>
      </c>
      <c r="F88" t="s">
        <v>7</v>
      </c>
      <c r="G88">
        <v>2</v>
      </c>
    </row>
    <row r="89" spans="1:7" x14ac:dyDescent="0.3">
      <c r="A89">
        <v>2019</v>
      </c>
      <c r="B89" t="s">
        <v>32</v>
      </c>
      <c r="C89" t="s">
        <v>100</v>
      </c>
      <c r="D89" t="s">
        <v>77</v>
      </c>
      <c r="E89" t="s">
        <v>88</v>
      </c>
      <c r="F89" t="s">
        <v>7</v>
      </c>
      <c r="G89">
        <v>0</v>
      </c>
    </row>
    <row r="90" spans="1:7" x14ac:dyDescent="0.3">
      <c r="A90">
        <v>2019</v>
      </c>
      <c r="B90" t="s">
        <v>50</v>
      </c>
      <c r="C90" t="s">
        <v>100</v>
      </c>
      <c r="D90" t="s">
        <v>77</v>
      </c>
      <c r="E90" t="s">
        <v>94</v>
      </c>
      <c r="F90" t="s">
        <v>7</v>
      </c>
      <c r="G90">
        <v>3</v>
      </c>
    </row>
    <row r="91" spans="1:7" x14ac:dyDescent="0.3">
      <c r="A91">
        <v>2019</v>
      </c>
      <c r="B91" t="s">
        <v>50</v>
      </c>
      <c r="C91" t="s">
        <v>100</v>
      </c>
      <c r="D91" t="s">
        <v>77</v>
      </c>
      <c r="E91" t="s">
        <v>87</v>
      </c>
      <c r="F91" t="s">
        <v>7</v>
      </c>
      <c r="G91">
        <v>0</v>
      </c>
    </row>
    <row r="92" spans="1:7" x14ac:dyDescent="0.3">
      <c r="A92">
        <v>2019</v>
      </c>
      <c r="B92" t="s">
        <v>50</v>
      </c>
      <c r="C92" t="s">
        <v>100</v>
      </c>
      <c r="D92" t="s">
        <v>77</v>
      </c>
      <c r="E92" t="s">
        <v>89</v>
      </c>
      <c r="F92" t="s">
        <v>7</v>
      </c>
      <c r="G92">
        <v>0</v>
      </c>
    </row>
    <row r="93" spans="1:7" x14ac:dyDescent="0.3">
      <c r="A93">
        <v>2019</v>
      </c>
      <c r="B93" t="s">
        <v>50</v>
      </c>
      <c r="C93" t="s">
        <v>100</v>
      </c>
      <c r="D93" t="s">
        <v>77</v>
      </c>
      <c r="E93" t="s">
        <v>88</v>
      </c>
      <c r="F93" t="s">
        <v>7</v>
      </c>
      <c r="G93">
        <v>0</v>
      </c>
    </row>
    <row r="94" spans="1:7" x14ac:dyDescent="0.3">
      <c r="A94">
        <v>2019</v>
      </c>
      <c r="B94" t="s">
        <v>33</v>
      </c>
      <c r="C94" t="s">
        <v>100</v>
      </c>
      <c r="D94" t="s">
        <v>77</v>
      </c>
      <c r="E94" t="s">
        <v>94</v>
      </c>
      <c r="F94" t="s">
        <v>7</v>
      </c>
      <c r="G94">
        <v>93</v>
      </c>
    </row>
    <row r="95" spans="1:7" x14ac:dyDescent="0.3">
      <c r="A95">
        <v>2019</v>
      </c>
      <c r="B95" t="s">
        <v>33</v>
      </c>
      <c r="C95" t="s">
        <v>100</v>
      </c>
      <c r="D95" t="s">
        <v>77</v>
      </c>
      <c r="E95" t="s">
        <v>87</v>
      </c>
      <c r="F95" t="s">
        <v>7</v>
      </c>
      <c r="G95">
        <v>31</v>
      </c>
    </row>
    <row r="96" spans="1:7" x14ac:dyDescent="0.3">
      <c r="A96">
        <v>2019</v>
      </c>
      <c r="B96" t="s">
        <v>33</v>
      </c>
      <c r="C96" t="s">
        <v>100</v>
      </c>
      <c r="D96" t="s">
        <v>77</v>
      </c>
      <c r="E96" t="s">
        <v>89</v>
      </c>
      <c r="F96" t="s">
        <v>7</v>
      </c>
      <c r="G96">
        <v>22</v>
      </c>
    </row>
    <row r="97" spans="1:7" x14ac:dyDescent="0.3">
      <c r="A97">
        <v>2019</v>
      </c>
      <c r="B97" t="s">
        <v>33</v>
      </c>
      <c r="C97" t="s">
        <v>100</v>
      </c>
      <c r="D97" t="s">
        <v>77</v>
      </c>
      <c r="E97" t="s">
        <v>88</v>
      </c>
      <c r="F97" t="s">
        <v>7</v>
      </c>
    </row>
    <row r="98" spans="1:7" x14ac:dyDescent="0.3">
      <c r="A98">
        <v>2019</v>
      </c>
      <c r="B98" t="s">
        <v>34</v>
      </c>
      <c r="C98" t="s">
        <v>100</v>
      </c>
      <c r="D98" t="s">
        <v>77</v>
      </c>
      <c r="E98" t="s">
        <v>94</v>
      </c>
      <c r="F98" t="s">
        <v>7</v>
      </c>
      <c r="G98">
        <v>64</v>
      </c>
    </row>
    <row r="99" spans="1:7" x14ac:dyDescent="0.3">
      <c r="A99">
        <v>2019</v>
      </c>
      <c r="B99" t="s">
        <v>34</v>
      </c>
      <c r="C99" t="s">
        <v>100</v>
      </c>
      <c r="D99" t="s">
        <v>77</v>
      </c>
      <c r="E99" t="s">
        <v>87</v>
      </c>
      <c r="F99" t="s">
        <v>7</v>
      </c>
      <c r="G99">
        <v>45</v>
      </c>
    </row>
    <row r="100" spans="1:7" x14ac:dyDescent="0.3">
      <c r="A100">
        <v>2019</v>
      </c>
      <c r="B100" t="s">
        <v>34</v>
      </c>
      <c r="C100" t="s">
        <v>100</v>
      </c>
      <c r="D100" t="s">
        <v>77</v>
      </c>
      <c r="E100" t="s">
        <v>89</v>
      </c>
      <c r="F100" t="s">
        <v>7</v>
      </c>
      <c r="G100">
        <v>9</v>
      </c>
    </row>
    <row r="101" spans="1:7" x14ac:dyDescent="0.3">
      <c r="A101">
        <v>2019</v>
      </c>
      <c r="B101" t="s">
        <v>34</v>
      </c>
      <c r="C101" t="s">
        <v>100</v>
      </c>
      <c r="D101" t="s">
        <v>77</v>
      </c>
      <c r="E101" t="s">
        <v>88</v>
      </c>
      <c r="F101" t="s">
        <v>7</v>
      </c>
      <c r="G101">
        <v>0</v>
      </c>
    </row>
    <row r="102" spans="1:7" x14ac:dyDescent="0.3">
      <c r="A102">
        <v>2019</v>
      </c>
      <c r="B102" t="s">
        <v>35</v>
      </c>
      <c r="C102" t="s">
        <v>100</v>
      </c>
      <c r="D102" t="s">
        <v>77</v>
      </c>
      <c r="E102" t="s">
        <v>94</v>
      </c>
      <c r="F102" t="s">
        <v>7</v>
      </c>
      <c r="G102">
        <v>32</v>
      </c>
    </row>
    <row r="103" spans="1:7" x14ac:dyDescent="0.3">
      <c r="A103">
        <v>2019</v>
      </c>
      <c r="B103" t="s">
        <v>35</v>
      </c>
      <c r="C103" t="s">
        <v>100</v>
      </c>
      <c r="D103" t="s">
        <v>77</v>
      </c>
      <c r="E103" t="s">
        <v>87</v>
      </c>
      <c r="F103" t="s">
        <v>7</v>
      </c>
      <c r="G103">
        <v>8</v>
      </c>
    </row>
    <row r="104" spans="1:7" x14ac:dyDescent="0.3">
      <c r="A104">
        <v>2019</v>
      </c>
      <c r="B104" t="s">
        <v>35</v>
      </c>
      <c r="C104" t="s">
        <v>100</v>
      </c>
      <c r="D104" t="s">
        <v>77</v>
      </c>
      <c r="E104" t="s">
        <v>89</v>
      </c>
      <c r="F104" t="s">
        <v>7</v>
      </c>
      <c r="G104">
        <v>2</v>
      </c>
    </row>
    <row r="105" spans="1:7" x14ac:dyDescent="0.3">
      <c r="A105">
        <v>2019</v>
      </c>
      <c r="B105" t="s">
        <v>35</v>
      </c>
      <c r="C105" t="s">
        <v>100</v>
      </c>
      <c r="D105" t="s">
        <v>77</v>
      </c>
      <c r="E105" t="s">
        <v>88</v>
      </c>
      <c r="F105" t="s">
        <v>7</v>
      </c>
      <c r="G105">
        <v>0</v>
      </c>
    </row>
    <row r="106" spans="1:7" x14ac:dyDescent="0.3">
      <c r="A106">
        <v>2019</v>
      </c>
      <c r="B106" t="s">
        <v>36</v>
      </c>
      <c r="C106" t="s">
        <v>100</v>
      </c>
      <c r="D106" t="s">
        <v>77</v>
      </c>
      <c r="E106" t="s">
        <v>94</v>
      </c>
      <c r="F106" t="s">
        <v>7</v>
      </c>
      <c r="G106">
        <v>48</v>
      </c>
    </row>
    <row r="107" spans="1:7" x14ac:dyDescent="0.3">
      <c r="A107">
        <v>2019</v>
      </c>
      <c r="B107" t="s">
        <v>36</v>
      </c>
      <c r="C107" t="s">
        <v>100</v>
      </c>
      <c r="D107" t="s">
        <v>77</v>
      </c>
      <c r="E107" t="s">
        <v>87</v>
      </c>
      <c r="F107" t="s">
        <v>7</v>
      </c>
      <c r="G107">
        <v>13</v>
      </c>
    </row>
    <row r="108" spans="1:7" x14ac:dyDescent="0.3">
      <c r="A108">
        <v>2019</v>
      </c>
      <c r="B108" t="s">
        <v>36</v>
      </c>
      <c r="C108" t="s">
        <v>100</v>
      </c>
      <c r="D108" t="s">
        <v>77</v>
      </c>
      <c r="E108" t="s">
        <v>89</v>
      </c>
      <c r="F108" t="s">
        <v>7</v>
      </c>
      <c r="G108">
        <v>3</v>
      </c>
    </row>
    <row r="109" spans="1:7" x14ac:dyDescent="0.3">
      <c r="A109">
        <v>2019</v>
      </c>
      <c r="B109" t="s">
        <v>36</v>
      </c>
      <c r="C109" t="s">
        <v>100</v>
      </c>
      <c r="D109" t="s">
        <v>77</v>
      </c>
      <c r="E109" t="s">
        <v>88</v>
      </c>
      <c r="F109" t="s">
        <v>7</v>
      </c>
      <c r="G109">
        <v>1</v>
      </c>
    </row>
    <row r="110" spans="1:7" x14ac:dyDescent="0.3">
      <c r="A110">
        <v>2019</v>
      </c>
      <c r="B110" t="s">
        <v>53</v>
      </c>
      <c r="C110" t="s">
        <v>100</v>
      </c>
      <c r="D110" t="s">
        <v>77</v>
      </c>
      <c r="E110" t="s">
        <v>94</v>
      </c>
      <c r="F110" t="s">
        <v>7</v>
      </c>
      <c r="G110">
        <v>21</v>
      </c>
    </row>
    <row r="111" spans="1:7" x14ac:dyDescent="0.3">
      <c r="A111">
        <v>2019</v>
      </c>
      <c r="B111" t="s">
        <v>53</v>
      </c>
      <c r="C111" t="s">
        <v>100</v>
      </c>
      <c r="D111" t="s">
        <v>77</v>
      </c>
      <c r="E111" t="s">
        <v>87</v>
      </c>
      <c r="F111" t="s">
        <v>7</v>
      </c>
      <c r="G111">
        <v>43</v>
      </c>
    </row>
    <row r="112" spans="1:7" x14ac:dyDescent="0.3">
      <c r="A112">
        <v>2019</v>
      </c>
      <c r="B112" t="s">
        <v>53</v>
      </c>
      <c r="C112" t="s">
        <v>100</v>
      </c>
      <c r="D112" t="s">
        <v>77</v>
      </c>
      <c r="E112" t="s">
        <v>89</v>
      </c>
      <c r="F112" t="s">
        <v>7</v>
      </c>
      <c r="G112">
        <v>32</v>
      </c>
    </row>
    <row r="113" spans="1:7" x14ac:dyDescent="0.3">
      <c r="A113">
        <v>2019</v>
      </c>
      <c r="B113" t="s">
        <v>53</v>
      </c>
      <c r="C113" t="s">
        <v>100</v>
      </c>
      <c r="D113" t="s">
        <v>77</v>
      </c>
      <c r="E113" t="s">
        <v>88</v>
      </c>
      <c r="F113" t="s">
        <v>7</v>
      </c>
      <c r="G113">
        <v>1</v>
      </c>
    </row>
    <row r="114" spans="1:7" x14ac:dyDescent="0.3">
      <c r="A114">
        <v>2019</v>
      </c>
      <c r="B114" t="s">
        <v>37</v>
      </c>
      <c r="C114" t="s">
        <v>100</v>
      </c>
      <c r="D114" t="s">
        <v>77</v>
      </c>
      <c r="E114" t="s">
        <v>94</v>
      </c>
      <c r="F114" t="s">
        <v>7</v>
      </c>
      <c r="G114">
        <v>36</v>
      </c>
    </row>
    <row r="115" spans="1:7" x14ac:dyDescent="0.3">
      <c r="A115">
        <v>2019</v>
      </c>
      <c r="B115" t="s">
        <v>37</v>
      </c>
      <c r="C115" t="s">
        <v>100</v>
      </c>
      <c r="D115" t="s">
        <v>77</v>
      </c>
      <c r="E115" t="s">
        <v>87</v>
      </c>
      <c r="F115" t="s">
        <v>7</v>
      </c>
      <c r="G115">
        <v>25</v>
      </c>
    </row>
    <row r="116" spans="1:7" x14ac:dyDescent="0.3">
      <c r="A116">
        <v>2019</v>
      </c>
      <c r="B116" t="s">
        <v>37</v>
      </c>
      <c r="C116" t="s">
        <v>100</v>
      </c>
      <c r="D116" t="s">
        <v>77</v>
      </c>
      <c r="E116" t="s">
        <v>89</v>
      </c>
      <c r="F116" t="s">
        <v>7</v>
      </c>
      <c r="G116">
        <v>6</v>
      </c>
    </row>
    <row r="117" spans="1:7" x14ac:dyDescent="0.3">
      <c r="A117">
        <v>2019</v>
      </c>
      <c r="B117" t="s">
        <v>37</v>
      </c>
      <c r="C117" t="s">
        <v>100</v>
      </c>
      <c r="D117" t="s">
        <v>77</v>
      </c>
      <c r="E117" t="s">
        <v>88</v>
      </c>
      <c r="F117" t="s">
        <v>7</v>
      </c>
      <c r="G117">
        <v>2</v>
      </c>
    </row>
    <row r="118" spans="1:7" x14ac:dyDescent="0.3">
      <c r="A118">
        <v>2019</v>
      </c>
      <c r="B118" t="s">
        <v>39</v>
      </c>
      <c r="C118" t="s">
        <v>100</v>
      </c>
      <c r="D118" t="s">
        <v>77</v>
      </c>
      <c r="E118" t="s">
        <v>94</v>
      </c>
      <c r="F118" t="s">
        <v>7</v>
      </c>
      <c r="G118">
        <v>38</v>
      </c>
    </row>
    <row r="119" spans="1:7" x14ac:dyDescent="0.3">
      <c r="A119">
        <v>2019</v>
      </c>
      <c r="B119" t="s">
        <v>39</v>
      </c>
      <c r="C119" t="s">
        <v>100</v>
      </c>
      <c r="D119" t="s">
        <v>77</v>
      </c>
      <c r="E119" t="s">
        <v>87</v>
      </c>
      <c r="F119" t="s">
        <v>7</v>
      </c>
      <c r="G119">
        <v>25</v>
      </c>
    </row>
    <row r="120" spans="1:7" x14ac:dyDescent="0.3">
      <c r="A120">
        <v>2019</v>
      </c>
      <c r="B120" t="s">
        <v>39</v>
      </c>
      <c r="C120" t="s">
        <v>100</v>
      </c>
      <c r="D120" t="s">
        <v>77</v>
      </c>
      <c r="E120" t="s">
        <v>89</v>
      </c>
      <c r="F120" t="s">
        <v>7</v>
      </c>
      <c r="G120">
        <v>12</v>
      </c>
    </row>
    <row r="121" spans="1:7" x14ac:dyDescent="0.3">
      <c r="A121">
        <v>2019</v>
      </c>
      <c r="B121" t="s">
        <v>39</v>
      </c>
      <c r="C121" t="s">
        <v>100</v>
      </c>
      <c r="D121" t="s">
        <v>77</v>
      </c>
      <c r="E121" t="s">
        <v>88</v>
      </c>
      <c r="F121" t="s">
        <v>7</v>
      </c>
      <c r="G121">
        <v>3</v>
      </c>
    </row>
    <row r="122" spans="1:7" x14ac:dyDescent="0.3">
      <c r="A122">
        <v>2019</v>
      </c>
      <c r="B122" t="s">
        <v>40</v>
      </c>
      <c r="C122" t="s">
        <v>100</v>
      </c>
      <c r="D122" t="s">
        <v>77</v>
      </c>
      <c r="E122" t="s">
        <v>94</v>
      </c>
      <c r="F122" t="s">
        <v>7</v>
      </c>
      <c r="G122">
        <v>40</v>
      </c>
    </row>
    <row r="123" spans="1:7" x14ac:dyDescent="0.3">
      <c r="A123">
        <v>2019</v>
      </c>
      <c r="B123" t="s">
        <v>40</v>
      </c>
      <c r="C123" t="s">
        <v>100</v>
      </c>
      <c r="D123" t="s">
        <v>77</v>
      </c>
      <c r="E123" t="s">
        <v>87</v>
      </c>
      <c r="F123" t="s">
        <v>7</v>
      </c>
      <c r="G123">
        <v>7</v>
      </c>
    </row>
    <row r="124" spans="1:7" x14ac:dyDescent="0.3">
      <c r="A124">
        <v>2019</v>
      </c>
      <c r="B124" t="s">
        <v>40</v>
      </c>
      <c r="C124" t="s">
        <v>100</v>
      </c>
      <c r="D124" t="s">
        <v>77</v>
      </c>
      <c r="E124" t="s">
        <v>89</v>
      </c>
      <c r="F124" t="s">
        <v>7</v>
      </c>
      <c r="G124">
        <v>4</v>
      </c>
    </row>
    <row r="125" spans="1:7" x14ac:dyDescent="0.3">
      <c r="A125">
        <v>2019</v>
      </c>
      <c r="B125" t="s">
        <v>40</v>
      </c>
      <c r="C125" t="s">
        <v>100</v>
      </c>
      <c r="D125" t="s">
        <v>77</v>
      </c>
      <c r="E125" t="s">
        <v>88</v>
      </c>
      <c r="F125" t="s">
        <v>7</v>
      </c>
    </row>
    <row r="126" spans="1:7" x14ac:dyDescent="0.3">
      <c r="A126">
        <v>2019</v>
      </c>
      <c r="B126" t="s">
        <v>41</v>
      </c>
      <c r="C126" t="s">
        <v>100</v>
      </c>
      <c r="D126" t="s">
        <v>77</v>
      </c>
      <c r="E126" t="s">
        <v>94</v>
      </c>
      <c r="F126" t="s">
        <v>7</v>
      </c>
      <c r="G126">
        <v>16</v>
      </c>
    </row>
    <row r="127" spans="1:7" x14ac:dyDescent="0.3">
      <c r="A127">
        <v>2019</v>
      </c>
      <c r="B127" t="s">
        <v>41</v>
      </c>
      <c r="C127" t="s">
        <v>100</v>
      </c>
      <c r="D127" t="s">
        <v>77</v>
      </c>
      <c r="E127" t="s">
        <v>87</v>
      </c>
      <c r="F127" t="s">
        <v>7</v>
      </c>
      <c r="G127">
        <v>8</v>
      </c>
    </row>
    <row r="128" spans="1:7" x14ac:dyDescent="0.3">
      <c r="A128">
        <v>2019</v>
      </c>
      <c r="B128" t="s">
        <v>41</v>
      </c>
      <c r="C128" t="s">
        <v>100</v>
      </c>
      <c r="D128" t="s">
        <v>77</v>
      </c>
      <c r="E128" t="s">
        <v>89</v>
      </c>
      <c r="F128" t="s">
        <v>7</v>
      </c>
      <c r="G128">
        <v>1</v>
      </c>
    </row>
    <row r="129" spans="1:7" x14ac:dyDescent="0.3">
      <c r="A129">
        <v>2019</v>
      </c>
      <c r="B129" t="s">
        <v>41</v>
      </c>
      <c r="C129" t="s">
        <v>100</v>
      </c>
      <c r="D129" t="s">
        <v>77</v>
      </c>
      <c r="E129" t="s">
        <v>88</v>
      </c>
      <c r="F129" t="s">
        <v>7</v>
      </c>
    </row>
    <row r="130" spans="1:7" x14ac:dyDescent="0.3">
      <c r="A130">
        <v>2019</v>
      </c>
      <c r="B130" t="s">
        <v>42</v>
      </c>
      <c r="C130" t="s">
        <v>100</v>
      </c>
      <c r="D130" t="s">
        <v>77</v>
      </c>
      <c r="E130" t="s">
        <v>94</v>
      </c>
      <c r="F130" t="s">
        <v>7</v>
      </c>
      <c r="G130">
        <v>24</v>
      </c>
    </row>
    <row r="131" spans="1:7" x14ac:dyDescent="0.3">
      <c r="A131">
        <v>2019</v>
      </c>
      <c r="B131" t="s">
        <v>42</v>
      </c>
      <c r="C131" t="s">
        <v>100</v>
      </c>
      <c r="D131" t="s">
        <v>77</v>
      </c>
      <c r="E131" t="s">
        <v>87</v>
      </c>
      <c r="F131" t="s">
        <v>7</v>
      </c>
      <c r="G131">
        <v>21</v>
      </c>
    </row>
    <row r="132" spans="1:7" x14ac:dyDescent="0.3">
      <c r="A132">
        <v>2019</v>
      </c>
      <c r="B132" t="s">
        <v>42</v>
      </c>
      <c r="C132" t="s">
        <v>100</v>
      </c>
      <c r="D132" t="s">
        <v>77</v>
      </c>
      <c r="E132" t="s">
        <v>89</v>
      </c>
      <c r="F132" t="s">
        <v>7</v>
      </c>
      <c r="G132">
        <v>3</v>
      </c>
    </row>
    <row r="133" spans="1:7" x14ac:dyDescent="0.3">
      <c r="A133">
        <v>2019</v>
      </c>
      <c r="B133" t="s">
        <v>42</v>
      </c>
      <c r="C133" t="s">
        <v>100</v>
      </c>
      <c r="D133" t="s">
        <v>77</v>
      </c>
      <c r="E133" t="s">
        <v>88</v>
      </c>
      <c r="F133" t="s">
        <v>7</v>
      </c>
    </row>
    <row r="134" spans="1:7" x14ac:dyDescent="0.3">
      <c r="A134">
        <v>2019</v>
      </c>
      <c r="B134" t="s">
        <v>43</v>
      </c>
      <c r="C134" t="s">
        <v>100</v>
      </c>
      <c r="D134" t="s">
        <v>77</v>
      </c>
      <c r="E134" t="s">
        <v>94</v>
      </c>
      <c r="F134" t="s">
        <v>7</v>
      </c>
      <c r="G134">
        <v>44</v>
      </c>
    </row>
    <row r="135" spans="1:7" x14ac:dyDescent="0.3">
      <c r="A135">
        <v>2019</v>
      </c>
      <c r="B135" t="s">
        <v>43</v>
      </c>
      <c r="C135" t="s">
        <v>100</v>
      </c>
      <c r="D135" t="s">
        <v>77</v>
      </c>
      <c r="E135" t="s">
        <v>87</v>
      </c>
      <c r="F135" t="s">
        <v>7</v>
      </c>
      <c r="G135">
        <v>6</v>
      </c>
    </row>
    <row r="136" spans="1:7" x14ac:dyDescent="0.3">
      <c r="A136">
        <v>2019</v>
      </c>
      <c r="B136" t="s">
        <v>43</v>
      </c>
      <c r="C136" t="s">
        <v>100</v>
      </c>
      <c r="D136" t="s">
        <v>77</v>
      </c>
      <c r="E136" t="s">
        <v>89</v>
      </c>
      <c r="F136" t="s">
        <v>7</v>
      </c>
      <c r="G136">
        <v>2</v>
      </c>
    </row>
    <row r="137" spans="1:7" x14ac:dyDescent="0.3">
      <c r="A137">
        <v>2019</v>
      </c>
      <c r="B137" t="s">
        <v>43</v>
      </c>
      <c r="C137" t="s">
        <v>100</v>
      </c>
      <c r="D137" t="s">
        <v>77</v>
      </c>
      <c r="E137" t="s">
        <v>88</v>
      </c>
      <c r="F137" t="s">
        <v>7</v>
      </c>
    </row>
    <row r="138" spans="1:7" x14ac:dyDescent="0.3">
      <c r="A138">
        <v>2019</v>
      </c>
      <c r="B138" t="s">
        <v>44</v>
      </c>
      <c r="C138" t="s">
        <v>100</v>
      </c>
      <c r="D138" t="s">
        <v>77</v>
      </c>
      <c r="E138" t="s">
        <v>94</v>
      </c>
      <c r="F138" t="s">
        <v>7</v>
      </c>
      <c r="G138">
        <v>23</v>
      </c>
    </row>
    <row r="139" spans="1:7" x14ac:dyDescent="0.3">
      <c r="A139">
        <v>2019</v>
      </c>
      <c r="B139" t="s">
        <v>44</v>
      </c>
      <c r="C139" t="s">
        <v>100</v>
      </c>
      <c r="D139" t="s">
        <v>77</v>
      </c>
      <c r="E139" t="s">
        <v>87</v>
      </c>
      <c r="F139" t="s">
        <v>7</v>
      </c>
      <c r="G139">
        <v>12</v>
      </c>
    </row>
    <row r="140" spans="1:7" x14ac:dyDescent="0.3">
      <c r="A140">
        <v>2019</v>
      </c>
      <c r="B140" t="s">
        <v>44</v>
      </c>
      <c r="C140" t="s">
        <v>100</v>
      </c>
      <c r="D140" t="s">
        <v>77</v>
      </c>
      <c r="E140" t="s">
        <v>89</v>
      </c>
      <c r="F140" t="s">
        <v>7</v>
      </c>
      <c r="G140">
        <v>4</v>
      </c>
    </row>
    <row r="141" spans="1:7" x14ac:dyDescent="0.3">
      <c r="A141">
        <v>2019</v>
      </c>
      <c r="B141" t="s">
        <v>44</v>
      </c>
      <c r="C141" t="s">
        <v>100</v>
      </c>
      <c r="D141" t="s">
        <v>77</v>
      </c>
      <c r="E141" t="s">
        <v>88</v>
      </c>
      <c r="F141" t="s">
        <v>7</v>
      </c>
    </row>
    <row r="142" spans="1:7" x14ac:dyDescent="0.3">
      <c r="A142">
        <v>2019</v>
      </c>
      <c r="B142" t="s">
        <v>54</v>
      </c>
      <c r="C142" t="s">
        <v>100</v>
      </c>
      <c r="D142" t="s">
        <v>77</v>
      </c>
      <c r="E142" t="s">
        <v>94</v>
      </c>
      <c r="F142" t="s">
        <v>7</v>
      </c>
      <c r="G142">
        <v>1</v>
      </c>
    </row>
    <row r="143" spans="1:7" x14ac:dyDescent="0.3">
      <c r="A143">
        <v>2019</v>
      </c>
      <c r="B143" t="s">
        <v>54</v>
      </c>
      <c r="C143" t="s">
        <v>100</v>
      </c>
      <c r="D143" t="s">
        <v>77</v>
      </c>
      <c r="E143" t="s">
        <v>87</v>
      </c>
      <c r="F143" t="s">
        <v>7</v>
      </c>
      <c r="G143">
        <v>20</v>
      </c>
    </row>
    <row r="144" spans="1:7" x14ac:dyDescent="0.3">
      <c r="A144">
        <v>2019</v>
      </c>
      <c r="B144" t="s">
        <v>54</v>
      </c>
      <c r="C144" t="s">
        <v>100</v>
      </c>
      <c r="D144" t="s">
        <v>77</v>
      </c>
      <c r="E144" t="s">
        <v>89</v>
      </c>
      <c r="F144" t="s">
        <v>7</v>
      </c>
      <c r="G144">
        <v>8</v>
      </c>
    </row>
    <row r="145" spans="1:7" x14ac:dyDescent="0.3">
      <c r="A145">
        <v>2019</v>
      </c>
      <c r="B145" t="s">
        <v>54</v>
      </c>
      <c r="C145" t="s">
        <v>100</v>
      </c>
      <c r="D145" t="s">
        <v>77</v>
      </c>
      <c r="E145" t="s">
        <v>88</v>
      </c>
      <c r="F145" t="s">
        <v>7</v>
      </c>
      <c r="G145">
        <v>0</v>
      </c>
    </row>
    <row r="146" spans="1:7" x14ac:dyDescent="0.3">
      <c r="A146">
        <v>2019</v>
      </c>
      <c r="B146" t="s">
        <v>45</v>
      </c>
      <c r="C146" t="s">
        <v>100</v>
      </c>
      <c r="D146" t="s">
        <v>77</v>
      </c>
      <c r="E146" t="s">
        <v>94</v>
      </c>
      <c r="F146" t="s">
        <v>7</v>
      </c>
      <c r="G146">
        <v>38</v>
      </c>
    </row>
    <row r="147" spans="1:7" x14ac:dyDescent="0.3">
      <c r="A147">
        <v>2019</v>
      </c>
      <c r="B147" t="s">
        <v>45</v>
      </c>
      <c r="C147" t="s">
        <v>100</v>
      </c>
      <c r="D147" t="s">
        <v>77</v>
      </c>
      <c r="E147" t="s">
        <v>87</v>
      </c>
      <c r="F147" t="s">
        <v>7</v>
      </c>
      <c r="G147">
        <v>11</v>
      </c>
    </row>
    <row r="148" spans="1:7" x14ac:dyDescent="0.3">
      <c r="A148">
        <v>2019</v>
      </c>
      <c r="B148" t="s">
        <v>45</v>
      </c>
      <c r="C148" t="s">
        <v>100</v>
      </c>
      <c r="D148" t="s">
        <v>77</v>
      </c>
      <c r="E148" t="s">
        <v>89</v>
      </c>
      <c r="F148" t="s">
        <v>7</v>
      </c>
      <c r="G148">
        <v>10</v>
      </c>
    </row>
    <row r="149" spans="1:7" x14ac:dyDescent="0.3">
      <c r="A149">
        <v>2019</v>
      </c>
      <c r="B149" t="s">
        <v>45</v>
      </c>
      <c r="C149" t="s">
        <v>100</v>
      </c>
      <c r="D149" t="s">
        <v>77</v>
      </c>
      <c r="E149" t="s">
        <v>88</v>
      </c>
      <c r="F149" t="s">
        <v>7</v>
      </c>
      <c r="G149">
        <v>0</v>
      </c>
    </row>
    <row r="150" spans="1:7" x14ac:dyDescent="0.3">
      <c r="A150">
        <v>2019</v>
      </c>
      <c r="B150" t="s">
        <v>46</v>
      </c>
      <c r="C150" t="s">
        <v>100</v>
      </c>
      <c r="D150" t="s">
        <v>77</v>
      </c>
      <c r="E150" t="s">
        <v>94</v>
      </c>
      <c r="F150" t="s">
        <v>7</v>
      </c>
      <c r="G150">
        <v>36</v>
      </c>
    </row>
    <row r="151" spans="1:7" x14ac:dyDescent="0.3">
      <c r="A151">
        <v>2019</v>
      </c>
      <c r="B151" t="s">
        <v>46</v>
      </c>
      <c r="C151" t="s">
        <v>100</v>
      </c>
      <c r="D151" t="s">
        <v>77</v>
      </c>
      <c r="E151" t="s">
        <v>87</v>
      </c>
      <c r="F151" t="s">
        <v>7</v>
      </c>
      <c r="G151">
        <v>7</v>
      </c>
    </row>
    <row r="152" spans="1:7" x14ac:dyDescent="0.3">
      <c r="A152">
        <v>2019</v>
      </c>
      <c r="B152" t="s">
        <v>46</v>
      </c>
      <c r="C152" t="s">
        <v>100</v>
      </c>
      <c r="D152" t="s">
        <v>77</v>
      </c>
      <c r="E152" t="s">
        <v>89</v>
      </c>
      <c r="F152" t="s">
        <v>7</v>
      </c>
      <c r="G152">
        <v>5</v>
      </c>
    </row>
    <row r="153" spans="1:7" x14ac:dyDescent="0.3">
      <c r="A153">
        <v>2019</v>
      </c>
      <c r="B153" t="s">
        <v>46</v>
      </c>
      <c r="C153" t="s">
        <v>100</v>
      </c>
      <c r="D153" t="s">
        <v>77</v>
      </c>
      <c r="E153" t="s">
        <v>88</v>
      </c>
      <c r="F153" t="s">
        <v>7</v>
      </c>
    </row>
    <row r="154" spans="1:7" x14ac:dyDescent="0.3">
      <c r="A154">
        <v>2019</v>
      </c>
      <c r="B154" t="s">
        <v>47</v>
      </c>
      <c r="C154" t="s">
        <v>100</v>
      </c>
      <c r="D154" t="s">
        <v>77</v>
      </c>
      <c r="E154" t="s">
        <v>94</v>
      </c>
      <c r="F154" t="s">
        <v>7</v>
      </c>
      <c r="G154">
        <v>7</v>
      </c>
    </row>
    <row r="155" spans="1:7" x14ac:dyDescent="0.3">
      <c r="A155">
        <v>2019</v>
      </c>
      <c r="B155" t="s">
        <v>47</v>
      </c>
      <c r="C155" t="s">
        <v>100</v>
      </c>
      <c r="D155" t="s">
        <v>77</v>
      </c>
      <c r="E155" t="s">
        <v>87</v>
      </c>
      <c r="F155" t="s">
        <v>7</v>
      </c>
      <c r="G155">
        <v>28</v>
      </c>
    </row>
    <row r="156" spans="1:7" x14ac:dyDescent="0.3">
      <c r="A156">
        <v>2019</v>
      </c>
      <c r="B156" t="s">
        <v>47</v>
      </c>
      <c r="C156" t="s">
        <v>100</v>
      </c>
      <c r="D156" t="s">
        <v>77</v>
      </c>
      <c r="E156" t="s">
        <v>89</v>
      </c>
      <c r="F156" t="s">
        <v>7</v>
      </c>
      <c r="G156">
        <v>15</v>
      </c>
    </row>
    <row r="157" spans="1:7" x14ac:dyDescent="0.3">
      <c r="A157">
        <v>2019</v>
      </c>
      <c r="B157" t="s">
        <v>47</v>
      </c>
      <c r="C157" t="s">
        <v>100</v>
      </c>
      <c r="D157" t="s">
        <v>77</v>
      </c>
      <c r="E157" t="s">
        <v>88</v>
      </c>
      <c r="F157" t="s">
        <v>7</v>
      </c>
      <c r="G157">
        <v>3</v>
      </c>
    </row>
    <row r="158" spans="1:7" x14ac:dyDescent="0.3">
      <c r="A158">
        <v>2019</v>
      </c>
      <c r="B158" t="s">
        <v>55</v>
      </c>
      <c r="C158" t="s">
        <v>100</v>
      </c>
      <c r="D158" t="s">
        <v>77</v>
      </c>
      <c r="E158" t="s">
        <v>94</v>
      </c>
      <c r="F158" t="s">
        <v>7</v>
      </c>
      <c r="G158">
        <v>0</v>
      </c>
    </row>
    <row r="159" spans="1:7" x14ac:dyDescent="0.3">
      <c r="A159">
        <v>2019</v>
      </c>
      <c r="B159" t="s">
        <v>55</v>
      </c>
      <c r="C159" t="s">
        <v>100</v>
      </c>
      <c r="D159" t="s">
        <v>77</v>
      </c>
      <c r="E159" t="s">
        <v>87</v>
      </c>
      <c r="F159" t="s">
        <v>7</v>
      </c>
      <c r="G159">
        <v>22</v>
      </c>
    </row>
    <row r="160" spans="1:7" x14ac:dyDescent="0.3">
      <c r="A160">
        <v>2019</v>
      </c>
      <c r="B160" t="s">
        <v>55</v>
      </c>
      <c r="C160" t="s">
        <v>100</v>
      </c>
      <c r="D160" t="s">
        <v>77</v>
      </c>
      <c r="E160" t="s">
        <v>89</v>
      </c>
      <c r="F160" t="s">
        <v>7</v>
      </c>
      <c r="G160">
        <v>10</v>
      </c>
    </row>
    <row r="161" spans="1:7" x14ac:dyDescent="0.3">
      <c r="A161">
        <v>2019</v>
      </c>
      <c r="B161" t="s">
        <v>55</v>
      </c>
      <c r="C161" t="s">
        <v>100</v>
      </c>
      <c r="D161" t="s">
        <v>77</v>
      </c>
      <c r="E161" t="s">
        <v>88</v>
      </c>
      <c r="F161" t="s">
        <v>7</v>
      </c>
      <c r="G161">
        <v>1</v>
      </c>
    </row>
    <row r="162" spans="1:7" x14ac:dyDescent="0.3">
      <c r="A162">
        <v>2019</v>
      </c>
      <c r="B162" t="s">
        <v>48</v>
      </c>
      <c r="C162" t="s">
        <v>100</v>
      </c>
      <c r="D162" t="s">
        <v>77</v>
      </c>
      <c r="E162" t="s">
        <v>94</v>
      </c>
      <c r="F162" t="s">
        <v>7</v>
      </c>
      <c r="G162">
        <v>16</v>
      </c>
    </row>
    <row r="163" spans="1:7" x14ac:dyDescent="0.3">
      <c r="A163">
        <v>2019</v>
      </c>
      <c r="B163" t="s">
        <v>48</v>
      </c>
      <c r="C163" t="s">
        <v>100</v>
      </c>
      <c r="D163" t="s">
        <v>77</v>
      </c>
      <c r="E163" t="s">
        <v>87</v>
      </c>
      <c r="F163" t="s">
        <v>7</v>
      </c>
      <c r="G163">
        <v>13</v>
      </c>
    </row>
    <row r="164" spans="1:7" x14ac:dyDescent="0.3">
      <c r="A164">
        <v>2019</v>
      </c>
      <c r="B164" t="s">
        <v>48</v>
      </c>
      <c r="C164" t="s">
        <v>100</v>
      </c>
      <c r="D164" t="s">
        <v>77</v>
      </c>
      <c r="E164" t="s">
        <v>89</v>
      </c>
      <c r="F164" t="s">
        <v>7</v>
      </c>
      <c r="G164">
        <v>4</v>
      </c>
    </row>
    <row r="165" spans="1:7" x14ac:dyDescent="0.3">
      <c r="A165">
        <v>2019</v>
      </c>
      <c r="B165" t="s">
        <v>48</v>
      </c>
      <c r="C165" t="s">
        <v>100</v>
      </c>
      <c r="D165" t="s">
        <v>77</v>
      </c>
      <c r="E165" t="s">
        <v>88</v>
      </c>
      <c r="F165" t="s">
        <v>7</v>
      </c>
      <c r="G165">
        <v>0</v>
      </c>
    </row>
    <row r="166" spans="1:7" x14ac:dyDescent="0.3">
      <c r="A166">
        <v>2019</v>
      </c>
      <c r="B166" t="s">
        <v>56</v>
      </c>
      <c r="C166" t="s">
        <v>100</v>
      </c>
      <c r="D166" t="s">
        <v>77</v>
      </c>
      <c r="E166" t="s">
        <v>94</v>
      </c>
      <c r="F166" t="s">
        <v>7</v>
      </c>
    </row>
    <row r="167" spans="1:7" x14ac:dyDescent="0.3">
      <c r="A167">
        <v>2019</v>
      </c>
      <c r="B167" t="s">
        <v>56</v>
      </c>
      <c r="C167" t="s">
        <v>100</v>
      </c>
      <c r="D167" t="s">
        <v>77</v>
      </c>
      <c r="E167" t="s">
        <v>87</v>
      </c>
      <c r="F167" t="s">
        <v>7</v>
      </c>
      <c r="G167">
        <v>52</v>
      </c>
    </row>
    <row r="168" spans="1:7" x14ac:dyDescent="0.3">
      <c r="A168">
        <v>2019</v>
      </c>
      <c r="B168" t="s">
        <v>56</v>
      </c>
      <c r="C168" t="s">
        <v>100</v>
      </c>
      <c r="D168" t="s">
        <v>77</v>
      </c>
      <c r="E168" t="s">
        <v>89</v>
      </c>
      <c r="F168" t="s">
        <v>7</v>
      </c>
      <c r="G168">
        <v>9</v>
      </c>
    </row>
    <row r="169" spans="1:7" x14ac:dyDescent="0.3">
      <c r="A169">
        <v>2019</v>
      </c>
      <c r="B169" t="s">
        <v>56</v>
      </c>
      <c r="C169" t="s">
        <v>100</v>
      </c>
      <c r="D169" t="s">
        <v>77</v>
      </c>
      <c r="E169" t="s">
        <v>88</v>
      </c>
      <c r="F169" t="s">
        <v>7</v>
      </c>
    </row>
    <row r="170" spans="1:7" x14ac:dyDescent="0.3">
      <c r="A170">
        <v>2019</v>
      </c>
      <c r="B170" t="s">
        <v>49</v>
      </c>
      <c r="C170" t="s">
        <v>100</v>
      </c>
      <c r="D170" t="s">
        <v>77</v>
      </c>
      <c r="E170" t="s">
        <v>94</v>
      </c>
      <c r="F170" t="s">
        <v>7</v>
      </c>
      <c r="G170">
        <v>38</v>
      </c>
    </row>
    <row r="171" spans="1:7" x14ac:dyDescent="0.3">
      <c r="A171">
        <v>2019</v>
      </c>
      <c r="B171" t="s">
        <v>49</v>
      </c>
      <c r="C171" t="s">
        <v>100</v>
      </c>
      <c r="D171" t="s">
        <v>77</v>
      </c>
      <c r="E171" t="s">
        <v>87</v>
      </c>
      <c r="F171" t="s">
        <v>7</v>
      </c>
      <c r="G171">
        <v>13</v>
      </c>
    </row>
    <row r="172" spans="1:7" x14ac:dyDescent="0.3">
      <c r="A172">
        <v>2019</v>
      </c>
      <c r="B172" t="s">
        <v>49</v>
      </c>
      <c r="C172" t="s">
        <v>100</v>
      </c>
      <c r="D172" t="s">
        <v>77</v>
      </c>
      <c r="E172" t="s">
        <v>89</v>
      </c>
      <c r="F172" t="s">
        <v>7</v>
      </c>
      <c r="G172">
        <v>4</v>
      </c>
    </row>
    <row r="173" spans="1:7" x14ac:dyDescent="0.3">
      <c r="A173">
        <v>2019</v>
      </c>
      <c r="B173" t="s">
        <v>49</v>
      </c>
      <c r="C173" t="s">
        <v>100</v>
      </c>
      <c r="D173" t="s">
        <v>77</v>
      </c>
      <c r="E173" t="s">
        <v>88</v>
      </c>
      <c r="F173" t="s">
        <v>7</v>
      </c>
      <c r="G173">
        <v>0</v>
      </c>
    </row>
    <row r="174" spans="1:7" x14ac:dyDescent="0.3">
      <c r="A174">
        <v>2019</v>
      </c>
      <c r="B174" t="s">
        <v>57</v>
      </c>
      <c r="C174" t="s">
        <v>100</v>
      </c>
      <c r="D174" t="s">
        <v>77</v>
      </c>
      <c r="E174" t="s">
        <v>94</v>
      </c>
      <c r="F174" t="s">
        <v>7</v>
      </c>
      <c r="G174">
        <v>19</v>
      </c>
    </row>
    <row r="175" spans="1:7" x14ac:dyDescent="0.3">
      <c r="A175">
        <v>2019</v>
      </c>
      <c r="B175" t="s">
        <v>57</v>
      </c>
      <c r="C175" t="s">
        <v>100</v>
      </c>
      <c r="D175" t="s">
        <v>77</v>
      </c>
      <c r="E175" t="s">
        <v>87</v>
      </c>
      <c r="F175" t="s">
        <v>7</v>
      </c>
      <c r="G175">
        <v>61</v>
      </c>
    </row>
    <row r="176" spans="1:7" x14ac:dyDescent="0.3">
      <c r="A176">
        <v>2019</v>
      </c>
      <c r="B176" t="s">
        <v>57</v>
      </c>
      <c r="C176" t="s">
        <v>100</v>
      </c>
      <c r="D176" t="s">
        <v>77</v>
      </c>
      <c r="E176" t="s">
        <v>89</v>
      </c>
      <c r="F176" t="s">
        <v>7</v>
      </c>
      <c r="G176">
        <v>19</v>
      </c>
    </row>
    <row r="177" spans="1:7" x14ac:dyDescent="0.3">
      <c r="A177">
        <v>2019</v>
      </c>
      <c r="B177" t="s">
        <v>57</v>
      </c>
      <c r="C177" t="s">
        <v>100</v>
      </c>
      <c r="D177" t="s">
        <v>77</v>
      </c>
      <c r="E177" t="s">
        <v>88</v>
      </c>
      <c r="F177" t="s">
        <v>7</v>
      </c>
      <c r="G177">
        <v>2</v>
      </c>
    </row>
    <row r="178" spans="1:7" x14ac:dyDescent="0.3">
      <c r="A178">
        <v>2019</v>
      </c>
      <c r="B178" t="s">
        <v>23</v>
      </c>
      <c r="C178" t="s">
        <v>100</v>
      </c>
      <c r="D178" t="s">
        <v>77</v>
      </c>
      <c r="E178" t="s">
        <v>94</v>
      </c>
      <c r="F178" t="s">
        <v>7</v>
      </c>
      <c r="G178">
        <v>62</v>
      </c>
    </row>
    <row r="179" spans="1:7" x14ac:dyDescent="0.3">
      <c r="A179">
        <v>2019</v>
      </c>
      <c r="B179" t="s">
        <v>23</v>
      </c>
      <c r="C179" t="s">
        <v>100</v>
      </c>
      <c r="D179" t="s">
        <v>77</v>
      </c>
      <c r="E179" t="s">
        <v>87</v>
      </c>
      <c r="F179" t="s">
        <v>7</v>
      </c>
      <c r="G179">
        <v>26</v>
      </c>
    </row>
    <row r="180" spans="1:7" x14ac:dyDescent="0.3">
      <c r="A180">
        <v>2019</v>
      </c>
      <c r="B180" t="s">
        <v>23</v>
      </c>
      <c r="C180" t="s">
        <v>100</v>
      </c>
      <c r="D180" t="s">
        <v>77</v>
      </c>
      <c r="E180" t="s">
        <v>89</v>
      </c>
      <c r="F180" t="s">
        <v>7</v>
      </c>
      <c r="G180">
        <v>23</v>
      </c>
    </row>
    <row r="181" spans="1:7" x14ac:dyDescent="0.3">
      <c r="A181">
        <v>2019</v>
      </c>
      <c r="B181" t="s">
        <v>23</v>
      </c>
      <c r="C181" t="s">
        <v>100</v>
      </c>
      <c r="D181" t="s">
        <v>77</v>
      </c>
      <c r="E181" t="s">
        <v>88</v>
      </c>
      <c r="F181" t="s">
        <v>7</v>
      </c>
      <c r="G181">
        <v>0</v>
      </c>
    </row>
    <row r="182" spans="1:7" x14ac:dyDescent="0.3">
      <c r="A182">
        <v>2019</v>
      </c>
      <c r="B182" t="s">
        <v>38</v>
      </c>
      <c r="C182" t="s">
        <v>100</v>
      </c>
      <c r="D182" t="s">
        <v>77</v>
      </c>
      <c r="E182" t="s">
        <v>94</v>
      </c>
      <c r="F182" t="s">
        <v>7</v>
      </c>
    </row>
    <row r="183" spans="1:7" x14ac:dyDescent="0.3">
      <c r="A183">
        <v>2019</v>
      </c>
      <c r="B183" t="s">
        <v>38</v>
      </c>
      <c r="C183" t="s">
        <v>100</v>
      </c>
      <c r="D183" t="s">
        <v>77</v>
      </c>
      <c r="E183" t="s">
        <v>87</v>
      </c>
      <c r="F183" t="s">
        <v>7</v>
      </c>
    </row>
    <row r="184" spans="1:7" x14ac:dyDescent="0.3">
      <c r="A184">
        <v>2019</v>
      </c>
      <c r="B184" t="s">
        <v>38</v>
      </c>
      <c r="C184" t="s">
        <v>100</v>
      </c>
      <c r="D184" t="s">
        <v>77</v>
      </c>
      <c r="E184" t="s">
        <v>89</v>
      </c>
      <c r="F184" t="s">
        <v>7</v>
      </c>
    </row>
    <row r="185" spans="1:7" x14ac:dyDescent="0.3">
      <c r="A185">
        <v>2019</v>
      </c>
      <c r="B185" t="s">
        <v>38</v>
      </c>
      <c r="C185" t="s">
        <v>100</v>
      </c>
      <c r="D185" t="s">
        <v>77</v>
      </c>
      <c r="E185" t="s">
        <v>88</v>
      </c>
      <c r="F185" t="s">
        <v>7</v>
      </c>
      <c r="G185">
        <v>2</v>
      </c>
    </row>
    <row r="186" spans="1:7" x14ac:dyDescent="0.3">
      <c r="A186">
        <v>2019</v>
      </c>
      <c r="B186" t="s">
        <v>12</v>
      </c>
      <c r="C186" t="s">
        <v>100</v>
      </c>
      <c r="D186" t="s">
        <v>77</v>
      </c>
      <c r="E186" t="s">
        <v>94</v>
      </c>
      <c r="F186" t="s">
        <v>8</v>
      </c>
      <c r="G186">
        <v>2</v>
      </c>
    </row>
    <row r="187" spans="1:7" x14ac:dyDescent="0.3">
      <c r="A187">
        <v>2019</v>
      </c>
      <c r="B187" t="s">
        <v>12</v>
      </c>
      <c r="C187" t="s">
        <v>100</v>
      </c>
      <c r="D187" t="s">
        <v>77</v>
      </c>
      <c r="E187" t="s">
        <v>87</v>
      </c>
      <c r="F187" t="s">
        <v>8</v>
      </c>
      <c r="G187">
        <v>3</v>
      </c>
    </row>
    <row r="188" spans="1:7" x14ac:dyDescent="0.3">
      <c r="A188">
        <v>2019</v>
      </c>
      <c r="B188" t="s">
        <v>12</v>
      </c>
      <c r="C188" t="s">
        <v>100</v>
      </c>
      <c r="D188" t="s">
        <v>77</v>
      </c>
      <c r="E188" t="s">
        <v>89</v>
      </c>
      <c r="F188" t="s">
        <v>8</v>
      </c>
      <c r="G188">
        <v>15</v>
      </c>
    </row>
    <row r="189" spans="1:7" x14ac:dyDescent="0.3">
      <c r="A189">
        <v>2019</v>
      </c>
      <c r="B189" t="s">
        <v>12</v>
      </c>
      <c r="C189" t="s">
        <v>100</v>
      </c>
      <c r="D189" t="s">
        <v>77</v>
      </c>
      <c r="E189" t="s">
        <v>88</v>
      </c>
      <c r="F189" t="s">
        <v>8</v>
      </c>
      <c r="G189">
        <v>3</v>
      </c>
    </row>
    <row r="190" spans="1:7" x14ac:dyDescent="0.3">
      <c r="A190">
        <v>2019</v>
      </c>
      <c r="B190" t="s">
        <v>13</v>
      </c>
      <c r="C190" t="s">
        <v>100</v>
      </c>
      <c r="D190" t="s">
        <v>77</v>
      </c>
      <c r="E190" t="s">
        <v>94</v>
      </c>
      <c r="F190" t="s">
        <v>8</v>
      </c>
      <c r="G190">
        <v>2</v>
      </c>
    </row>
    <row r="191" spans="1:7" x14ac:dyDescent="0.3">
      <c r="A191">
        <v>2019</v>
      </c>
      <c r="B191" t="s">
        <v>13</v>
      </c>
      <c r="C191" t="s">
        <v>100</v>
      </c>
      <c r="D191" t="s">
        <v>77</v>
      </c>
      <c r="E191" t="s">
        <v>87</v>
      </c>
      <c r="F191" t="s">
        <v>8</v>
      </c>
      <c r="G191">
        <v>1</v>
      </c>
    </row>
    <row r="192" spans="1:7" x14ac:dyDescent="0.3">
      <c r="A192">
        <v>2019</v>
      </c>
      <c r="B192" t="s">
        <v>13</v>
      </c>
      <c r="C192" t="s">
        <v>100</v>
      </c>
      <c r="D192" t="s">
        <v>77</v>
      </c>
      <c r="E192" t="s">
        <v>89</v>
      </c>
      <c r="F192" t="s">
        <v>8</v>
      </c>
      <c r="G192">
        <v>9</v>
      </c>
    </row>
    <row r="193" spans="1:7" x14ac:dyDescent="0.3">
      <c r="A193">
        <v>2019</v>
      </c>
      <c r="B193" t="s">
        <v>13</v>
      </c>
      <c r="C193" t="s">
        <v>100</v>
      </c>
      <c r="D193" t="s">
        <v>77</v>
      </c>
      <c r="E193" t="s">
        <v>88</v>
      </c>
      <c r="F193" t="s">
        <v>8</v>
      </c>
      <c r="G193">
        <v>2</v>
      </c>
    </row>
    <row r="194" spans="1:7" x14ac:dyDescent="0.3">
      <c r="A194">
        <v>2019</v>
      </c>
      <c r="B194" t="s">
        <v>14</v>
      </c>
      <c r="C194" t="s">
        <v>100</v>
      </c>
      <c r="D194" t="s">
        <v>77</v>
      </c>
      <c r="E194" t="s">
        <v>94</v>
      </c>
      <c r="F194" t="s">
        <v>8</v>
      </c>
      <c r="G194">
        <v>4</v>
      </c>
    </row>
    <row r="195" spans="1:7" x14ac:dyDescent="0.3">
      <c r="A195">
        <v>2019</v>
      </c>
      <c r="B195" t="s">
        <v>14</v>
      </c>
      <c r="C195" t="s">
        <v>100</v>
      </c>
      <c r="D195" t="s">
        <v>77</v>
      </c>
      <c r="E195" t="s">
        <v>87</v>
      </c>
      <c r="F195" t="s">
        <v>8</v>
      </c>
      <c r="G195">
        <v>0</v>
      </c>
    </row>
    <row r="196" spans="1:7" x14ac:dyDescent="0.3">
      <c r="A196">
        <v>2019</v>
      </c>
      <c r="B196" t="s">
        <v>14</v>
      </c>
      <c r="C196" t="s">
        <v>100</v>
      </c>
      <c r="D196" t="s">
        <v>77</v>
      </c>
      <c r="E196" t="s">
        <v>89</v>
      </c>
      <c r="F196" t="s">
        <v>8</v>
      </c>
      <c r="G196">
        <v>19</v>
      </c>
    </row>
    <row r="197" spans="1:7" x14ac:dyDescent="0.3">
      <c r="A197">
        <v>2019</v>
      </c>
      <c r="B197" t="s">
        <v>14</v>
      </c>
      <c r="C197" t="s">
        <v>100</v>
      </c>
      <c r="D197" t="s">
        <v>77</v>
      </c>
      <c r="E197" t="s">
        <v>88</v>
      </c>
      <c r="F197" t="s">
        <v>8</v>
      </c>
      <c r="G197">
        <v>2</v>
      </c>
    </row>
    <row r="198" spans="1:7" x14ac:dyDescent="0.3">
      <c r="A198">
        <v>2019</v>
      </c>
      <c r="B198" t="s">
        <v>15</v>
      </c>
      <c r="C198" t="s">
        <v>100</v>
      </c>
      <c r="D198" t="s">
        <v>77</v>
      </c>
      <c r="E198" t="s">
        <v>94</v>
      </c>
      <c r="F198" t="s">
        <v>8</v>
      </c>
      <c r="G198">
        <v>3</v>
      </c>
    </row>
    <row r="199" spans="1:7" x14ac:dyDescent="0.3">
      <c r="A199">
        <v>2019</v>
      </c>
      <c r="B199" t="s">
        <v>15</v>
      </c>
      <c r="C199" t="s">
        <v>100</v>
      </c>
      <c r="D199" t="s">
        <v>77</v>
      </c>
      <c r="E199" t="s">
        <v>87</v>
      </c>
      <c r="F199" t="s">
        <v>8</v>
      </c>
      <c r="G199">
        <v>4</v>
      </c>
    </row>
    <row r="200" spans="1:7" x14ac:dyDescent="0.3">
      <c r="A200">
        <v>2019</v>
      </c>
      <c r="B200" t="s">
        <v>15</v>
      </c>
      <c r="C200" t="s">
        <v>100</v>
      </c>
      <c r="D200" t="s">
        <v>77</v>
      </c>
      <c r="E200" t="s">
        <v>89</v>
      </c>
      <c r="F200" t="s">
        <v>8</v>
      </c>
      <c r="G200">
        <v>4</v>
      </c>
    </row>
    <row r="201" spans="1:7" x14ac:dyDescent="0.3">
      <c r="A201">
        <v>2019</v>
      </c>
      <c r="B201" t="s">
        <v>15</v>
      </c>
      <c r="C201" t="s">
        <v>100</v>
      </c>
      <c r="D201" t="s">
        <v>77</v>
      </c>
      <c r="E201" t="s">
        <v>88</v>
      </c>
      <c r="F201" t="s">
        <v>8</v>
      </c>
    </row>
    <row r="202" spans="1:7" x14ac:dyDescent="0.3">
      <c r="A202">
        <v>2019</v>
      </c>
      <c r="B202" t="s">
        <v>16</v>
      </c>
      <c r="C202" t="s">
        <v>100</v>
      </c>
      <c r="D202" t="s">
        <v>77</v>
      </c>
      <c r="E202" t="s">
        <v>94</v>
      </c>
      <c r="F202" t="s">
        <v>8</v>
      </c>
      <c r="G202">
        <v>2</v>
      </c>
    </row>
    <row r="203" spans="1:7" x14ac:dyDescent="0.3">
      <c r="A203">
        <v>2019</v>
      </c>
      <c r="B203" t="s">
        <v>16</v>
      </c>
      <c r="C203" t="s">
        <v>100</v>
      </c>
      <c r="D203" t="s">
        <v>77</v>
      </c>
      <c r="E203" t="s">
        <v>87</v>
      </c>
      <c r="F203" t="s">
        <v>8</v>
      </c>
      <c r="G203">
        <v>2</v>
      </c>
    </row>
    <row r="204" spans="1:7" x14ac:dyDescent="0.3">
      <c r="A204">
        <v>2019</v>
      </c>
      <c r="B204" t="s">
        <v>16</v>
      </c>
      <c r="C204" t="s">
        <v>100</v>
      </c>
      <c r="D204" t="s">
        <v>77</v>
      </c>
      <c r="E204" t="s">
        <v>89</v>
      </c>
      <c r="F204" t="s">
        <v>8</v>
      </c>
      <c r="G204">
        <v>9</v>
      </c>
    </row>
    <row r="205" spans="1:7" x14ac:dyDescent="0.3">
      <c r="A205">
        <v>2019</v>
      </c>
      <c r="B205" t="s">
        <v>16</v>
      </c>
      <c r="C205" t="s">
        <v>100</v>
      </c>
      <c r="D205" t="s">
        <v>77</v>
      </c>
      <c r="E205" t="s">
        <v>88</v>
      </c>
      <c r="F205" t="s">
        <v>8</v>
      </c>
      <c r="G205">
        <v>10</v>
      </c>
    </row>
    <row r="206" spans="1:7" x14ac:dyDescent="0.3">
      <c r="A206">
        <v>2019</v>
      </c>
      <c r="B206" t="s">
        <v>17</v>
      </c>
      <c r="C206" t="s">
        <v>100</v>
      </c>
      <c r="D206" t="s">
        <v>77</v>
      </c>
      <c r="E206" t="s">
        <v>94</v>
      </c>
      <c r="F206" t="s">
        <v>8</v>
      </c>
      <c r="G206">
        <v>4</v>
      </c>
    </row>
    <row r="207" spans="1:7" x14ac:dyDescent="0.3">
      <c r="A207">
        <v>2019</v>
      </c>
      <c r="B207" t="s">
        <v>17</v>
      </c>
      <c r="C207" t="s">
        <v>100</v>
      </c>
      <c r="D207" t="s">
        <v>77</v>
      </c>
      <c r="E207" t="s">
        <v>87</v>
      </c>
      <c r="F207" t="s">
        <v>8</v>
      </c>
      <c r="G207">
        <v>10</v>
      </c>
    </row>
    <row r="208" spans="1:7" x14ac:dyDescent="0.3">
      <c r="A208">
        <v>2019</v>
      </c>
      <c r="B208" t="s">
        <v>17</v>
      </c>
      <c r="C208" t="s">
        <v>100</v>
      </c>
      <c r="D208" t="s">
        <v>77</v>
      </c>
      <c r="E208" t="s">
        <v>89</v>
      </c>
      <c r="F208" t="s">
        <v>8</v>
      </c>
      <c r="G208">
        <v>10</v>
      </c>
    </row>
    <row r="209" spans="1:7" x14ac:dyDescent="0.3">
      <c r="A209">
        <v>2019</v>
      </c>
      <c r="B209" t="s">
        <v>17</v>
      </c>
      <c r="C209" t="s">
        <v>100</v>
      </c>
      <c r="D209" t="s">
        <v>77</v>
      </c>
      <c r="E209" t="s">
        <v>88</v>
      </c>
      <c r="F209" t="s">
        <v>8</v>
      </c>
    </row>
    <row r="210" spans="1:7" x14ac:dyDescent="0.3">
      <c r="A210">
        <v>2019</v>
      </c>
      <c r="B210" t="s">
        <v>18</v>
      </c>
      <c r="C210" t="s">
        <v>100</v>
      </c>
      <c r="D210" t="s">
        <v>77</v>
      </c>
      <c r="E210" t="s">
        <v>94</v>
      </c>
      <c r="F210" t="s">
        <v>8</v>
      </c>
      <c r="G210">
        <v>1</v>
      </c>
    </row>
    <row r="211" spans="1:7" x14ac:dyDescent="0.3">
      <c r="A211">
        <v>2019</v>
      </c>
      <c r="B211" t="s">
        <v>18</v>
      </c>
      <c r="C211" t="s">
        <v>100</v>
      </c>
      <c r="D211" t="s">
        <v>77</v>
      </c>
      <c r="E211" t="s">
        <v>87</v>
      </c>
      <c r="F211" t="s">
        <v>8</v>
      </c>
      <c r="G211">
        <v>2</v>
      </c>
    </row>
    <row r="212" spans="1:7" x14ac:dyDescent="0.3">
      <c r="A212">
        <v>2019</v>
      </c>
      <c r="B212" t="s">
        <v>18</v>
      </c>
      <c r="C212" t="s">
        <v>100</v>
      </c>
      <c r="D212" t="s">
        <v>77</v>
      </c>
      <c r="E212" t="s">
        <v>89</v>
      </c>
      <c r="F212" t="s">
        <v>8</v>
      </c>
      <c r="G212">
        <v>7</v>
      </c>
    </row>
    <row r="213" spans="1:7" x14ac:dyDescent="0.3">
      <c r="A213">
        <v>2019</v>
      </c>
      <c r="B213" t="s">
        <v>18</v>
      </c>
      <c r="C213" t="s">
        <v>100</v>
      </c>
      <c r="D213" t="s">
        <v>77</v>
      </c>
      <c r="E213" t="s">
        <v>88</v>
      </c>
      <c r="F213" t="s">
        <v>8</v>
      </c>
      <c r="G213">
        <v>2</v>
      </c>
    </row>
    <row r="214" spans="1:7" x14ac:dyDescent="0.3">
      <c r="A214">
        <v>2019</v>
      </c>
      <c r="B214" t="s">
        <v>19</v>
      </c>
      <c r="C214" t="s">
        <v>100</v>
      </c>
      <c r="D214" t="s">
        <v>77</v>
      </c>
      <c r="E214" t="s">
        <v>94</v>
      </c>
      <c r="F214" t="s">
        <v>8</v>
      </c>
      <c r="G214">
        <v>3</v>
      </c>
    </row>
    <row r="215" spans="1:7" x14ac:dyDescent="0.3">
      <c r="A215">
        <v>2019</v>
      </c>
      <c r="B215" t="s">
        <v>19</v>
      </c>
      <c r="C215" t="s">
        <v>100</v>
      </c>
      <c r="D215" t="s">
        <v>77</v>
      </c>
      <c r="E215" t="s">
        <v>87</v>
      </c>
      <c r="F215" t="s">
        <v>8</v>
      </c>
      <c r="G215">
        <v>1</v>
      </c>
    </row>
    <row r="216" spans="1:7" x14ac:dyDescent="0.3">
      <c r="A216">
        <v>2019</v>
      </c>
      <c r="B216" t="s">
        <v>19</v>
      </c>
      <c r="C216" t="s">
        <v>100</v>
      </c>
      <c r="D216" t="s">
        <v>77</v>
      </c>
      <c r="E216" t="s">
        <v>89</v>
      </c>
      <c r="F216" t="s">
        <v>8</v>
      </c>
      <c r="G216">
        <v>10</v>
      </c>
    </row>
    <row r="217" spans="1:7" x14ac:dyDescent="0.3">
      <c r="A217">
        <v>2019</v>
      </c>
      <c r="B217" t="s">
        <v>19</v>
      </c>
      <c r="C217" t="s">
        <v>100</v>
      </c>
      <c r="D217" t="s">
        <v>77</v>
      </c>
      <c r="E217" t="s">
        <v>88</v>
      </c>
      <c r="F217" t="s">
        <v>8</v>
      </c>
      <c r="G217">
        <v>2</v>
      </c>
    </row>
    <row r="218" spans="1:7" x14ac:dyDescent="0.3">
      <c r="A218">
        <v>2019</v>
      </c>
      <c r="B218" t="s">
        <v>20</v>
      </c>
      <c r="C218" t="s">
        <v>100</v>
      </c>
      <c r="D218" t="s">
        <v>77</v>
      </c>
      <c r="E218" t="s">
        <v>94</v>
      </c>
      <c r="F218" t="s">
        <v>8</v>
      </c>
    </row>
    <row r="219" spans="1:7" x14ac:dyDescent="0.3">
      <c r="A219">
        <v>2019</v>
      </c>
      <c r="B219" t="s">
        <v>20</v>
      </c>
      <c r="C219" t="s">
        <v>100</v>
      </c>
      <c r="D219" t="s">
        <v>77</v>
      </c>
      <c r="E219" t="s">
        <v>87</v>
      </c>
      <c r="F219" t="s">
        <v>8</v>
      </c>
      <c r="G219">
        <v>1</v>
      </c>
    </row>
    <row r="220" spans="1:7" x14ac:dyDescent="0.3">
      <c r="A220">
        <v>2019</v>
      </c>
      <c r="B220" t="s">
        <v>20</v>
      </c>
      <c r="C220" t="s">
        <v>100</v>
      </c>
      <c r="D220" t="s">
        <v>77</v>
      </c>
      <c r="E220" t="s">
        <v>89</v>
      </c>
      <c r="F220" t="s">
        <v>8</v>
      </c>
    </row>
    <row r="221" spans="1:7" x14ac:dyDescent="0.3">
      <c r="A221">
        <v>2019</v>
      </c>
      <c r="B221" t="s">
        <v>20</v>
      </c>
      <c r="C221" t="s">
        <v>100</v>
      </c>
      <c r="D221" t="s">
        <v>77</v>
      </c>
      <c r="E221" t="s">
        <v>88</v>
      </c>
      <c r="F221" t="s">
        <v>8</v>
      </c>
    </row>
    <row r="222" spans="1:7" x14ac:dyDescent="0.3">
      <c r="A222">
        <v>2019</v>
      </c>
      <c r="B222" t="s">
        <v>21</v>
      </c>
      <c r="C222" t="s">
        <v>100</v>
      </c>
      <c r="D222" t="s">
        <v>77</v>
      </c>
      <c r="E222" t="s">
        <v>94</v>
      </c>
      <c r="F222" t="s">
        <v>8</v>
      </c>
      <c r="G222">
        <v>5</v>
      </c>
    </row>
    <row r="223" spans="1:7" x14ac:dyDescent="0.3">
      <c r="A223">
        <v>2019</v>
      </c>
      <c r="B223" t="s">
        <v>21</v>
      </c>
      <c r="C223" t="s">
        <v>100</v>
      </c>
      <c r="D223" t="s">
        <v>77</v>
      </c>
      <c r="E223" t="s">
        <v>87</v>
      </c>
      <c r="F223" t="s">
        <v>8</v>
      </c>
      <c r="G223">
        <v>8</v>
      </c>
    </row>
    <row r="224" spans="1:7" x14ac:dyDescent="0.3">
      <c r="A224">
        <v>2019</v>
      </c>
      <c r="B224" t="s">
        <v>21</v>
      </c>
      <c r="C224" t="s">
        <v>100</v>
      </c>
      <c r="D224" t="s">
        <v>77</v>
      </c>
      <c r="E224" t="s">
        <v>89</v>
      </c>
      <c r="F224" t="s">
        <v>8</v>
      </c>
      <c r="G224">
        <v>21</v>
      </c>
    </row>
    <row r="225" spans="1:7" x14ac:dyDescent="0.3">
      <c r="A225">
        <v>2019</v>
      </c>
      <c r="B225" t="s">
        <v>21</v>
      </c>
      <c r="C225" t="s">
        <v>100</v>
      </c>
      <c r="D225" t="s">
        <v>77</v>
      </c>
      <c r="E225" t="s">
        <v>88</v>
      </c>
      <c r="F225" t="s">
        <v>8</v>
      </c>
    </row>
    <row r="226" spans="1:7" x14ac:dyDescent="0.3">
      <c r="A226">
        <v>2019</v>
      </c>
      <c r="B226" t="s">
        <v>22</v>
      </c>
      <c r="C226" t="s">
        <v>100</v>
      </c>
      <c r="D226" t="s">
        <v>77</v>
      </c>
      <c r="E226" t="s">
        <v>94</v>
      </c>
      <c r="F226" t="s">
        <v>8</v>
      </c>
      <c r="G226">
        <v>17</v>
      </c>
    </row>
    <row r="227" spans="1:7" x14ac:dyDescent="0.3">
      <c r="A227">
        <v>2019</v>
      </c>
      <c r="B227" t="s">
        <v>22</v>
      </c>
      <c r="C227" t="s">
        <v>100</v>
      </c>
      <c r="D227" t="s">
        <v>77</v>
      </c>
      <c r="E227" t="s">
        <v>87</v>
      </c>
      <c r="F227" t="s">
        <v>8</v>
      </c>
      <c r="G227">
        <v>0</v>
      </c>
    </row>
    <row r="228" spans="1:7" x14ac:dyDescent="0.3">
      <c r="A228">
        <v>2019</v>
      </c>
      <c r="B228" t="s">
        <v>22</v>
      </c>
      <c r="C228" t="s">
        <v>100</v>
      </c>
      <c r="D228" t="s">
        <v>77</v>
      </c>
      <c r="E228" t="s">
        <v>89</v>
      </c>
      <c r="F228" t="s">
        <v>8</v>
      </c>
      <c r="G228">
        <v>12</v>
      </c>
    </row>
    <row r="229" spans="1:7" x14ac:dyDescent="0.3">
      <c r="A229">
        <v>2019</v>
      </c>
      <c r="B229" t="s">
        <v>22</v>
      </c>
      <c r="C229" t="s">
        <v>100</v>
      </c>
      <c r="D229" t="s">
        <v>77</v>
      </c>
      <c r="E229" t="s">
        <v>88</v>
      </c>
      <c r="F229" t="s">
        <v>8</v>
      </c>
      <c r="G229">
        <v>0</v>
      </c>
    </row>
    <row r="230" spans="1:7" x14ac:dyDescent="0.3">
      <c r="A230">
        <v>2019</v>
      </c>
      <c r="B230" t="s">
        <v>24</v>
      </c>
      <c r="C230" t="s">
        <v>100</v>
      </c>
      <c r="D230" t="s">
        <v>77</v>
      </c>
      <c r="E230" t="s">
        <v>94</v>
      </c>
      <c r="F230" t="s">
        <v>8</v>
      </c>
      <c r="G230">
        <v>0</v>
      </c>
    </row>
    <row r="231" spans="1:7" x14ac:dyDescent="0.3">
      <c r="A231">
        <v>2019</v>
      </c>
      <c r="B231" t="s">
        <v>24</v>
      </c>
      <c r="C231" t="s">
        <v>100</v>
      </c>
      <c r="D231" t="s">
        <v>77</v>
      </c>
      <c r="E231" t="s">
        <v>87</v>
      </c>
      <c r="F231" t="s">
        <v>8</v>
      </c>
      <c r="G231">
        <v>0</v>
      </c>
    </row>
    <row r="232" spans="1:7" x14ac:dyDescent="0.3">
      <c r="A232">
        <v>2019</v>
      </c>
      <c r="B232" t="s">
        <v>24</v>
      </c>
      <c r="C232" t="s">
        <v>100</v>
      </c>
      <c r="D232" t="s">
        <v>77</v>
      </c>
      <c r="E232" t="s">
        <v>89</v>
      </c>
      <c r="F232" t="s">
        <v>8</v>
      </c>
      <c r="G232">
        <v>7</v>
      </c>
    </row>
    <row r="233" spans="1:7" x14ac:dyDescent="0.3">
      <c r="A233">
        <v>2019</v>
      </c>
      <c r="B233" t="s">
        <v>24</v>
      </c>
      <c r="C233" t="s">
        <v>100</v>
      </c>
      <c r="D233" t="s">
        <v>77</v>
      </c>
      <c r="E233" t="s">
        <v>88</v>
      </c>
      <c r="F233" t="s">
        <v>8</v>
      </c>
      <c r="G233">
        <v>0</v>
      </c>
    </row>
    <row r="234" spans="1:7" x14ac:dyDescent="0.3">
      <c r="A234">
        <v>2019</v>
      </c>
      <c r="B234" t="s">
        <v>25</v>
      </c>
      <c r="C234" t="s">
        <v>100</v>
      </c>
      <c r="D234" t="s">
        <v>77</v>
      </c>
      <c r="E234" t="s">
        <v>94</v>
      </c>
      <c r="F234" t="s">
        <v>8</v>
      </c>
      <c r="G234">
        <v>2</v>
      </c>
    </row>
    <row r="235" spans="1:7" x14ac:dyDescent="0.3">
      <c r="A235">
        <v>2019</v>
      </c>
      <c r="B235" t="s">
        <v>25</v>
      </c>
      <c r="C235" t="s">
        <v>100</v>
      </c>
      <c r="D235" t="s">
        <v>77</v>
      </c>
      <c r="E235" t="s">
        <v>87</v>
      </c>
      <c r="F235" t="s">
        <v>8</v>
      </c>
      <c r="G235">
        <v>1</v>
      </c>
    </row>
    <row r="236" spans="1:7" x14ac:dyDescent="0.3">
      <c r="A236">
        <v>2019</v>
      </c>
      <c r="B236" t="s">
        <v>25</v>
      </c>
      <c r="C236" t="s">
        <v>100</v>
      </c>
      <c r="D236" t="s">
        <v>77</v>
      </c>
      <c r="E236" t="s">
        <v>89</v>
      </c>
      <c r="F236" t="s">
        <v>8</v>
      </c>
      <c r="G236">
        <v>18</v>
      </c>
    </row>
    <row r="237" spans="1:7" x14ac:dyDescent="0.3">
      <c r="A237">
        <v>2019</v>
      </c>
      <c r="B237" t="s">
        <v>25</v>
      </c>
      <c r="C237" t="s">
        <v>100</v>
      </c>
      <c r="D237" t="s">
        <v>77</v>
      </c>
      <c r="E237" t="s">
        <v>88</v>
      </c>
      <c r="F237" t="s">
        <v>8</v>
      </c>
      <c r="G237">
        <v>1</v>
      </c>
    </row>
    <row r="238" spans="1:7" x14ac:dyDescent="0.3">
      <c r="A238">
        <v>2019</v>
      </c>
      <c r="B238" t="s">
        <v>26</v>
      </c>
      <c r="C238" t="s">
        <v>100</v>
      </c>
      <c r="D238" t="s">
        <v>77</v>
      </c>
      <c r="E238" t="s">
        <v>94</v>
      </c>
      <c r="F238" t="s">
        <v>8</v>
      </c>
      <c r="G238">
        <v>2</v>
      </c>
    </row>
    <row r="239" spans="1:7" x14ac:dyDescent="0.3">
      <c r="A239">
        <v>2019</v>
      </c>
      <c r="B239" t="s">
        <v>26</v>
      </c>
      <c r="C239" t="s">
        <v>100</v>
      </c>
      <c r="D239" t="s">
        <v>77</v>
      </c>
      <c r="E239" t="s">
        <v>87</v>
      </c>
      <c r="F239" t="s">
        <v>8</v>
      </c>
      <c r="G239">
        <v>4</v>
      </c>
    </row>
    <row r="240" spans="1:7" x14ac:dyDescent="0.3">
      <c r="A240">
        <v>2019</v>
      </c>
      <c r="B240" t="s">
        <v>26</v>
      </c>
      <c r="C240" t="s">
        <v>100</v>
      </c>
      <c r="D240" t="s">
        <v>77</v>
      </c>
      <c r="E240" t="s">
        <v>89</v>
      </c>
      <c r="F240" t="s">
        <v>8</v>
      </c>
      <c r="G240">
        <v>15</v>
      </c>
    </row>
    <row r="241" spans="1:7" x14ac:dyDescent="0.3">
      <c r="A241">
        <v>2019</v>
      </c>
      <c r="B241" t="s">
        <v>26</v>
      </c>
      <c r="C241" t="s">
        <v>100</v>
      </c>
      <c r="D241" t="s">
        <v>77</v>
      </c>
      <c r="E241" t="s">
        <v>88</v>
      </c>
      <c r="F241" t="s">
        <v>8</v>
      </c>
      <c r="G241">
        <v>3</v>
      </c>
    </row>
    <row r="242" spans="1:7" x14ac:dyDescent="0.3">
      <c r="A242">
        <v>2019</v>
      </c>
      <c r="B242" t="s">
        <v>27</v>
      </c>
      <c r="C242" t="s">
        <v>100</v>
      </c>
      <c r="D242" t="s">
        <v>77</v>
      </c>
      <c r="E242" t="s">
        <v>94</v>
      </c>
      <c r="F242" t="s">
        <v>8</v>
      </c>
      <c r="G242">
        <v>9</v>
      </c>
    </row>
    <row r="243" spans="1:7" x14ac:dyDescent="0.3">
      <c r="A243">
        <v>2019</v>
      </c>
      <c r="B243" t="s">
        <v>27</v>
      </c>
      <c r="C243" t="s">
        <v>100</v>
      </c>
      <c r="D243" t="s">
        <v>77</v>
      </c>
      <c r="E243" t="s">
        <v>87</v>
      </c>
      <c r="F243" t="s">
        <v>8</v>
      </c>
      <c r="G243">
        <v>0</v>
      </c>
    </row>
    <row r="244" spans="1:7" x14ac:dyDescent="0.3">
      <c r="A244">
        <v>2019</v>
      </c>
      <c r="B244" t="s">
        <v>27</v>
      </c>
      <c r="C244" t="s">
        <v>100</v>
      </c>
      <c r="D244" t="s">
        <v>77</v>
      </c>
      <c r="E244" t="s">
        <v>89</v>
      </c>
      <c r="F244" t="s">
        <v>8</v>
      </c>
      <c r="G244">
        <v>0</v>
      </c>
    </row>
    <row r="245" spans="1:7" x14ac:dyDescent="0.3">
      <c r="A245">
        <v>2019</v>
      </c>
      <c r="B245" t="s">
        <v>27</v>
      </c>
      <c r="C245" t="s">
        <v>100</v>
      </c>
      <c r="D245" t="s">
        <v>77</v>
      </c>
      <c r="E245" t="s">
        <v>88</v>
      </c>
      <c r="F245" t="s">
        <v>8</v>
      </c>
      <c r="G245">
        <v>0</v>
      </c>
    </row>
    <row r="246" spans="1:7" x14ac:dyDescent="0.3">
      <c r="A246">
        <v>2019</v>
      </c>
      <c r="B246" t="s">
        <v>58</v>
      </c>
      <c r="C246" t="s">
        <v>100</v>
      </c>
      <c r="D246" t="s">
        <v>77</v>
      </c>
      <c r="E246" t="s">
        <v>94</v>
      </c>
      <c r="F246" t="s">
        <v>8</v>
      </c>
      <c r="G246">
        <v>0</v>
      </c>
    </row>
    <row r="247" spans="1:7" x14ac:dyDescent="0.3">
      <c r="A247">
        <v>2019</v>
      </c>
      <c r="B247" t="s">
        <v>58</v>
      </c>
      <c r="C247" t="s">
        <v>100</v>
      </c>
      <c r="D247" t="s">
        <v>77</v>
      </c>
      <c r="E247" t="s">
        <v>87</v>
      </c>
      <c r="F247" t="s">
        <v>8</v>
      </c>
      <c r="G247">
        <v>41</v>
      </c>
    </row>
    <row r="248" spans="1:7" x14ac:dyDescent="0.3">
      <c r="A248">
        <v>2019</v>
      </c>
      <c r="B248" t="s">
        <v>58</v>
      </c>
      <c r="C248" t="s">
        <v>100</v>
      </c>
      <c r="D248" t="s">
        <v>77</v>
      </c>
      <c r="E248" t="s">
        <v>89</v>
      </c>
      <c r="F248" t="s">
        <v>8</v>
      </c>
      <c r="G248">
        <v>66</v>
      </c>
    </row>
    <row r="249" spans="1:7" x14ac:dyDescent="0.3">
      <c r="A249">
        <v>2019</v>
      </c>
      <c r="B249" t="s">
        <v>58</v>
      </c>
      <c r="C249" t="s">
        <v>100</v>
      </c>
      <c r="D249" t="s">
        <v>77</v>
      </c>
      <c r="E249" t="s">
        <v>88</v>
      </c>
      <c r="F249" t="s">
        <v>8</v>
      </c>
      <c r="G249">
        <v>4</v>
      </c>
    </row>
    <row r="250" spans="1:7" x14ac:dyDescent="0.3">
      <c r="A250">
        <v>2019</v>
      </c>
      <c r="B250" t="s">
        <v>52</v>
      </c>
      <c r="C250" t="s">
        <v>100</v>
      </c>
      <c r="D250" t="s">
        <v>77</v>
      </c>
      <c r="E250" t="s">
        <v>94</v>
      </c>
      <c r="F250" t="s">
        <v>8</v>
      </c>
    </row>
    <row r="251" spans="1:7" x14ac:dyDescent="0.3">
      <c r="A251">
        <v>2019</v>
      </c>
      <c r="B251" t="s">
        <v>52</v>
      </c>
      <c r="C251" t="s">
        <v>100</v>
      </c>
      <c r="D251" t="s">
        <v>77</v>
      </c>
      <c r="E251" t="s">
        <v>87</v>
      </c>
      <c r="F251" t="s">
        <v>8</v>
      </c>
      <c r="G251">
        <v>19</v>
      </c>
    </row>
    <row r="252" spans="1:7" x14ac:dyDescent="0.3">
      <c r="A252">
        <v>2019</v>
      </c>
      <c r="B252" t="s">
        <v>52</v>
      </c>
      <c r="C252" t="s">
        <v>100</v>
      </c>
      <c r="D252" t="s">
        <v>77</v>
      </c>
      <c r="E252" t="s">
        <v>89</v>
      </c>
      <c r="F252" t="s">
        <v>8</v>
      </c>
      <c r="G252">
        <v>28</v>
      </c>
    </row>
    <row r="253" spans="1:7" x14ac:dyDescent="0.3">
      <c r="A253">
        <v>2019</v>
      </c>
      <c r="B253" t="s">
        <v>52</v>
      </c>
      <c r="C253" t="s">
        <v>100</v>
      </c>
      <c r="D253" t="s">
        <v>77</v>
      </c>
      <c r="E253" t="s">
        <v>88</v>
      </c>
      <c r="F253" t="s">
        <v>8</v>
      </c>
    </row>
    <row r="254" spans="1:7" x14ac:dyDescent="0.3">
      <c r="A254">
        <v>2019</v>
      </c>
      <c r="B254" t="s">
        <v>28</v>
      </c>
      <c r="C254" t="s">
        <v>100</v>
      </c>
      <c r="D254" t="s">
        <v>77</v>
      </c>
      <c r="E254" t="s">
        <v>94</v>
      </c>
      <c r="F254" t="s">
        <v>8</v>
      </c>
      <c r="G254">
        <v>16</v>
      </c>
    </row>
    <row r="255" spans="1:7" x14ac:dyDescent="0.3">
      <c r="A255">
        <v>2019</v>
      </c>
      <c r="B255" t="s">
        <v>28</v>
      </c>
      <c r="C255" t="s">
        <v>100</v>
      </c>
      <c r="D255" t="s">
        <v>77</v>
      </c>
      <c r="E255" t="s">
        <v>87</v>
      </c>
      <c r="F255" t="s">
        <v>8</v>
      </c>
      <c r="G255">
        <v>5</v>
      </c>
    </row>
    <row r="256" spans="1:7" x14ac:dyDescent="0.3">
      <c r="A256">
        <v>2019</v>
      </c>
      <c r="B256" t="s">
        <v>28</v>
      </c>
      <c r="C256" t="s">
        <v>100</v>
      </c>
      <c r="D256" t="s">
        <v>77</v>
      </c>
      <c r="E256" t="s">
        <v>89</v>
      </c>
      <c r="F256" t="s">
        <v>8</v>
      </c>
      <c r="G256">
        <v>17</v>
      </c>
    </row>
    <row r="257" spans="1:7" x14ac:dyDescent="0.3">
      <c r="A257">
        <v>2019</v>
      </c>
      <c r="B257" t="s">
        <v>28</v>
      </c>
      <c r="C257" t="s">
        <v>100</v>
      </c>
      <c r="D257" t="s">
        <v>77</v>
      </c>
      <c r="E257" t="s">
        <v>88</v>
      </c>
      <c r="F257" t="s">
        <v>8</v>
      </c>
      <c r="G257">
        <v>3</v>
      </c>
    </row>
    <row r="258" spans="1:7" x14ac:dyDescent="0.3">
      <c r="A258">
        <v>2019</v>
      </c>
      <c r="B258" t="s">
        <v>29</v>
      </c>
      <c r="C258" t="s">
        <v>100</v>
      </c>
      <c r="D258" t="s">
        <v>77</v>
      </c>
      <c r="E258" t="s">
        <v>94</v>
      </c>
      <c r="F258" t="s">
        <v>8</v>
      </c>
      <c r="G258">
        <v>5</v>
      </c>
    </row>
    <row r="259" spans="1:7" x14ac:dyDescent="0.3">
      <c r="A259">
        <v>2019</v>
      </c>
      <c r="B259" t="s">
        <v>29</v>
      </c>
      <c r="C259" t="s">
        <v>100</v>
      </c>
      <c r="D259" t="s">
        <v>77</v>
      </c>
      <c r="E259" t="s">
        <v>87</v>
      </c>
      <c r="F259" t="s">
        <v>8</v>
      </c>
      <c r="G259">
        <v>4</v>
      </c>
    </row>
    <row r="260" spans="1:7" x14ac:dyDescent="0.3">
      <c r="A260">
        <v>2019</v>
      </c>
      <c r="B260" t="s">
        <v>29</v>
      </c>
      <c r="C260" t="s">
        <v>100</v>
      </c>
      <c r="D260" t="s">
        <v>77</v>
      </c>
      <c r="E260" t="s">
        <v>89</v>
      </c>
      <c r="F260" t="s">
        <v>8</v>
      </c>
      <c r="G260">
        <v>10</v>
      </c>
    </row>
    <row r="261" spans="1:7" x14ac:dyDescent="0.3">
      <c r="A261">
        <v>2019</v>
      </c>
      <c r="B261" t="s">
        <v>29</v>
      </c>
      <c r="C261" t="s">
        <v>100</v>
      </c>
      <c r="D261" t="s">
        <v>77</v>
      </c>
      <c r="E261" t="s">
        <v>88</v>
      </c>
      <c r="F261" t="s">
        <v>8</v>
      </c>
      <c r="G261">
        <v>0</v>
      </c>
    </row>
    <row r="262" spans="1:7" x14ac:dyDescent="0.3">
      <c r="A262">
        <v>2019</v>
      </c>
      <c r="B262" t="s">
        <v>30</v>
      </c>
      <c r="C262" t="s">
        <v>100</v>
      </c>
      <c r="D262" t="s">
        <v>77</v>
      </c>
      <c r="E262" t="s">
        <v>94</v>
      </c>
      <c r="F262" t="s">
        <v>8</v>
      </c>
      <c r="G262">
        <v>2</v>
      </c>
    </row>
    <row r="263" spans="1:7" x14ac:dyDescent="0.3">
      <c r="A263">
        <v>2019</v>
      </c>
      <c r="B263" t="s">
        <v>30</v>
      </c>
      <c r="C263" t="s">
        <v>100</v>
      </c>
      <c r="D263" t="s">
        <v>77</v>
      </c>
      <c r="E263" t="s">
        <v>87</v>
      </c>
      <c r="F263" t="s">
        <v>8</v>
      </c>
      <c r="G263">
        <v>4</v>
      </c>
    </row>
    <row r="264" spans="1:7" x14ac:dyDescent="0.3">
      <c r="A264">
        <v>2019</v>
      </c>
      <c r="B264" t="s">
        <v>30</v>
      </c>
      <c r="C264" t="s">
        <v>100</v>
      </c>
      <c r="D264" t="s">
        <v>77</v>
      </c>
      <c r="E264" t="s">
        <v>89</v>
      </c>
      <c r="F264" t="s">
        <v>8</v>
      </c>
      <c r="G264">
        <v>6</v>
      </c>
    </row>
    <row r="265" spans="1:7" x14ac:dyDescent="0.3">
      <c r="A265">
        <v>2019</v>
      </c>
      <c r="B265" t="s">
        <v>30</v>
      </c>
      <c r="C265" t="s">
        <v>100</v>
      </c>
      <c r="D265" t="s">
        <v>77</v>
      </c>
      <c r="E265" t="s">
        <v>88</v>
      </c>
      <c r="F265" t="s">
        <v>8</v>
      </c>
    </row>
    <row r="266" spans="1:7" x14ac:dyDescent="0.3">
      <c r="A266">
        <v>2019</v>
      </c>
      <c r="B266" t="s">
        <v>31</v>
      </c>
      <c r="C266" t="s">
        <v>100</v>
      </c>
      <c r="D266" t="s">
        <v>77</v>
      </c>
      <c r="E266" t="s">
        <v>94</v>
      </c>
      <c r="F266" t="s">
        <v>8</v>
      </c>
      <c r="G266">
        <v>5</v>
      </c>
    </row>
    <row r="267" spans="1:7" x14ac:dyDescent="0.3">
      <c r="A267">
        <v>2019</v>
      </c>
      <c r="B267" t="s">
        <v>31</v>
      </c>
      <c r="C267" t="s">
        <v>100</v>
      </c>
      <c r="D267" t="s">
        <v>77</v>
      </c>
      <c r="E267" t="s">
        <v>87</v>
      </c>
      <c r="F267" t="s">
        <v>8</v>
      </c>
      <c r="G267">
        <v>7</v>
      </c>
    </row>
    <row r="268" spans="1:7" x14ac:dyDescent="0.3">
      <c r="A268">
        <v>2019</v>
      </c>
      <c r="B268" t="s">
        <v>31</v>
      </c>
      <c r="C268" t="s">
        <v>100</v>
      </c>
      <c r="D268" t="s">
        <v>77</v>
      </c>
      <c r="E268" t="s">
        <v>89</v>
      </c>
      <c r="F268" t="s">
        <v>8</v>
      </c>
      <c r="G268">
        <v>13</v>
      </c>
    </row>
    <row r="269" spans="1:7" x14ac:dyDescent="0.3">
      <c r="A269">
        <v>2019</v>
      </c>
      <c r="B269" t="s">
        <v>31</v>
      </c>
      <c r="C269" t="s">
        <v>100</v>
      </c>
      <c r="D269" t="s">
        <v>77</v>
      </c>
      <c r="E269" t="s">
        <v>88</v>
      </c>
      <c r="F269" t="s">
        <v>8</v>
      </c>
      <c r="G269">
        <v>4</v>
      </c>
    </row>
    <row r="270" spans="1:7" x14ac:dyDescent="0.3">
      <c r="A270">
        <v>2019</v>
      </c>
      <c r="B270" t="s">
        <v>32</v>
      </c>
      <c r="C270" t="s">
        <v>100</v>
      </c>
      <c r="D270" t="s">
        <v>77</v>
      </c>
      <c r="E270" t="s">
        <v>94</v>
      </c>
      <c r="F270" t="s">
        <v>8</v>
      </c>
      <c r="G270">
        <v>0</v>
      </c>
    </row>
    <row r="271" spans="1:7" x14ac:dyDescent="0.3">
      <c r="A271">
        <v>2019</v>
      </c>
      <c r="B271" t="s">
        <v>32</v>
      </c>
      <c r="C271" t="s">
        <v>100</v>
      </c>
      <c r="D271" t="s">
        <v>77</v>
      </c>
      <c r="E271" t="s">
        <v>87</v>
      </c>
      <c r="F271" t="s">
        <v>8</v>
      </c>
      <c r="G271">
        <v>0</v>
      </c>
    </row>
    <row r="272" spans="1:7" x14ac:dyDescent="0.3">
      <c r="A272">
        <v>2019</v>
      </c>
      <c r="B272" t="s">
        <v>32</v>
      </c>
      <c r="C272" t="s">
        <v>100</v>
      </c>
      <c r="D272" t="s">
        <v>77</v>
      </c>
      <c r="E272" t="s">
        <v>89</v>
      </c>
      <c r="F272" t="s">
        <v>8</v>
      </c>
      <c r="G272">
        <v>0</v>
      </c>
    </row>
    <row r="273" spans="1:7" x14ac:dyDescent="0.3">
      <c r="A273">
        <v>2019</v>
      </c>
      <c r="B273" t="s">
        <v>32</v>
      </c>
      <c r="C273" t="s">
        <v>100</v>
      </c>
      <c r="D273" t="s">
        <v>77</v>
      </c>
      <c r="E273" t="s">
        <v>88</v>
      </c>
      <c r="F273" t="s">
        <v>8</v>
      </c>
      <c r="G273">
        <v>0</v>
      </c>
    </row>
    <row r="274" spans="1:7" x14ac:dyDescent="0.3">
      <c r="A274">
        <v>2019</v>
      </c>
      <c r="B274" t="s">
        <v>50</v>
      </c>
      <c r="C274" t="s">
        <v>100</v>
      </c>
      <c r="D274" t="s">
        <v>77</v>
      </c>
      <c r="E274" t="s">
        <v>94</v>
      </c>
      <c r="F274" t="s">
        <v>8</v>
      </c>
      <c r="G274">
        <v>0</v>
      </c>
    </row>
    <row r="275" spans="1:7" x14ac:dyDescent="0.3">
      <c r="A275">
        <v>2019</v>
      </c>
      <c r="B275" t="s">
        <v>50</v>
      </c>
      <c r="C275" t="s">
        <v>100</v>
      </c>
      <c r="D275" t="s">
        <v>77</v>
      </c>
      <c r="E275" t="s">
        <v>87</v>
      </c>
      <c r="F275" t="s">
        <v>8</v>
      </c>
      <c r="G275">
        <v>0</v>
      </c>
    </row>
    <row r="276" spans="1:7" x14ac:dyDescent="0.3">
      <c r="A276">
        <v>2019</v>
      </c>
      <c r="B276" t="s">
        <v>50</v>
      </c>
      <c r="C276" t="s">
        <v>100</v>
      </c>
      <c r="D276" t="s">
        <v>77</v>
      </c>
      <c r="E276" t="s">
        <v>89</v>
      </c>
      <c r="F276" t="s">
        <v>8</v>
      </c>
      <c r="G276">
        <v>1</v>
      </c>
    </row>
    <row r="277" spans="1:7" x14ac:dyDescent="0.3">
      <c r="A277">
        <v>2019</v>
      </c>
      <c r="B277" t="s">
        <v>50</v>
      </c>
      <c r="C277" t="s">
        <v>100</v>
      </c>
      <c r="D277" t="s">
        <v>77</v>
      </c>
      <c r="E277" t="s">
        <v>88</v>
      </c>
      <c r="F277" t="s">
        <v>8</v>
      </c>
      <c r="G277">
        <v>0</v>
      </c>
    </row>
    <row r="278" spans="1:7" x14ac:dyDescent="0.3">
      <c r="A278">
        <v>2019</v>
      </c>
      <c r="B278" t="s">
        <v>33</v>
      </c>
      <c r="C278" t="s">
        <v>100</v>
      </c>
      <c r="D278" t="s">
        <v>77</v>
      </c>
      <c r="E278" t="s">
        <v>94</v>
      </c>
      <c r="F278" t="s">
        <v>8</v>
      </c>
      <c r="G278">
        <v>9</v>
      </c>
    </row>
    <row r="279" spans="1:7" x14ac:dyDescent="0.3">
      <c r="A279">
        <v>2019</v>
      </c>
      <c r="B279" t="s">
        <v>33</v>
      </c>
      <c r="C279" t="s">
        <v>100</v>
      </c>
      <c r="D279" t="s">
        <v>77</v>
      </c>
      <c r="E279" t="s">
        <v>87</v>
      </c>
      <c r="F279" t="s">
        <v>8</v>
      </c>
      <c r="G279">
        <v>2</v>
      </c>
    </row>
    <row r="280" spans="1:7" x14ac:dyDescent="0.3">
      <c r="A280">
        <v>2019</v>
      </c>
      <c r="B280" t="s">
        <v>33</v>
      </c>
      <c r="C280" t="s">
        <v>100</v>
      </c>
      <c r="D280" t="s">
        <v>77</v>
      </c>
      <c r="E280" t="s">
        <v>89</v>
      </c>
      <c r="F280" t="s">
        <v>8</v>
      </c>
      <c r="G280">
        <v>18</v>
      </c>
    </row>
    <row r="281" spans="1:7" x14ac:dyDescent="0.3">
      <c r="A281">
        <v>2019</v>
      </c>
      <c r="B281" t="s">
        <v>33</v>
      </c>
      <c r="C281" t="s">
        <v>100</v>
      </c>
      <c r="D281" t="s">
        <v>77</v>
      </c>
      <c r="E281" t="s">
        <v>88</v>
      </c>
      <c r="F281" t="s">
        <v>8</v>
      </c>
      <c r="G281">
        <v>1</v>
      </c>
    </row>
    <row r="282" spans="1:7" x14ac:dyDescent="0.3">
      <c r="A282">
        <v>2019</v>
      </c>
      <c r="B282" t="s">
        <v>34</v>
      </c>
      <c r="C282" t="s">
        <v>100</v>
      </c>
      <c r="D282" t="s">
        <v>77</v>
      </c>
      <c r="E282" t="s">
        <v>94</v>
      </c>
      <c r="F282" t="s">
        <v>8</v>
      </c>
      <c r="G282">
        <v>8</v>
      </c>
    </row>
    <row r="283" spans="1:7" x14ac:dyDescent="0.3">
      <c r="A283">
        <v>2019</v>
      </c>
      <c r="B283" t="s">
        <v>34</v>
      </c>
      <c r="C283" t="s">
        <v>100</v>
      </c>
      <c r="D283" t="s">
        <v>77</v>
      </c>
      <c r="E283" t="s">
        <v>87</v>
      </c>
      <c r="F283" t="s">
        <v>8</v>
      </c>
      <c r="G283">
        <v>10</v>
      </c>
    </row>
    <row r="284" spans="1:7" x14ac:dyDescent="0.3">
      <c r="A284">
        <v>2019</v>
      </c>
      <c r="B284" t="s">
        <v>34</v>
      </c>
      <c r="C284" t="s">
        <v>100</v>
      </c>
      <c r="D284" t="s">
        <v>77</v>
      </c>
      <c r="E284" t="s">
        <v>89</v>
      </c>
      <c r="F284" t="s">
        <v>8</v>
      </c>
      <c r="G284">
        <v>13</v>
      </c>
    </row>
    <row r="285" spans="1:7" x14ac:dyDescent="0.3">
      <c r="A285">
        <v>2019</v>
      </c>
      <c r="B285" t="s">
        <v>34</v>
      </c>
      <c r="C285" t="s">
        <v>100</v>
      </c>
      <c r="D285" t="s">
        <v>77</v>
      </c>
      <c r="E285" t="s">
        <v>88</v>
      </c>
      <c r="F285" t="s">
        <v>8</v>
      </c>
      <c r="G285">
        <v>0</v>
      </c>
    </row>
    <row r="286" spans="1:7" x14ac:dyDescent="0.3">
      <c r="A286">
        <v>2019</v>
      </c>
      <c r="B286" t="s">
        <v>35</v>
      </c>
      <c r="C286" t="s">
        <v>100</v>
      </c>
      <c r="D286" t="s">
        <v>77</v>
      </c>
      <c r="E286" t="s">
        <v>94</v>
      </c>
      <c r="F286" t="s">
        <v>8</v>
      </c>
      <c r="G286">
        <v>1</v>
      </c>
    </row>
    <row r="287" spans="1:7" x14ac:dyDescent="0.3">
      <c r="A287">
        <v>2019</v>
      </c>
      <c r="B287" t="s">
        <v>35</v>
      </c>
      <c r="C287" t="s">
        <v>100</v>
      </c>
      <c r="D287" t="s">
        <v>77</v>
      </c>
      <c r="E287" t="s">
        <v>87</v>
      </c>
      <c r="F287" t="s">
        <v>8</v>
      </c>
      <c r="G287">
        <v>0</v>
      </c>
    </row>
    <row r="288" spans="1:7" x14ac:dyDescent="0.3">
      <c r="A288">
        <v>2019</v>
      </c>
      <c r="B288" t="s">
        <v>35</v>
      </c>
      <c r="C288" t="s">
        <v>100</v>
      </c>
      <c r="D288" t="s">
        <v>77</v>
      </c>
      <c r="E288" t="s">
        <v>89</v>
      </c>
      <c r="F288" t="s">
        <v>8</v>
      </c>
      <c r="G288">
        <v>7</v>
      </c>
    </row>
    <row r="289" spans="1:7" x14ac:dyDescent="0.3">
      <c r="A289">
        <v>2019</v>
      </c>
      <c r="B289" t="s">
        <v>35</v>
      </c>
      <c r="C289" t="s">
        <v>100</v>
      </c>
      <c r="D289" t="s">
        <v>77</v>
      </c>
      <c r="E289" t="s">
        <v>88</v>
      </c>
      <c r="F289" t="s">
        <v>8</v>
      </c>
      <c r="G289">
        <v>0</v>
      </c>
    </row>
    <row r="290" spans="1:7" x14ac:dyDescent="0.3">
      <c r="A290">
        <v>2019</v>
      </c>
      <c r="B290" t="s">
        <v>36</v>
      </c>
      <c r="C290" t="s">
        <v>100</v>
      </c>
      <c r="D290" t="s">
        <v>77</v>
      </c>
      <c r="E290" t="s">
        <v>94</v>
      </c>
      <c r="F290" t="s">
        <v>8</v>
      </c>
      <c r="G290">
        <v>5</v>
      </c>
    </row>
    <row r="291" spans="1:7" x14ac:dyDescent="0.3">
      <c r="A291">
        <v>2019</v>
      </c>
      <c r="B291" t="s">
        <v>36</v>
      </c>
      <c r="C291" t="s">
        <v>100</v>
      </c>
      <c r="D291" t="s">
        <v>77</v>
      </c>
      <c r="E291" t="s">
        <v>87</v>
      </c>
      <c r="F291" t="s">
        <v>8</v>
      </c>
      <c r="G291">
        <v>0</v>
      </c>
    </row>
    <row r="292" spans="1:7" x14ac:dyDescent="0.3">
      <c r="A292">
        <v>2019</v>
      </c>
      <c r="B292" t="s">
        <v>36</v>
      </c>
      <c r="C292" t="s">
        <v>100</v>
      </c>
      <c r="D292" t="s">
        <v>77</v>
      </c>
      <c r="E292" t="s">
        <v>89</v>
      </c>
      <c r="F292" t="s">
        <v>8</v>
      </c>
      <c r="G292">
        <v>7</v>
      </c>
    </row>
    <row r="293" spans="1:7" x14ac:dyDescent="0.3">
      <c r="A293">
        <v>2019</v>
      </c>
      <c r="B293" t="s">
        <v>36</v>
      </c>
      <c r="C293" t="s">
        <v>100</v>
      </c>
      <c r="D293" t="s">
        <v>77</v>
      </c>
      <c r="E293" t="s">
        <v>88</v>
      </c>
      <c r="F293" t="s">
        <v>8</v>
      </c>
      <c r="G293">
        <v>3</v>
      </c>
    </row>
    <row r="294" spans="1:7" x14ac:dyDescent="0.3">
      <c r="A294">
        <v>2019</v>
      </c>
      <c r="B294" t="s">
        <v>53</v>
      </c>
      <c r="C294" t="s">
        <v>100</v>
      </c>
      <c r="D294" t="s">
        <v>77</v>
      </c>
      <c r="E294" t="s">
        <v>94</v>
      </c>
      <c r="F294" t="s">
        <v>8</v>
      </c>
      <c r="G294">
        <v>4</v>
      </c>
    </row>
    <row r="295" spans="1:7" x14ac:dyDescent="0.3">
      <c r="A295">
        <v>2019</v>
      </c>
      <c r="B295" t="s">
        <v>53</v>
      </c>
      <c r="C295" t="s">
        <v>100</v>
      </c>
      <c r="D295" t="s">
        <v>77</v>
      </c>
      <c r="E295" t="s">
        <v>87</v>
      </c>
      <c r="F295" t="s">
        <v>8</v>
      </c>
      <c r="G295">
        <v>8</v>
      </c>
    </row>
    <row r="296" spans="1:7" x14ac:dyDescent="0.3">
      <c r="A296">
        <v>2019</v>
      </c>
      <c r="B296" t="s">
        <v>53</v>
      </c>
      <c r="C296" t="s">
        <v>100</v>
      </c>
      <c r="D296" t="s">
        <v>77</v>
      </c>
      <c r="E296" t="s">
        <v>89</v>
      </c>
      <c r="F296" t="s">
        <v>8</v>
      </c>
      <c r="G296">
        <v>23</v>
      </c>
    </row>
    <row r="297" spans="1:7" x14ac:dyDescent="0.3">
      <c r="A297">
        <v>2019</v>
      </c>
      <c r="B297" t="s">
        <v>53</v>
      </c>
      <c r="C297" t="s">
        <v>100</v>
      </c>
      <c r="D297" t="s">
        <v>77</v>
      </c>
      <c r="E297" t="s">
        <v>88</v>
      </c>
      <c r="F297" t="s">
        <v>8</v>
      </c>
      <c r="G297">
        <v>6</v>
      </c>
    </row>
    <row r="298" spans="1:7" x14ac:dyDescent="0.3">
      <c r="A298">
        <v>2019</v>
      </c>
      <c r="B298" t="s">
        <v>37</v>
      </c>
      <c r="C298" t="s">
        <v>100</v>
      </c>
      <c r="D298" t="s">
        <v>77</v>
      </c>
      <c r="E298" t="s">
        <v>94</v>
      </c>
      <c r="F298" t="s">
        <v>8</v>
      </c>
      <c r="G298">
        <v>2</v>
      </c>
    </row>
    <row r="299" spans="1:7" x14ac:dyDescent="0.3">
      <c r="A299">
        <v>2019</v>
      </c>
      <c r="B299" t="s">
        <v>37</v>
      </c>
      <c r="C299" t="s">
        <v>100</v>
      </c>
      <c r="D299" t="s">
        <v>77</v>
      </c>
      <c r="E299" t="s">
        <v>87</v>
      </c>
      <c r="F299" t="s">
        <v>8</v>
      </c>
      <c r="G299">
        <v>5</v>
      </c>
    </row>
    <row r="300" spans="1:7" x14ac:dyDescent="0.3">
      <c r="A300">
        <v>2019</v>
      </c>
      <c r="B300" t="s">
        <v>37</v>
      </c>
      <c r="C300" t="s">
        <v>100</v>
      </c>
      <c r="D300" t="s">
        <v>77</v>
      </c>
      <c r="E300" t="s">
        <v>89</v>
      </c>
      <c r="F300" t="s">
        <v>8</v>
      </c>
      <c r="G300">
        <v>4</v>
      </c>
    </row>
    <row r="301" spans="1:7" x14ac:dyDescent="0.3">
      <c r="A301">
        <v>2019</v>
      </c>
      <c r="B301" t="s">
        <v>37</v>
      </c>
      <c r="C301" t="s">
        <v>100</v>
      </c>
      <c r="D301" t="s">
        <v>77</v>
      </c>
      <c r="E301" t="s">
        <v>88</v>
      </c>
      <c r="F301" t="s">
        <v>8</v>
      </c>
      <c r="G301">
        <v>0</v>
      </c>
    </row>
    <row r="302" spans="1:7" x14ac:dyDescent="0.3">
      <c r="A302">
        <v>2019</v>
      </c>
      <c r="B302" t="s">
        <v>39</v>
      </c>
      <c r="C302" t="s">
        <v>100</v>
      </c>
      <c r="D302" t="s">
        <v>77</v>
      </c>
      <c r="E302" t="s">
        <v>94</v>
      </c>
      <c r="F302" t="s">
        <v>8</v>
      </c>
      <c r="G302">
        <v>3</v>
      </c>
    </row>
    <row r="303" spans="1:7" x14ac:dyDescent="0.3">
      <c r="A303">
        <v>2019</v>
      </c>
      <c r="B303" t="s">
        <v>39</v>
      </c>
      <c r="C303" t="s">
        <v>100</v>
      </c>
      <c r="D303" t="s">
        <v>77</v>
      </c>
      <c r="E303" t="s">
        <v>87</v>
      </c>
      <c r="F303" t="s">
        <v>8</v>
      </c>
      <c r="G303">
        <v>5</v>
      </c>
    </row>
    <row r="304" spans="1:7" x14ac:dyDescent="0.3">
      <c r="A304">
        <v>2019</v>
      </c>
      <c r="B304" t="s">
        <v>39</v>
      </c>
      <c r="C304" t="s">
        <v>100</v>
      </c>
      <c r="D304" t="s">
        <v>77</v>
      </c>
      <c r="E304" t="s">
        <v>89</v>
      </c>
      <c r="F304" t="s">
        <v>8</v>
      </c>
      <c r="G304">
        <v>6</v>
      </c>
    </row>
    <row r="305" spans="1:7" x14ac:dyDescent="0.3">
      <c r="A305">
        <v>2019</v>
      </c>
      <c r="B305" t="s">
        <v>39</v>
      </c>
      <c r="C305" t="s">
        <v>100</v>
      </c>
      <c r="D305" t="s">
        <v>77</v>
      </c>
      <c r="E305" t="s">
        <v>88</v>
      </c>
      <c r="F305" t="s">
        <v>8</v>
      </c>
      <c r="G305">
        <v>1</v>
      </c>
    </row>
    <row r="306" spans="1:7" x14ac:dyDescent="0.3">
      <c r="A306">
        <v>2019</v>
      </c>
      <c r="B306" t="s">
        <v>40</v>
      </c>
      <c r="C306" t="s">
        <v>100</v>
      </c>
      <c r="D306" t="s">
        <v>77</v>
      </c>
      <c r="E306" t="s">
        <v>94</v>
      </c>
      <c r="F306" t="s">
        <v>8</v>
      </c>
      <c r="G306">
        <v>8</v>
      </c>
    </row>
    <row r="307" spans="1:7" x14ac:dyDescent="0.3">
      <c r="A307">
        <v>2019</v>
      </c>
      <c r="B307" t="s">
        <v>40</v>
      </c>
      <c r="C307" t="s">
        <v>100</v>
      </c>
      <c r="D307" t="s">
        <v>77</v>
      </c>
      <c r="E307" t="s">
        <v>87</v>
      </c>
      <c r="F307" t="s">
        <v>8</v>
      </c>
      <c r="G307">
        <v>2</v>
      </c>
    </row>
    <row r="308" spans="1:7" x14ac:dyDescent="0.3">
      <c r="A308">
        <v>2019</v>
      </c>
      <c r="B308" t="s">
        <v>40</v>
      </c>
      <c r="C308" t="s">
        <v>100</v>
      </c>
      <c r="D308" t="s">
        <v>77</v>
      </c>
      <c r="E308" t="s">
        <v>89</v>
      </c>
      <c r="F308" t="s">
        <v>8</v>
      </c>
      <c r="G308">
        <v>5</v>
      </c>
    </row>
    <row r="309" spans="1:7" x14ac:dyDescent="0.3">
      <c r="A309">
        <v>2019</v>
      </c>
      <c r="B309" t="s">
        <v>40</v>
      </c>
      <c r="C309" t="s">
        <v>100</v>
      </c>
      <c r="D309" t="s">
        <v>77</v>
      </c>
      <c r="E309" t="s">
        <v>88</v>
      </c>
      <c r="F309" t="s">
        <v>8</v>
      </c>
      <c r="G309">
        <v>4</v>
      </c>
    </row>
    <row r="310" spans="1:7" x14ac:dyDescent="0.3">
      <c r="A310">
        <v>2019</v>
      </c>
      <c r="B310" t="s">
        <v>41</v>
      </c>
      <c r="C310" t="s">
        <v>100</v>
      </c>
      <c r="D310" t="s">
        <v>77</v>
      </c>
      <c r="E310" t="s">
        <v>94</v>
      </c>
      <c r="F310" t="s">
        <v>8</v>
      </c>
      <c r="G310">
        <v>3</v>
      </c>
    </row>
    <row r="311" spans="1:7" x14ac:dyDescent="0.3">
      <c r="A311">
        <v>2019</v>
      </c>
      <c r="B311" t="s">
        <v>41</v>
      </c>
      <c r="C311" t="s">
        <v>100</v>
      </c>
      <c r="D311" t="s">
        <v>77</v>
      </c>
      <c r="E311" t="s">
        <v>87</v>
      </c>
      <c r="F311" t="s">
        <v>8</v>
      </c>
      <c r="G311">
        <v>1</v>
      </c>
    </row>
    <row r="312" spans="1:7" x14ac:dyDescent="0.3">
      <c r="A312">
        <v>2019</v>
      </c>
      <c r="B312" t="s">
        <v>41</v>
      </c>
      <c r="C312" t="s">
        <v>100</v>
      </c>
      <c r="D312" t="s">
        <v>77</v>
      </c>
      <c r="E312" t="s">
        <v>89</v>
      </c>
      <c r="F312" t="s">
        <v>8</v>
      </c>
    </row>
    <row r="313" spans="1:7" x14ac:dyDescent="0.3">
      <c r="A313">
        <v>2019</v>
      </c>
      <c r="B313" t="s">
        <v>41</v>
      </c>
      <c r="C313" t="s">
        <v>100</v>
      </c>
      <c r="D313" t="s">
        <v>77</v>
      </c>
      <c r="E313" t="s">
        <v>88</v>
      </c>
      <c r="F313" t="s">
        <v>8</v>
      </c>
    </row>
    <row r="314" spans="1:7" x14ac:dyDescent="0.3">
      <c r="A314">
        <v>2019</v>
      </c>
      <c r="B314" t="s">
        <v>42</v>
      </c>
      <c r="C314" t="s">
        <v>100</v>
      </c>
      <c r="D314" t="s">
        <v>77</v>
      </c>
      <c r="E314" t="s">
        <v>94</v>
      </c>
      <c r="F314" t="s">
        <v>8</v>
      </c>
      <c r="G314">
        <v>1</v>
      </c>
    </row>
    <row r="315" spans="1:7" x14ac:dyDescent="0.3">
      <c r="A315">
        <v>2019</v>
      </c>
      <c r="B315" t="s">
        <v>42</v>
      </c>
      <c r="C315" t="s">
        <v>100</v>
      </c>
      <c r="D315" t="s">
        <v>77</v>
      </c>
      <c r="E315" t="s">
        <v>87</v>
      </c>
      <c r="F315" t="s">
        <v>8</v>
      </c>
      <c r="G315">
        <v>9</v>
      </c>
    </row>
    <row r="316" spans="1:7" x14ac:dyDescent="0.3">
      <c r="A316">
        <v>2019</v>
      </c>
      <c r="B316" t="s">
        <v>42</v>
      </c>
      <c r="C316" t="s">
        <v>100</v>
      </c>
      <c r="D316" t="s">
        <v>77</v>
      </c>
      <c r="E316" t="s">
        <v>89</v>
      </c>
      <c r="F316" t="s">
        <v>8</v>
      </c>
      <c r="G316">
        <v>6</v>
      </c>
    </row>
    <row r="317" spans="1:7" x14ac:dyDescent="0.3">
      <c r="A317">
        <v>2019</v>
      </c>
      <c r="B317" t="s">
        <v>42</v>
      </c>
      <c r="C317" t="s">
        <v>100</v>
      </c>
      <c r="D317" t="s">
        <v>77</v>
      </c>
      <c r="E317" t="s">
        <v>88</v>
      </c>
      <c r="F317" t="s">
        <v>8</v>
      </c>
    </row>
    <row r="318" spans="1:7" x14ac:dyDescent="0.3">
      <c r="A318">
        <v>2019</v>
      </c>
      <c r="B318" t="s">
        <v>43</v>
      </c>
      <c r="C318" t="s">
        <v>100</v>
      </c>
      <c r="D318" t="s">
        <v>77</v>
      </c>
      <c r="E318" t="s">
        <v>94</v>
      </c>
      <c r="F318" t="s">
        <v>8</v>
      </c>
      <c r="G318">
        <v>12</v>
      </c>
    </row>
    <row r="319" spans="1:7" x14ac:dyDescent="0.3">
      <c r="A319">
        <v>2019</v>
      </c>
      <c r="B319" t="s">
        <v>43</v>
      </c>
      <c r="C319" t="s">
        <v>100</v>
      </c>
      <c r="D319" t="s">
        <v>77</v>
      </c>
      <c r="E319" t="s">
        <v>87</v>
      </c>
      <c r="F319" t="s">
        <v>8</v>
      </c>
      <c r="G319">
        <v>2</v>
      </c>
    </row>
    <row r="320" spans="1:7" x14ac:dyDescent="0.3">
      <c r="A320">
        <v>2019</v>
      </c>
      <c r="B320" t="s">
        <v>43</v>
      </c>
      <c r="C320" t="s">
        <v>100</v>
      </c>
      <c r="D320" t="s">
        <v>77</v>
      </c>
      <c r="E320" t="s">
        <v>89</v>
      </c>
      <c r="F320" t="s">
        <v>8</v>
      </c>
      <c r="G320">
        <v>7</v>
      </c>
    </row>
    <row r="321" spans="1:7" x14ac:dyDescent="0.3">
      <c r="A321">
        <v>2019</v>
      </c>
      <c r="B321" t="s">
        <v>43</v>
      </c>
      <c r="C321" t="s">
        <v>100</v>
      </c>
      <c r="D321" t="s">
        <v>77</v>
      </c>
      <c r="E321" t="s">
        <v>88</v>
      </c>
      <c r="F321" t="s">
        <v>8</v>
      </c>
      <c r="G321">
        <v>0</v>
      </c>
    </row>
    <row r="322" spans="1:7" x14ac:dyDescent="0.3">
      <c r="A322">
        <v>2019</v>
      </c>
      <c r="B322" t="s">
        <v>44</v>
      </c>
      <c r="C322" t="s">
        <v>100</v>
      </c>
      <c r="D322" t="s">
        <v>77</v>
      </c>
      <c r="E322" t="s">
        <v>94</v>
      </c>
      <c r="F322" t="s">
        <v>8</v>
      </c>
      <c r="G322">
        <v>5</v>
      </c>
    </row>
    <row r="323" spans="1:7" x14ac:dyDescent="0.3">
      <c r="A323">
        <v>2019</v>
      </c>
      <c r="B323" t="s">
        <v>44</v>
      </c>
      <c r="C323" t="s">
        <v>100</v>
      </c>
      <c r="D323" t="s">
        <v>77</v>
      </c>
      <c r="E323" t="s">
        <v>87</v>
      </c>
      <c r="F323" t="s">
        <v>8</v>
      </c>
    </row>
    <row r="324" spans="1:7" x14ac:dyDescent="0.3">
      <c r="A324">
        <v>2019</v>
      </c>
      <c r="B324" t="s">
        <v>44</v>
      </c>
      <c r="C324" t="s">
        <v>100</v>
      </c>
      <c r="D324" t="s">
        <v>77</v>
      </c>
      <c r="E324" t="s">
        <v>89</v>
      </c>
      <c r="F324" t="s">
        <v>8</v>
      </c>
      <c r="G324">
        <v>4</v>
      </c>
    </row>
    <row r="325" spans="1:7" x14ac:dyDescent="0.3">
      <c r="A325">
        <v>2019</v>
      </c>
      <c r="B325" t="s">
        <v>44</v>
      </c>
      <c r="C325" t="s">
        <v>100</v>
      </c>
      <c r="D325" t="s">
        <v>77</v>
      </c>
      <c r="E325" t="s">
        <v>88</v>
      </c>
      <c r="F325" t="s">
        <v>8</v>
      </c>
      <c r="G325">
        <v>2</v>
      </c>
    </row>
    <row r="326" spans="1:7" x14ac:dyDescent="0.3">
      <c r="A326">
        <v>2019</v>
      </c>
      <c r="B326" t="s">
        <v>54</v>
      </c>
      <c r="C326" t="s">
        <v>100</v>
      </c>
      <c r="D326" t="s">
        <v>77</v>
      </c>
      <c r="E326" t="s">
        <v>94</v>
      </c>
      <c r="F326" t="s">
        <v>8</v>
      </c>
      <c r="G326">
        <v>0</v>
      </c>
    </row>
    <row r="327" spans="1:7" x14ac:dyDescent="0.3">
      <c r="A327">
        <v>2019</v>
      </c>
      <c r="B327" t="s">
        <v>54</v>
      </c>
      <c r="C327" t="s">
        <v>100</v>
      </c>
      <c r="D327" t="s">
        <v>77</v>
      </c>
      <c r="E327" t="s">
        <v>87</v>
      </c>
      <c r="F327" t="s">
        <v>8</v>
      </c>
      <c r="G327">
        <v>3</v>
      </c>
    </row>
    <row r="328" spans="1:7" x14ac:dyDescent="0.3">
      <c r="A328">
        <v>2019</v>
      </c>
      <c r="B328" t="s">
        <v>54</v>
      </c>
      <c r="C328" t="s">
        <v>100</v>
      </c>
      <c r="D328" t="s">
        <v>77</v>
      </c>
      <c r="E328" t="s">
        <v>89</v>
      </c>
      <c r="F328" t="s">
        <v>8</v>
      </c>
      <c r="G328">
        <v>9</v>
      </c>
    </row>
    <row r="329" spans="1:7" x14ac:dyDescent="0.3">
      <c r="A329">
        <v>2019</v>
      </c>
      <c r="B329" t="s">
        <v>54</v>
      </c>
      <c r="C329" t="s">
        <v>100</v>
      </c>
      <c r="D329" t="s">
        <v>77</v>
      </c>
      <c r="E329" t="s">
        <v>88</v>
      </c>
      <c r="F329" t="s">
        <v>8</v>
      </c>
      <c r="G329">
        <v>0</v>
      </c>
    </row>
    <row r="330" spans="1:7" x14ac:dyDescent="0.3">
      <c r="A330">
        <v>2019</v>
      </c>
      <c r="B330" t="s">
        <v>45</v>
      </c>
      <c r="C330" t="s">
        <v>100</v>
      </c>
      <c r="D330" t="s">
        <v>77</v>
      </c>
      <c r="E330" t="s">
        <v>94</v>
      </c>
      <c r="F330" t="s">
        <v>8</v>
      </c>
      <c r="G330">
        <v>6</v>
      </c>
    </row>
    <row r="331" spans="1:7" x14ac:dyDescent="0.3">
      <c r="A331">
        <v>2019</v>
      </c>
      <c r="B331" t="s">
        <v>45</v>
      </c>
      <c r="C331" t="s">
        <v>100</v>
      </c>
      <c r="D331" t="s">
        <v>77</v>
      </c>
      <c r="E331" t="s">
        <v>87</v>
      </c>
      <c r="F331" t="s">
        <v>8</v>
      </c>
      <c r="G331">
        <v>2</v>
      </c>
    </row>
    <row r="332" spans="1:7" x14ac:dyDescent="0.3">
      <c r="A332">
        <v>2019</v>
      </c>
      <c r="B332" t="s">
        <v>45</v>
      </c>
      <c r="C332" t="s">
        <v>100</v>
      </c>
      <c r="D332" t="s">
        <v>77</v>
      </c>
      <c r="E332" t="s">
        <v>89</v>
      </c>
      <c r="F332" t="s">
        <v>8</v>
      </c>
      <c r="G332">
        <v>14</v>
      </c>
    </row>
    <row r="333" spans="1:7" x14ac:dyDescent="0.3">
      <c r="A333">
        <v>2019</v>
      </c>
      <c r="B333" t="s">
        <v>45</v>
      </c>
      <c r="C333" t="s">
        <v>100</v>
      </c>
      <c r="D333" t="s">
        <v>77</v>
      </c>
      <c r="E333" t="s">
        <v>88</v>
      </c>
      <c r="F333" t="s">
        <v>8</v>
      </c>
      <c r="G333">
        <v>0</v>
      </c>
    </row>
    <row r="334" spans="1:7" x14ac:dyDescent="0.3">
      <c r="A334">
        <v>2019</v>
      </c>
      <c r="B334" t="s">
        <v>46</v>
      </c>
      <c r="C334" t="s">
        <v>100</v>
      </c>
      <c r="D334" t="s">
        <v>77</v>
      </c>
      <c r="E334" t="s">
        <v>94</v>
      </c>
      <c r="F334" t="s">
        <v>8</v>
      </c>
      <c r="G334">
        <v>10</v>
      </c>
    </row>
    <row r="335" spans="1:7" x14ac:dyDescent="0.3">
      <c r="A335">
        <v>2019</v>
      </c>
      <c r="B335" t="s">
        <v>46</v>
      </c>
      <c r="C335" t="s">
        <v>100</v>
      </c>
      <c r="D335" t="s">
        <v>77</v>
      </c>
      <c r="E335" t="s">
        <v>87</v>
      </c>
      <c r="F335" t="s">
        <v>8</v>
      </c>
      <c r="G335">
        <v>1</v>
      </c>
    </row>
    <row r="336" spans="1:7" x14ac:dyDescent="0.3">
      <c r="A336">
        <v>2019</v>
      </c>
      <c r="B336" t="s">
        <v>46</v>
      </c>
      <c r="C336" t="s">
        <v>100</v>
      </c>
      <c r="D336" t="s">
        <v>77</v>
      </c>
      <c r="E336" t="s">
        <v>89</v>
      </c>
      <c r="F336" t="s">
        <v>8</v>
      </c>
      <c r="G336">
        <v>1</v>
      </c>
    </row>
    <row r="337" spans="1:7" x14ac:dyDescent="0.3">
      <c r="A337">
        <v>2019</v>
      </c>
      <c r="B337" t="s">
        <v>46</v>
      </c>
      <c r="C337" t="s">
        <v>100</v>
      </c>
      <c r="D337" t="s">
        <v>77</v>
      </c>
      <c r="E337" t="s">
        <v>88</v>
      </c>
      <c r="F337" t="s">
        <v>8</v>
      </c>
    </row>
    <row r="338" spans="1:7" x14ac:dyDescent="0.3">
      <c r="A338">
        <v>2019</v>
      </c>
      <c r="B338" t="s">
        <v>47</v>
      </c>
      <c r="C338" t="s">
        <v>100</v>
      </c>
      <c r="D338" t="s">
        <v>77</v>
      </c>
      <c r="E338" t="s">
        <v>94</v>
      </c>
      <c r="F338" t="s">
        <v>8</v>
      </c>
    </row>
    <row r="339" spans="1:7" x14ac:dyDescent="0.3">
      <c r="A339">
        <v>2019</v>
      </c>
      <c r="B339" t="s">
        <v>47</v>
      </c>
      <c r="C339" t="s">
        <v>100</v>
      </c>
      <c r="D339" t="s">
        <v>77</v>
      </c>
      <c r="E339" t="s">
        <v>87</v>
      </c>
      <c r="F339" t="s">
        <v>8</v>
      </c>
      <c r="G339">
        <v>2</v>
      </c>
    </row>
    <row r="340" spans="1:7" x14ac:dyDescent="0.3">
      <c r="A340">
        <v>2019</v>
      </c>
      <c r="B340" t="s">
        <v>47</v>
      </c>
      <c r="C340" t="s">
        <v>100</v>
      </c>
      <c r="D340" t="s">
        <v>77</v>
      </c>
      <c r="E340" t="s">
        <v>89</v>
      </c>
      <c r="F340" t="s">
        <v>8</v>
      </c>
      <c r="G340">
        <v>1</v>
      </c>
    </row>
    <row r="341" spans="1:7" x14ac:dyDescent="0.3">
      <c r="A341">
        <v>2019</v>
      </c>
      <c r="B341" t="s">
        <v>47</v>
      </c>
      <c r="C341" t="s">
        <v>100</v>
      </c>
      <c r="D341" t="s">
        <v>77</v>
      </c>
      <c r="E341" t="s">
        <v>88</v>
      </c>
      <c r="F341" t="s">
        <v>8</v>
      </c>
      <c r="G341">
        <v>1</v>
      </c>
    </row>
    <row r="342" spans="1:7" x14ac:dyDescent="0.3">
      <c r="A342">
        <v>2019</v>
      </c>
      <c r="B342" t="s">
        <v>55</v>
      </c>
      <c r="C342" t="s">
        <v>100</v>
      </c>
      <c r="D342" t="s">
        <v>77</v>
      </c>
      <c r="E342" t="s">
        <v>94</v>
      </c>
      <c r="F342" t="s">
        <v>8</v>
      </c>
      <c r="G342">
        <v>0</v>
      </c>
    </row>
    <row r="343" spans="1:7" x14ac:dyDescent="0.3">
      <c r="A343">
        <v>2019</v>
      </c>
      <c r="B343" t="s">
        <v>55</v>
      </c>
      <c r="C343" t="s">
        <v>100</v>
      </c>
      <c r="D343" t="s">
        <v>77</v>
      </c>
      <c r="E343" t="s">
        <v>87</v>
      </c>
      <c r="F343" t="s">
        <v>8</v>
      </c>
      <c r="G343">
        <v>4</v>
      </c>
    </row>
    <row r="344" spans="1:7" x14ac:dyDescent="0.3">
      <c r="A344">
        <v>2019</v>
      </c>
      <c r="B344" t="s">
        <v>55</v>
      </c>
      <c r="C344" t="s">
        <v>100</v>
      </c>
      <c r="D344" t="s">
        <v>77</v>
      </c>
      <c r="E344" t="s">
        <v>89</v>
      </c>
      <c r="F344" t="s">
        <v>8</v>
      </c>
      <c r="G344">
        <v>21</v>
      </c>
    </row>
    <row r="345" spans="1:7" x14ac:dyDescent="0.3">
      <c r="A345">
        <v>2019</v>
      </c>
      <c r="B345" t="s">
        <v>55</v>
      </c>
      <c r="C345" t="s">
        <v>100</v>
      </c>
      <c r="D345" t="s">
        <v>77</v>
      </c>
      <c r="E345" t="s">
        <v>88</v>
      </c>
      <c r="F345" t="s">
        <v>8</v>
      </c>
      <c r="G345">
        <v>4</v>
      </c>
    </row>
    <row r="346" spans="1:7" x14ac:dyDescent="0.3">
      <c r="A346">
        <v>2019</v>
      </c>
      <c r="B346" t="s">
        <v>48</v>
      </c>
      <c r="C346" t="s">
        <v>100</v>
      </c>
      <c r="D346" t="s">
        <v>77</v>
      </c>
      <c r="E346" t="s">
        <v>94</v>
      </c>
      <c r="F346" t="s">
        <v>8</v>
      </c>
      <c r="G346">
        <v>3</v>
      </c>
    </row>
    <row r="347" spans="1:7" x14ac:dyDescent="0.3">
      <c r="A347">
        <v>2019</v>
      </c>
      <c r="B347" t="s">
        <v>48</v>
      </c>
      <c r="C347" t="s">
        <v>100</v>
      </c>
      <c r="D347" t="s">
        <v>77</v>
      </c>
      <c r="E347" t="s">
        <v>87</v>
      </c>
      <c r="F347" t="s">
        <v>8</v>
      </c>
      <c r="G347">
        <v>0</v>
      </c>
    </row>
    <row r="348" spans="1:7" x14ac:dyDescent="0.3">
      <c r="A348">
        <v>2019</v>
      </c>
      <c r="B348" t="s">
        <v>48</v>
      </c>
      <c r="C348" t="s">
        <v>100</v>
      </c>
      <c r="D348" t="s">
        <v>77</v>
      </c>
      <c r="E348" t="s">
        <v>89</v>
      </c>
      <c r="F348" t="s">
        <v>8</v>
      </c>
      <c r="G348">
        <v>9</v>
      </c>
    </row>
    <row r="349" spans="1:7" x14ac:dyDescent="0.3">
      <c r="A349">
        <v>2019</v>
      </c>
      <c r="B349" t="s">
        <v>48</v>
      </c>
      <c r="C349" t="s">
        <v>100</v>
      </c>
      <c r="D349" t="s">
        <v>77</v>
      </c>
      <c r="E349" t="s">
        <v>88</v>
      </c>
      <c r="F349" t="s">
        <v>8</v>
      </c>
      <c r="G349">
        <v>1</v>
      </c>
    </row>
    <row r="350" spans="1:7" x14ac:dyDescent="0.3">
      <c r="A350">
        <v>2019</v>
      </c>
      <c r="B350" t="s">
        <v>56</v>
      </c>
      <c r="C350" t="s">
        <v>100</v>
      </c>
      <c r="D350" t="s">
        <v>77</v>
      </c>
      <c r="E350" t="s">
        <v>94</v>
      </c>
      <c r="F350" t="s">
        <v>8</v>
      </c>
    </row>
    <row r="351" spans="1:7" x14ac:dyDescent="0.3">
      <c r="A351">
        <v>2019</v>
      </c>
      <c r="B351" t="s">
        <v>56</v>
      </c>
      <c r="C351" t="s">
        <v>100</v>
      </c>
      <c r="D351" t="s">
        <v>77</v>
      </c>
      <c r="E351" t="s">
        <v>87</v>
      </c>
      <c r="F351" t="s">
        <v>8</v>
      </c>
      <c r="G351">
        <v>38</v>
      </c>
    </row>
    <row r="352" spans="1:7" x14ac:dyDescent="0.3">
      <c r="A352">
        <v>2019</v>
      </c>
      <c r="B352" t="s">
        <v>56</v>
      </c>
      <c r="C352" t="s">
        <v>100</v>
      </c>
      <c r="D352" t="s">
        <v>77</v>
      </c>
      <c r="E352" t="s">
        <v>89</v>
      </c>
      <c r="F352" t="s">
        <v>8</v>
      </c>
      <c r="G352">
        <v>11</v>
      </c>
    </row>
    <row r="353" spans="1:7" x14ac:dyDescent="0.3">
      <c r="A353">
        <v>2019</v>
      </c>
      <c r="B353" t="s">
        <v>56</v>
      </c>
      <c r="C353" t="s">
        <v>100</v>
      </c>
      <c r="D353" t="s">
        <v>77</v>
      </c>
      <c r="E353" t="s">
        <v>88</v>
      </c>
      <c r="F353" t="s">
        <v>8</v>
      </c>
    </row>
    <row r="354" spans="1:7" x14ac:dyDescent="0.3">
      <c r="A354">
        <v>2019</v>
      </c>
      <c r="B354" t="s">
        <v>49</v>
      </c>
      <c r="C354" t="s">
        <v>100</v>
      </c>
      <c r="D354" t="s">
        <v>77</v>
      </c>
      <c r="E354" t="s">
        <v>94</v>
      </c>
      <c r="F354" t="s">
        <v>8</v>
      </c>
      <c r="G354">
        <v>4</v>
      </c>
    </row>
    <row r="355" spans="1:7" x14ac:dyDescent="0.3">
      <c r="A355">
        <v>2019</v>
      </c>
      <c r="B355" t="s">
        <v>49</v>
      </c>
      <c r="C355" t="s">
        <v>100</v>
      </c>
      <c r="D355" t="s">
        <v>77</v>
      </c>
      <c r="E355" t="s">
        <v>87</v>
      </c>
      <c r="F355" t="s">
        <v>8</v>
      </c>
      <c r="G355">
        <v>4</v>
      </c>
    </row>
    <row r="356" spans="1:7" x14ac:dyDescent="0.3">
      <c r="A356">
        <v>2019</v>
      </c>
      <c r="B356" t="s">
        <v>49</v>
      </c>
      <c r="C356" t="s">
        <v>100</v>
      </c>
      <c r="D356" t="s">
        <v>77</v>
      </c>
      <c r="E356" t="s">
        <v>89</v>
      </c>
      <c r="F356" t="s">
        <v>8</v>
      </c>
      <c r="G356">
        <v>7</v>
      </c>
    </row>
    <row r="357" spans="1:7" x14ac:dyDescent="0.3">
      <c r="A357">
        <v>2019</v>
      </c>
      <c r="B357" t="s">
        <v>49</v>
      </c>
      <c r="C357" t="s">
        <v>100</v>
      </c>
      <c r="D357" t="s">
        <v>77</v>
      </c>
      <c r="E357" t="s">
        <v>88</v>
      </c>
      <c r="F357" t="s">
        <v>8</v>
      </c>
      <c r="G357">
        <v>0</v>
      </c>
    </row>
    <row r="358" spans="1:7" x14ac:dyDescent="0.3">
      <c r="A358">
        <v>2019</v>
      </c>
      <c r="B358" t="s">
        <v>57</v>
      </c>
      <c r="C358" t="s">
        <v>100</v>
      </c>
      <c r="D358" t="s">
        <v>77</v>
      </c>
      <c r="E358" t="s">
        <v>94</v>
      </c>
      <c r="F358" t="s">
        <v>8</v>
      </c>
      <c r="G358">
        <v>3</v>
      </c>
    </row>
    <row r="359" spans="1:7" x14ac:dyDescent="0.3">
      <c r="A359">
        <v>2019</v>
      </c>
      <c r="B359" t="s">
        <v>57</v>
      </c>
      <c r="C359" t="s">
        <v>100</v>
      </c>
      <c r="D359" t="s">
        <v>77</v>
      </c>
      <c r="E359" t="s">
        <v>87</v>
      </c>
      <c r="F359" t="s">
        <v>8</v>
      </c>
      <c r="G359">
        <v>5</v>
      </c>
    </row>
    <row r="360" spans="1:7" x14ac:dyDescent="0.3">
      <c r="A360">
        <v>2019</v>
      </c>
      <c r="B360" t="s">
        <v>57</v>
      </c>
      <c r="C360" t="s">
        <v>100</v>
      </c>
      <c r="D360" t="s">
        <v>77</v>
      </c>
      <c r="E360" t="s">
        <v>89</v>
      </c>
      <c r="F360" t="s">
        <v>8</v>
      </c>
      <c r="G360">
        <v>25</v>
      </c>
    </row>
    <row r="361" spans="1:7" x14ac:dyDescent="0.3">
      <c r="A361">
        <v>2019</v>
      </c>
      <c r="B361" t="s">
        <v>57</v>
      </c>
      <c r="C361" t="s">
        <v>100</v>
      </c>
      <c r="D361" t="s">
        <v>77</v>
      </c>
      <c r="E361" t="s">
        <v>88</v>
      </c>
      <c r="F361" t="s">
        <v>8</v>
      </c>
      <c r="G361">
        <v>3</v>
      </c>
    </row>
    <row r="362" spans="1:7" x14ac:dyDescent="0.3">
      <c r="A362">
        <v>2019</v>
      </c>
      <c r="B362" t="s">
        <v>23</v>
      </c>
      <c r="C362" t="s">
        <v>100</v>
      </c>
      <c r="D362" t="s">
        <v>77</v>
      </c>
      <c r="E362" t="s">
        <v>94</v>
      </c>
      <c r="F362" t="s">
        <v>8</v>
      </c>
      <c r="G362">
        <v>5</v>
      </c>
    </row>
    <row r="363" spans="1:7" x14ac:dyDescent="0.3">
      <c r="A363">
        <v>2019</v>
      </c>
      <c r="B363" t="s">
        <v>23</v>
      </c>
      <c r="C363" t="s">
        <v>100</v>
      </c>
      <c r="D363" t="s">
        <v>77</v>
      </c>
      <c r="E363" t="s">
        <v>87</v>
      </c>
      <c r="F363" t="s">
        <v>8</v>
      </c>
      <c r="G363">
        <v>5</v>
      </c>
    </row>
    <row r="364" spans="1:7" x14ac:dyDescent="0.3">
      <c r="A364">
        <v>2019</v>
      </c>
      <c r="B364" t="s">
        <v>23</v>
      </c>
      <c r="C364" t="s">
        <v>100</v>
      </c>
      <c r="D364" t="s">
        <v>77</v>
      </c>
      <c r="E364" t="s">
        <v>89</v>
      </c>
      <c r="F364" t="s">
        <v>8</v>
      </c>
      <c r="G364">
        <v>33</v>
      </c>
    </row>
    <row r="365" spans="1:7" x14ac:dyDescent="0.3">
      <c r="A365">
        <v>2019</v>
      </c>
      <c r="B365" t="s">
        <v>23</v>
      </c>
      <c r="C365" t="s">
        <v>100</v>
      </c>
      <c r="D365" t="s">
        <v>77</v>
      </c>
      <c r="E365" t="s">
        <v>88</v>
      </c>
      <c r="F365" t="s">
        <v>8</v>
      </c>
      <c r="G365">
        <v>0</v>
      </c>
    </row>
    <row r="366" spans="1:7" x14ac:dyDescent="0.3">
      <c r="A366">
        <v>2019</v>
      </c>
      <c r="B366" t="s">
        <v>38</v>
      </c>
      <c r="C366" t="s">
        <v>100</v>
      </c>
      <c r="D366" t="s">
        <v>77</v>
      </c>
      <c r="E366" t="s">
        <v>94</v>
      </c>
      <c r="F366" t="s">
        <v>8</v>
      </c>
    </row>
    <row r="367" spans="1:7" x14ac:dyDescent="0.3">
      <c r="A367">
        <v>2019</v>
      </c>
      <c r="B367" t="s">
        <v>38</v>
      </c>
      <c r="C367" t="s">
        <v>100</v>
      </c>
      <c r="D367" t="s">
        <v>77</v>
      </c>
      <c r="E367" t="s">
        <v>87</v>
      </c>
      <c r="F367" t="s">
        <v>8</v>
      </c>
    </row>
    <row r="368" spans="1:7" x14ac:dyDescent="0.3">
      <c r="A368">
        <v>2019</v>
      </c>
      <c r="B368" t="s">
        <v>38</v>
      </c>
      <c r="C368" t="s">
        <v>100</v>
      </c>
      <c r="D368" t="s">
        <v>77</v>
      </c>
      <c r="E368" t="s">
        <v>89</v>
      </c>
      <c r="F368" t="s">
        <v>8</v>
      </c>
      <c r="G368">
        <v>1</v>
      </c>
    </row>
    <row r="369" spans="1:7" x14ac:dyDescent="0.3">
      <c r="A369">
        <v>2019</v>
      </c>
      <c r="B369" t="s">
        <v>38</v>
      </c>
      <c r="C369" t="s">
        <v>100</v>
      </c>
      <c r="D369" t="s">
        <v>77</v>
      </c>
      <c r="E369" t="s">
        <v>88</v>
      </c>
      <c r="F369" t="s">
        <v>8</v>
      </c>
      <c r="G369">
        <v>5</v>
      </c>
    </row>
    <row r="370" spans="1:7" x14ac:dyDescent="0.3">
      <c r="A370">
        <v>2020</v>
      </c>
      <c r="B370" t="s">
        <v>12</v>
      </c>
      <c r="C370" t="s">
        <v>100</v>
      </c>
      <c r="D370" t="s">
        <v>77</v>
      </c>
      <c r="E370" t="s">
        <v>94</v>
      </c>
      <c r="F370" t="s">
        <v>7</v>
      </c>
      <c r="G370">
        <v>24</v>
      </c>
    </row>
    <row r="371" spans="1:7" x14ac:dyDescent="0.3">
      <c r="A371">
        <v>2020</v>
      </c>
      <c r="B371" t="s">
        <v>12</v>
      </c>
      <c r="C371" t="s">
        <v>100</v>
      </c>
      <c r="D371" t="s">
        <v>77</v>
      </c>
      <c r="E371" t="s">
        <v>87</v>
      </c>
      <c r="F371" t="s">
        <v>7</v>
      </c>
      <c r="G371">
        <v>14</v>
      </c>
    </row>
    <row r="372" spans="1:7" x14ac:dyDescent="0.3">
      <c r="A372">
        <v>2020</v>
      </c>
      <c r="B372" t="s">
        <v>12</v>
      </c>
      <c r="C372" t="s">
        <v>100</v>
      </c>
      <c r="D372" t="s">
        <v>77</v>
      </c>
      <c r="E372" t="s">
        <v>89</v>
      </c>
      <c r="F372" t="s">
        <v>7</v>
      </c>
      <c r="G372">
        <v>7</v>
      </c>
    </row>
    <row r="373" spans="1:7" x14ac:dyDescent="0.3">
      <c r="A373">
        <v>2020</v>
      </c>
      <c r="B373" t="s">
        <v>12</v>
      </c>
      <c r="C373" t="s">
        <v>100</v>
      </c>
      <c r="D373" t="s">
        <v>77</v>
      </c>
      <c r="E373" t="s">
        <v>88</v>
      </c>
      <c r="F373" t="s">
        <v>7</v>
      </c>
      <c r="G373">
        <v>2</v>
      </c>
    </row>
    <row r="374" spans="1:7" x14ac:dyDescent="0.3">
      <c r="A374">
        <v>2020</v>
      </c>
      <c r="B374" t="s">
        <v>13</v>
      </c>
      <c r="C374" t="s">
        <v>100</v>
      </c>
      <c r="D374" t="s">
        <v>77</v>
      </c>
      <c r="E374" t="s">
        <v>94</v>
      </c>
      <c r="F374" t="s">
        <v>7</v>
      </c>
      <c r="G374">
        <v>24</v>
      </c>
    </row>
    <row r="375" spans="1:7" x14ac:dyDescent="0.3">
      <c r="A375">
        <v>2020</v>
      </c>
      <c r="B375" t="s">
        <v>13</v>
      </c>
      <c r="C375" t="s">
        <v>100</v>
      </c>
      <c r="D375" t="s">
        <v>77</v>
      </c>
      <c r="E375" t="s">
        <v>87</v>
      </c>
      <c r="F375" t="s">
        <v>7</v>
      </c>
      <c r="G375">
        <v>19</v>
      </c>
    </row>
    <row r="376" spans="1:7" x14ac:dyDescent="0.3">
      <c r="A376">
        <v>2020</v>
      </c>
      <c r="B376" t="s">
        <v>13</v>
      </c>
      <c r="C376" t="s">
        <v>100</v>
      </c>
      <c r="D376" t="s">
        <v>77</v>
      </c>
      <c r="E376" t="s">
        <v>89</v>
      </c>
      <c r="F376" t="s">
        <v>7</v>
      </c>
      <c r="G376">
        <v>10</v>
      </c>
    </row>
    <row r="377" spans="1:7" x14ac:dyDescent="0.3">
      <c r="A377">
        <v>2020</v>
      </c>
      <c r="B377" t="s">
        <v>13</v>
      </c>
      <c r="C377" t="s">
        <v>100</v>
      </c>
      <c r="D377" t="s">
        <v>77</v>
      </c>
      <c r="E377" t="s">
        <v>88</v>
      </c>
      <c r="F377" t="s">
        <v>7</v>
      </c>
      <c r="G377">
        <v>1</v>
      </c>
    </row>
    <row r="378" spans="1:7" x14ac:dyDescent="0.3">
      <c r="A378">
        <v>2020</v>
      </c>
      <c r="B378" t="s">
        <v>14</v>
      </c>
      <c r="C378" t="s">
        <v>100</v>
      </c>
      <c r="D378" t="s">
        <v>77</v>
      </c>
      <c r="E378" t="s">
        <v>94</v>
      </c>
      <c r="F378" t="s">
        <v>7</v>
      </c>
      <c r="G378">
        <v>8</v>
      </c>
    </row>
    <row r="379" spans="1:7" x14ac:dyDescent="0.3">
      <c r="A379">
        <v>2020</v>
      </c>
      <c r="B379" t="s">
        <v>14</v>
      </c>
      <c r="C379" t="s">
        <v>100</v>
      </c>
      <c r="D379" t="s">
        <v>77</v>
      </c>
      <c r="E379" t="s">
        <v>87</v>
      </c>
      <c r="F379" t="s">
        <v>7</v>
      </c>
      <c r="G379">
        <v>22</v>
      </c>
    </row>
    <row r="380" spans="1:7" x14ac:dyDescent="0.3">
      <c r="A380">
        <v>2020</v>
      </c>
      <c r="B380" t="s">
        <v>14</v>
      </c>
      <c r="C380" t="s">
        <v>100</v>
      </c>
      <c r="D380" t="s">
        <v>77</v>
      </c>
      <c r="E380" t="s">
        <v>89</v>
      </c>
      <c r="F380" t="s">
        <v>7</v>
      </c>
      <c r="G380">
        <v>13</v>
      </c>
    </row>
    <row r="381" spans="1:7" x14ac:dyDescent="0.3">
      <c r="A381">
        <v>2020</v>
      </c>
      <c r="B381" t="s">
        <v>14</v>
      </c>
      <c r="C381" t="s">
        <v>100</v>
      </c>
      <c r="D381" t="s">
        <v>77</v>
      </c>
      <c r="E381" t="s">
        <v>88</v>
      </c>
      <c r="F381" t="s">
        <v>7</v>
      </c>
      <c r="G381">
        <v>1</v>
      </c>
    </row>
    <row r="382" spans="1:7" x14ac:dyDescent="0.3">
      <c r="A382">
        <v>2020</v>
      </c>
      <c r="B382" t="s">
        <v>15</v>
      </c>
      <c r="C382" t="s">
        <v>100</v>
      </c>
      <c r="D382" t="s">
        <v>77</v>
      </c>
      <c r="E382" t="s">
        <v>94</v>
      </c>
      <c r="F382" t="s">
        <v>7</v>
      </c>
      <c r="G382">
        <v>21</v>
      </c>
    </row>
    <row r="383" spans="1:7" x14ac:dyDescent="0.3">
      <c r="A383">
        <v>2020</v>
      </c>
      <c r="B383" t="s">
        <v>15</v>
      </c>
      <c r="C383" t="s">
        <v>100</v>
      </c>
      <c r="D383" t="s">
        <v>77</v>
      </c>
      <c r="E383" t="s">
        <v>87</v>
      </c>
      <c r="F383" t="s">
        <v>7</v>
      </c>
      <c r="G383">
        <v>18</v>
      </c>
    </row>
    <row r="384" spans="1:7" x14ac:dyDescent="0.3">
      <c r="A384">
        <v>2020</v>
      </c>
      <c r="B384" t="s">
        <v>15</v>
      </c>
      <c r="C384" t="s">
        <v>100</v>
      </c>
      <c r="D384" t="s">
        <v>77</v>
      </c>
      <c r="E384" t="s">
        <v>89</v>
      </c>
      <c r="F384" t="s">
        <v>7</v>
      </c>
      <c r="G384">
        <v>13</v>
      </c>
    </row>
    <row r="385" spans="1:7" x14ac:dyDescent="0.3">
      <c r="A385">
        <v>2020</v>
      </c>
      <c r="B385" t="s">
        <v>15</v>
      </c>
      <c r="C385" t="s">
        <v>100</v>
      </c>
      <c r="D385" t="s">
        <v>77</v>
      </c>
      <c r="E385" t="s">
        <v>88</v>
      </c>
      <c r="F385" t="s">
        <v>7</v>
      </c>
    </row>
    <row r="386" spans="1:7" x14ac:dyDescent="0.3">
      <c r="A386">
        <v>2020</v>
      </c>
      <c r="B386" t="s">
        <v>16</v>
      </c>
      <c r="C386" t="s">
        <v>100</v>
      </c>
      <c r="D386" t="s">
        <v>77</v>
      </c>
      <c r="E386" t="s">
        <v>94</v>
      </c>
      <c r="F386" t="s">
        <v>7</v>
      </c>
      <c r="G386">
        <v>30</v>
      </c>
    </row>
    <row r="387" spans="1:7" x14ac:dyDescent="0.3">
      <c r="A387">
        <v>2020</v>
      </c>
      <c r="B387" t="s">
        <v>16</v>
      </c>
      <c r="C387" t="s">
        <v>100</v>
      </c>
      <c r="D387" t="s">
        <v>77</v>
      </c>
      <c r="E387" t="s">
        <v>87</v>
      </c>
      <c r="F387" t="s">
        <v>7</v>
      </c>
      <c r="G387">
        <v>8</v>
      </c>
    </row>
    <row r="388" spans="1:7" x14ac:dyDescent="0.3">
      <c r="A388">
        <v>2020</v>
      </c>
      <c r="B388" t="s">
        <v>16</v>
      </c>
      <c r="C388" t="s">
        <v>100</v>
      </c>
      <c r="D388" t="s">
        <v>77</v>
      </c>
      <c r="E388" t="s">
        <v>89</v>
      </c>
      <c r="F388" t="s">
        <v>7</v>
      </c>
      <c r="G388">
        <v>8</v>
      </c>
    </row>
    <row r="389" spans="1:7" x14ac:dyDescent="0.3">
      <c r="A389">
        <v>2020</v>
      </c>
      <c r="B389" t="s">
        <v>16</v>
      </c>
      <c r="C389" t="s">
        <v>100</v>
      </c>
      <c r="D389" t="s">
        <v>77</v>
      </c>
      <c r="E389" t="s">
        <v>88</v>
      </c>
      <c r="F389" t="s">
        <v>7</v>
      </c>
    </row>
    <row r="390" spans="1:7" x14ac:dyDescent="0.3">
      <c r="A390">
        <v>2020</v>
      </c>
      <c r="B390" t="s">
        <v>17</v>
      </c>
      <c r="C390" t="s">
        <v>100</v>
      </c>
      <c r="D390" t="s">
        <v>77</v>
      </c>
      <c r="E390" t="s">
        <v>94</v>
      </c>
      <c r="F390" t="s">
        <v>7</v>
      </c>
      <c r="G390">
        <v>32</v>
      </c>
    </row>
    <row r="391" spans="1:7" x14ac:dyDescent="0.3">
      <c r="A391">
        <v>2020</v>
      </c>
      <c r="B391" t="s">
        <v>17</v>
      </c>
      <c r="C391" t="s">
        <v>100</v>
      </c>
      <c r="D391" t="s">
        <v>77</v>
      </c>
      <c r="E391" t="s">
        <v>87</v>
      </c>
      <c r="F391" t="s">
        <v>7</v>
      </c>
      <c r="G391">
        <v>21</v>
      </c>
    </row>
    <row r="392" spans="1:7" x14ac:dyDescent="0.3">
      <c r="A392">
        <v>2020</v>
      </c>
      <c r="B392" t="s">
        <v>17</v>
      </c>
      <c r="C392" t="s">
        <v>100</v>
      </c>
      <c r="D392" t="s">
        <v>77</v>
      </c>
      <c r="E392" t="s">
        <v>89</v>
      </c>
      <c r="F392" t="s">
        <v>7</v>
      </c>
      <c r="G392">
        <v>11</v>
      </c>
    </row>
    <row r="393" spans="1:7" x14ac:dyDescent="0.3">
      <c r="A393">
        <v>2020</v>
      </c>
      <c r="B393" t="s">
        <v>17</v>
      </c>
      <c r="C393" t="s">
        <v>100</v>
      </c>
      <c r="D393" t="s">
        <v>77</v>
      </c>
      <c r="E393" t="s">
        <v>88</v>
      </c>
      <c r="F393" t="s">
        <v>7</v>
      </c>
      <c r="G393">
        <v>0</v>
      </c>
    </row>
    <row r="394" spans="1:7" x14ac:dyDescent="0.3">
      <c r="A394">
        <v>2020</v>
      </c>
      <c r="B394" t="s">
        <v>18</v>
      </c>
      <c r="C394" t="s">
        <v>100</v>
      </c>
      <c r="D394" t="s">
        <v>77</v>
      </c>
      <c r="E394" t="s">
        <v>94</v>
      </c>
      <c r="F394" t="s">
        <v>7</v>
      </c>
      <c r="G394">
        <v>6</v>
      </c>
    </row>
    <row r="395" spans="1:7" x14ac:dyDescent="0.3">
      <c r="A395">
        <v>2020</v>
      </c>
      <c r="B395" t="s">
        <v>18</v>
      </c>
      <c r="C395" t="s">
        <v>100</v>
      </c>
      <c r="D395" t="s">
        <v>77</v>
      </c>
      <c r="E395" t="s">
        <v>87</v>
      </c>
      <c r="F395" t="s">
        <v>7</v>
      </c>
      <c r="G395">
        <v>29</v>
      </c>
    </row>
    <row r="396" spans="1:7" x14ac:dyDescent="0.3">
      <c r="A396">
        <v>2020</v>
      </c>
      <c r="B396" t="s">
        <v>18</v>
      </c>
      <c r="C396" t="s">
        <v>100</v>
      </c>
      <c r="D396" t="s">
        <v>77</v>
      </c>
      <c r="E396" t="s">
        <v>89</v>
      </c>
      <c r="F396" t="s">
        <v>7</v>
      </c>
      <c r="G396">
        <v>6</v>
      </c>
    </row>
    <row r="397" spans="1:7" x14ac:dyDescent="0.3">
      <c r="A397">
        <v>2020</v>
      </c>
      <c r="B397" t="s">
        <v>18</v>
      </c>
      <c r="C397" t="s">
        <v>100</v>
      </c>
      <c r="D397" t="s">
        <v>77</v>
      </c>
      <c r="E397" t="s">
        <v>88</v>
      </c>
      <c r="F397" t="s">
        <v>7</v>
      </c>
      <c r="G397">
        <v>3</v>
      </c>
    </row>
    <row r="398" spans="1:7" x14ac:dyDescent="0.3">
      <c r="A398">
        <v>2020</v>
      </c>
      <c r="B398" t="s">
        <v>19</v>
      </c>
      <c r="C398" t="s">
        <v>100</v>
      </c>
      <c r="D398" t="s">
        <v>77</v>
      </c>
      <c r="E398" t="s">
        <v>94</v>
      </c>
      <c r="F398" t="s">
        <v>7</v>
      </c>
      <c r="G398">
        <v>36</v>
      </c>
    </row>
    <row r="399" spans="1:7" x14ac:dyDescent="0.3">
      <c r="A399">
        <v>2020</v>
      </c>
      <c r="B399" t="s">
        <v>19</v>
      </c>
      <c r="C399" t="s">
        <v>100</v>
      </c>
      <c r="D399" t="s">
        <v>77</v>
      </c>
      <c r="E399" t="s">
        <v>87</v>
      </c>
      <c r="F399" t="s">
        <v>7</v>
      </c>
      <c r="G399">
        <v>6</v>
      </c>
    </row>
    <row r="400" spans="1:7" x14ac:dyDescent="0.3">
      <c r="A400">
        <v>2020</v>
      </c>
      <c r="B400" t="s">
        <v>19</v>
      </c>
      <c r="C400" t="s">
        <v>100</v>
      </c>
      <c r="D400" t="s">
        <v>77</v>
      </c>
      <c r="E400" t="s">
        <v>89</v>
      </c>
      <c r="F400" t="s">
        <v>7</v>
      </c>
      <c r="G400">
        <v>5</v>
      </c>
    </row>
    <row r="401" spans="1:7" x14ac:dyDescent="0.3">
      <c r="A401">
        <v>2020</v>
      </c>
      <c r="B401" t="s">
        <v>19</v>
      </c>
      <c r="C401" t="s">
        <v>100</v>
      </c>
      <c r="D401" t="s">
        <v>77</v>
      </c>
      <c r="E401" t="s">
        <v>88</v>
      </c>
      <c r="F401" t="s">
        <v>7</v>
      </c>
      <c r="G401">
        <v>1</v>
      </c>
    </row>
    <row r="402" spans="1:7" x14ac:dyDescent="0.3">
      <c r="A402">
        <v>2020</v>
      </c>
      <c r="B402" t="s">
        <v>20</v>
      </c>
      <c r="C402" t="s">
        <v>100</v>
      </c>
      <c r="D402" t="s">
        <v>77</v>
      </c>
      <c r="E402" t="s">
        <v>94</v>
      </c>
      <c r="F402" t="s">
        <v>7</v>
      </c>
      <c r="G402">
        <v>38</v>
      </c>
    </row>
    <row r="403" spans="1:7" x14ac:dyDescent="0.3">
      <c r="A403">
        <v>2020</v>
      </c>
      <c r="B403" t="s">
        <v>20</v>
      </c>
      <c r="C403" t="s">
        <v>100</v>
      </c>
      <c r="D403" t="s">
        <v>77</v>
      </c>
      <c r="E403" t="s">
        <v>87</v>
      </c>
      <c r="F403" t="s">
        <v>7</v>
      </c>
      <c r="G403">
        <v>9</v>
      </c>
    </row>
    <row r="404" spans="1:7" x14ac:dyDescent="0.3">
      <c r="A404">
        <v>2020</v>
      </c>
      <c r="B404" t="s">
        <v>20</v>
      </c>
      <c r="C404" t="s">
        <v>100</v>
      </c>
      <c r="D404" t="s">
        <v>77</v>
      </c>
      <c r="E404" t="s">
        <v>89</v>
      </c>
      <c r="F404" t="s">
        <v>7</v>
      </c>
      <c r="G404">
        <v>10</v>
      </c>
    </row>
    <row r="405" spans="1:7" x14ac:dyDescent="0.3">
      <c r="A405">
        <v>2020</v>
      </c>
      <c r="B405" t="s">
        <v>20</v>
      </c>
      <c r="C405" t="s">
        <v>100</v>
      </c>
      <c r="D405" t="s">
        <v>77</v>
      </c>
      <c r="E405" t="s">
        <v>88</v>
      </c>
      <c r="F405" t="s">
        <v>7</v>
      </c>
    </row>
    <row r="406" spans="1:7" x14ac:dyDescent="0.3">
      <c r="A406">
        <v>2020</v>
      </c>
      <c r="B406" t="s">
        <v>21</v>
      </c>
      <c r="C406" t="s">
        <v>100</v>
      </c>
      <c r="D406" t="s">
        <v>77</v>
      </c>
      <c r="E406" t="s">
        <v>94</v>
      </c>
      <c r="F406" t="s">
        <v>7</v>
      </c>
      <c r="G406">
        <v>35</v>
      </c>
    </row>
    <row r="407" spans="1:7" x14ac:dyDescent="0.3">
      <c r="A407">
        <v>2020</v>
      </c>
      <c r="B407" t="s">
        <v>21</v>
      </c>
      <c r="C407" t="s">
        <v>100</v>
      </c>
      <c r="D407" t="s">
        <v>77</v>
      </c>
      <c r="E407" t="s">
        <v>87</v>
      </c>
      <c r="F407" t="s">
        <v>7</v>
      </c>
      <c r="G407">
        <v>15</v>
      </c>
    </row>
    <row r="408" spans="1:7" x14ac:dyDescent="0.3">
      <c r="A408">
        <v>2020</v>
      </c>
      <c r="B408" t="s">
        <v>21</v>
      </c>
      <c r="C408" t="s">
        <v>100</v>
      </c>
      <c r="D408" t="s">
        <v>77</v>
      </c>
      <c r="E408" t="s">
        <v>89</v>
      </c>
      <c r="F408" t="s">
        <v>7</v>
      </c>
      <c r="G408">
        <v>5</v>
      </c>
    </row>
    <row r="409" spans="1:7" x14ac:dyDescent="0.3">
      <c r="A409">
        <v>2020</v>
      </c>
      <c r="B409" t="s">
        <v>21</v>
      </c>
      <c r="C409" t="s">
        <v>100</v>
      </c>
      <c r="D409" t="s">
        <v>77</v>
      </c>
      <c r="E409" t="s">
        <v>88</v>
      </c>
      <c r="F409" t="s">
        <v>7</v>
      </c>
      <c r="G409">
        <v>3</v>
      </c>
    </row>
    <row r="410" spans="1:7" x14ac:dyDescent="0.3">
      <c r="A410">
        <v>2020</v>
      </c>
      <c r="B410" t="s">
        <v>22</v>
      </c>
      <c r="C410" t="s">
        <v>100</v>
      </c>
      <c r="D410" t="s">
        <v>77</v>
      </c>
      <c r="E410" t="s">
        <v>94</v>
      </c>
      <c r="F410" t="s">
        <v>7</v>
      </c>
      <c r="G410">
        <v>123</v>
      </c>
    </row>
    <row r="411" spans="1:7" x14ac:dyDescent="0.3">
      <c r="A411">
        <v>2020</v>
      </c>
      <c r="B411" t="s">
        <v>22</v>
      </c>
      <c r="C411" t="s">
        <v>100</v>
      </c>
      <c r="D411" t="s">
        <v>77</v>
      </c>
      <c r="E411" t="s">
        <v>87</v>
      </c>
      <c r="F411" t="s">
        <v>7</v>
      </c>
      <c r="G411">
        <v>8</v>
      </c>
    </row>
    <row r="412" spans="1:7" x14ac:dyDescent="0.3">
      <c r="A412">
        <v>2020</v>
      </c>
      <c r="B412" t="s">
        <v>22</v>
      </c>
      <c r="C412" t="s">
        <v>100</v>
      </c>
      <c r="D412" t="s">
        <v>77</v>
      </c>
      <c r="E412" t="s">
        <v>89</v>
      </c>
      <c r="F412" t="s">
        <v>7</v>
      </c>
      <c r="G412">
        <v>14</v>
      </c>
    </row>
    <row r="413" spans="1:7" x14ac:dyDescent="0.3">
      <c r="A413">
        <v>2020</v>
      </c>
      <c r="B413" t="s">
        <v>22</v>
      </c>
      <c r="C413" t="s">
        <v>100</v>
      </c>
      <c r="D413" t="s">
        <v>77</v>
      </c>
      <c r="E413" t="s">
        <v>88</v>
      </c>
      <c r="F413" t="s">
        <v>7</v>
      </c>
      <c r="G413">
        <v>0</v>
      </c>
    </row>
    <row r="414" spans="1:7" x14ac:dyDescent="0.3">
      <c r="A414">
        <v>2020</v>
      </c>
      <c r="B414" t="s">
        <v>24</v>
      </c>
      <c r="C414" t="s">
        <v>100</v>
      </c>
      <c r="D414" t="s">
        <v>77</v>
      </c>
      <c r="E414" t="s">
        <v>94</v>
      </c>
      <c r="F414" t="s">
        <v>7</v>
      </c>
      <c r="G414">
        <v>26</v>
      </c>
    </row>
    <row r="415" spans="1:7" x14ac:dyDescent="0.3">
      <c r="A415">
        <v>2020</v>
      </c>
      <c r="B415" t="s">
        <v>24</v>
      </c>
      <c r="C415" t="s">
        <v>100</v>
      </c>
      <c r="D415" t="s">
        <v>77</v>
      </c>
      <c r="E415" t="s">
        <v>87</v>
      </c>
      <c r="F415" t="s">
        <v>7</v>
      </c>
      <c r="G415">
        <v>14</v>
      </c>
    </row>
    <row r="416" spans="1:7" x14ac:dyDescent="0.3">
      <c r="A416">
        <v>2020</v>
      </c>
      <c r="B416" t="s">
        <v>24</v>
      </c>
      <c r="C416" t="s">
        <v>100</v>
      </c>
      <c r="D416" t="s">
        <v>77</v>
      </c>
      <c r="E416" t="s">
        <v>89</v>
      </c>
      <c r="F416" t="s">
        <v>7</v>
      </c>
      <c r="G416">
        <v>4</v>
      </c>
    </row>
    <row r="417" spans="1:7" x14ac:dyDescent="0.3">
      <c r="A417">
        <v>2020</v>
      </c>
      <c r="B417" t="s">
        <v>24</v>
      </c>
      <c r="C417" t="s">
        <v>100</v>
      </c>
      <c r="D417" t="s">
        <v>77</v>
      </c>
      <c r="E417" t="s">
        <v>88</v>
      </c>
      <c r="F417" t="s">
        <v>7</v>
      </c>
    </row>
    <row r="418" spans="1:7" x14ac:dyDescent="0.3">
      <c r="A418">
        <v>2020</v>
      </c>
      <c r="B418" t="s">
        <v>25</v>
      </c>
      <c r="C418" t="s">
        <v>100</v>
      </c>
      <c r="D418" t="s">
        <v>77</v>
      </c>
      <c r="E418" t="s">
        <v>94</v>
      </c>
      <c r="F418" t="s">
        <v>7</v>
      </c>
      <c r="G418">
        <v>22</v>
      </c>
    </row>
    <row r="419" spans="1:7" x14ac:dyDescent="0.3">
      <c r="A419">
        <v>2020</v>
      </c>
      <c r="B419" t="s">
        <v>25</v>
      </c>
      <c r="C419" t="s">
        <v>100</v>
      </c>
      <c r="D419" t="s">
        <v>77</v>
      </c>
      <c r="E419" t="s">
        <v>87</v>
      </c>
      <c r="F419" t="s">
        <v>7</v>
      </c>
      <c r="G419">
        <v>12</v>
      </c>
    </row>
    <row r="420" spans="1:7" x14ac:dyDescent="0.3">
      <c r="A420">
        <v>2020</v>
      </c>
      <c r="B420" t="s">
        <v>25</v>
      </c>
      <c r="C420" t="s">
        <v>100</v>
      </c>
      <c r="D420" t="s">
        <v>77</v>
      </c>
      <c r="E420" t="s">
        <v>89</v>
      </c>
      <c r="F420" t="s">
        <v>7</v>
      </c>
      <c r="G420">
        <v>12</v>
      </c>
    </row>
    <row r="421" spans="1:7" x14ac:dyDescent="0.3">
      <c r="A421">
        <v>2020</v>
      </c>
      <c r="B421" t="s">
        <v>25</v>
      </c>
      <c r="C421" t="s">
        <v>100</v>
      </c>
      <c r="D421" t="s">
        <v>77</v>
      </c>
      <c r="E421" t="s">
        <v>88</v>
      </c>
      <c r="F421" t="s">
        <v>7</v>
      </c>
      <c r="G421">
        <v>3</v>
      </c>
    </row>
    <row r="422" spans="1:7" x14ac:dyDescent="0.3">
      <c r="A422">
        <v>2020</v>
      </c>
      <c r="B422" t="s">
        <v>26</v>
      </c>
      <c r="C422" t="s">
        <v>100</v>
      </c>
      <c r="D422" t="s">
        <v>77</v>
      </c>
      <c r="E422" t="s">
        <v>94</v>
      </c>
      <c r="F422" t="s">
        <v>7</v>
      </c>
      <c r="G422">
        <v>77</v>
      </c>
    </row>
    <row r="423" spans="1:7" x14ac:dyDescent="0.3">
      <c r="A423">
        <v>2020</v>
      </c>
      <c r="B423" t="s">
        <v>26</v>
      </c>
      <c r="C423" t="s">
        <v>100</v>
      </c>
      <c r="D423" t="s">
        <v>77</v>
      </c>
      <c r="E423" t="s">
        <v>87</v>
      </c>
      <c r="F423" t="s">
        <v>7</v>
      </c>
      <c r="G423">
        <v>26</v>
      </c>
    </row>
    <row r="424" spans="1:7" x14ac:dyDescent="0.3">
      <c r="A424">
        <v>2020</v>
      </c>
      <c r="B424" t="s">
        <v>26</v>
      </c>
      <c r="C424" t="s">
        <v>100</v>
      </c>
      <c r="D424" t="s">
        <v>77</v>
      </c>
      <c r="E424" t="s">
        <v>89</v>
      </c>
      <c r="F424" t="s">
        <v>7</v>
      </c>
      <c r="G424">
        <v>23</v>
      </c>
    </row>
    <row r="425" spans="1:7" x14ac:dyDescent="0.3">
      <c r="A425">
        <v>2020</v>
      </c>
      <c r="B425" t="s">
        <v>26</v>
      </c>
      <c r="C425" t="s">
        <v>100</v>
      </c>
      <c r="D425" t="s">
        <v>77</v>
      </c>
      <c r="E425" t="s">
        <v>88</v>
      </c>
      <c r="F425" t="s">
        <v>7</v>
      </c>
      <c r="G425">
        <v>1</v>
      </c>
    </row>
    <row r="426" spans="1:7" x14ac:dyDescent="0.3">
      <c r="A426">
        <v>2020</v>
      </c>
      <c r="B426" t="s">
        <v>27</v>
      </c>
      <c r="C426" t="s">
        <v>100</v>
      </c>
      <c r="D426" t="s">
        <v>77</v>
      </c>
      <c r="E426" t="s">
        <v>94</v>
      </c>
      <c r="F426" t="s">
        <v>7</v>
      </c>
      <c r="G426">
        <v>31</v>
      </c>
    </row>
    <row r="427" spans="1:7" x14ac:dyDescent="0.3">
      <c r="A427">
        <v>2020</v>
      </c>
      <c r="B427" t="s">
        <v>27</v>
      </c>
      <c r="C427" t="s">
        <v>100</v>
      </c>
      <c r="D427" t="s">
        <v>77</v>
      </c>
      <c r="E427" t="s">
        <v>87</v>
      </c>
      <c r="F427" t="s">
        <v>7</v>
      </c>
      <c r="G427">
        <v>6</v>
      </c>
    </row>
    <row r="428" spans="1:7" x14ac:dyDescent="0.3">
      <c r="A428">
        <v>2020</v>
      </c>
      <c r="B428" t="s">
        <v>27</v>
      </c>
      <c r="C428" t="s">
        <v>100</v>
      </c>
      <c r="D428" t="s">
        <v>77</v>
      </c>
      <c r="E428" t="s">
        <v>89</v>
      </c>
      <c r="F428" t="s">
        <v>7</v>
      </c>
      <c r="G428">
        <v>3</v>
      </c>
    </row>
    <row r="429" spans="1:7" x14ac:dyDescent="0.3">
      <c r="A429">
        <v>2020</v>
      </c>
      <c r="B429" t="s">
        <v>27</v>
      </c>
      <c r="C429" t="s">
        <v>100</v>
      </c>
      <c r="D429" t="s">
        <v>77</v>
      </c>
      <c r="E429" t="s">
        <v>88</v>
      </c>
      <c r="F429" t="s">
        <v>7</v>
      </c>
      <c r="G429">
        <v>0</v>
      </c>
    </row>
    <row r="430" spans="1:7" x14ac:dyDescent="0.3">
      <c r="A430">
        <v>2020</v>
      </c>
      <c r="B430" t="s">
        <v>58</v>
      </c>
      <c r="C430" t="s">
        <v>100</v>
      </c>
      <c r="D430" t="s">
        <v>77</v>
      </c>
      <c r="E430" t="s">
        <v>94</v>
      </c>
      <c r="F430" t="s">
        <v>7</v>
      </c>
      <c r="G430">
        <v>0</v>
      </c>
    </row>
    <row r="431" spans="1:7" x14ac:dyDescent="0.3">
      <c r="A431">
        <v>2020</v>
      </c>
      <c r="B431" t="s">
        <v>58</v>
      </c>
      <c r="C431" t="s">
        <v>100</v>
      </c>
      <c r="D431" t="s">
        <v>77</v>
      </c>
      <c r="E431" t="s">
        <v>87</v>
      </c>
      <c r="F431" t="s">
        <v>7</v>
      </c>
      <c r="G431">
        <v>242</v>
      </c>
    </row>
    <row r="432" spans="1:7" x14ac:dyDescent="0.3">
      <c r="A432">
        <v>2020</v>
      </c>
      <c r="B432" t="s">
        <v>58</v>
      </c>
      <c r="C432" t="s">
        <v>100</v>
      </c>
      <c r="D432" t="s">
        <v>77</v>
      </c>
      <c r="E432" t="s">
        <v>89</v>
      </c>
      <c r="F432" t="s">
        <v>7</v>
      </c>
      <c r="G432">
        <v>59</v>
      </c>
    </row>
    <row r="433" spans="1:7" x14ac:dyDescent="0.3">
      <c r="A433">
        <v>2020</v>
      </c>
      <c r="B433" t="s">
        <v>58</v>
      </c>
      <c r="C433" t="s">
        <v>100</v>
      </c>
      <c r="D433" t="s">
        <v>77</v>
      </c>
      <c r="E433" t="s">
        <v>88</v>
      </c>
      <c r="F433" t="s">
        <v>7</v>
      </c>
      <c r="G433">
        <v>2</v>
      </c>
    </row>
    <row r="434" spans="1:7" x14ac:dyDescent="0.3">
      <c r="A434">
        <v>2020</v>
      </c>
      <c r="B434" t="s">
        <v>52</v>
      </c>
      <c r="C434" t="s">
        <v>100</v>
      </c>
      <c r="D434" t="s">
        <v>77</v>
      </c>
      <c r="E434" t="s">
        <v>94</v>
      </c>
      <c r="F434" t="s">
        <v>7</v>
      </c>
    </row>
    <row r="435" spans="1:7" x14ac:dyDescent="0.3">
      <c r="A435">
        <v>2020</v>
      </c>
      <c r="B435" t="s">
        <v>52</v>
      </c>
      <c r="C435" t="s">
        <v>100</v>
      </c>
      <c r="D435" t="s">
        <v>77</v>
      </c>
      <c r="E435" t="s">
        <v>87</v>
      </c>
      <c r="F435" t="s">
        <v>7</v>
      </c>
      <c r="G435">
        <v>63</v>
      </c>
    </row>
    <row r="436" spans="1:7" x14ac:dyDescent="0.3">
      <c r="A436">
        <v>2020</v>
      </c>
      <c r="B436" t="s">
        <v>52</v>
      </c>
      <c r="C436" t="s">
        <v>100</v>
      </c>
      <c r="D436" t="s">
        <v>77</v>
      </c>
      <c r="E436" t="s">
        <v>89</v>
      </c>
      <c r="F436" t="s">
        <v>7</v>
      </c>
      <c r="G436">
        <v>3</v>
      </c>
    </row>
    <row r="437" spans="1:7" x14ac:dyDescent="0.3">
      <c r="A437">
        <v>2020</v>
      </c>
      <c r="B437" t="s">
        <v>52</v>
      </c>
      <c r="C437" t="s">
        <v>100</v>
      </c>
      <c r="D437" t="s">
        <v>77</v>
      </c>
      <c r="E437" t="s">
        <v>88</v>
      </c>
      <c r="F437" t="s">
        <v>7</v>
      </c>
    </row>
    <row r="438" spans="1:7" x14ac:dyDescent="0.3">
      <c r="A438">
        <v>2020</v>
      </c>
      <c r="B438" t="s">
        <v>28</v>
      </c>
      <c r="C438" t="s">
        <v>100</v>
      </c>
      <c r="D438" t="s">
        <v>77</v>
      </c>
      <c r="E438" t="s">
        <v>94</v>
      </c>
      <c r="F438" t="s">
        <v>7</v>
      </c>
      <c r="G438">
        <v>57</v>
      </c>
    </row>
    <row r="439" spans="1:7" x14ac:dyDescent="0.3">
      <c r="A439">
        <v>2020</v>
      </c>
      <c r="B439" t="s">
        <v>28</v>
      </c>
      <c r="C439" t="s">
        <v>100</v>
      </c>
      <c r="D439" t="s">
        <v>77</v>
      </c>
      <c r="E439" t="s">
        <v>87</v>
      </c>
      <c r="F439" t="s">
        <v>7</v>
      </c>
      <c r="G439">
        <v>24</v>
      </c>
    </row>
    <row r="440" spans="1:7" x14ac:dyDescent="0.3">
      <c r="A440">
        <v>2020</v>
      </c>
      <c r="B440" t="s">
        <v>28</v>
      </c>
      <c r="C440" t="s">
        <v>100</v>
      </c>
      <c r="D440" t="s">
        <v>77</v>
      </c>
      <c r="E440" t="s">
        <v>89</v>
      </c>
      <c r="F440" t="s">
        <v>7</v>
      </c>
      <c r="G440">
        <v>24</v>
      </c>
    </row>
    <row r="441" spans="1:7" x14ac:dyDescent="0.3">
      <c r="A441">
        <v>2020</v>
      </c>
      <c r="B441" t="s">
        <v>28</v>
      </c>
      <c r="C441" t="s">
        <v>100</v>
      </c>
      <c r="D441" t="s">
        <v>77</v>
      </c>
      <c r="E441" t="s">
        <v>88</v>
      </c>
      <c r="F441" t="s">
        <v>7</v>
      </c>
    </row>
    <row r="442" spans="1:7" x14ac:dyDescent="0.3">
      <c r="A442">
        <v>2020</v>
      </c>
      <c r="B442" t="s">
        <v>29</v>
      </c>
      <c r="C442" t="s">
        <v>100</v>
      </c>
      <c r="D442" t="s">
        <v>77</v>
      </c>
      <c r="E442" t="s">
        <v>94</v>
      </c>
      <c r="F442" t="s">
        <v>7</v>
      </c>
      <c r="G442">
        <v>46</v>
      </c>
    </row>
    <row r="443" spans="1:7" x14ac:dyDescent="0.3">
      <c r="A443">
        <v>2020</v>
      </c>
      <c r="B443" t="s">
        <v>29</v>
      </c>
      <c r="C443" t="s">
        <v>100</v>
      </c>
      <c r="D443" t="s">
        <v>77</v>
      </c>
      <c r="E443" t="s">
        <v>87</v>
      </c>
      <c r="F443" t="s">
        <v>7</v>
      </c>
      <c r="G443">
        <v>18</v>
      </c>
    </row>
    <row r="444" spans="1:7" x14ac:dyDescent="0.3">
      <c r="A444">
        <v>2020</v>
      </c>
      <c r="B444" t="s">
        <v>29</v>
      </c>
      <c r="C444" t="s">
        <v>100</v>
      </c>
      <c r="D444" t="s">
        <v>77</v>
      </c>
      <c r="E444" t="s">
        <v>89</v>
      </c>
      <c r="F444" t="s">
        <v>7</v>
      </c>
      <c r="G444">
        <v>13</v>
      </c>
    </row>
    <row r="445" spans="1:7" x14ac:dyDescent="0.3">
      <c r="A445">
        <v>2020</v>
      </c>
      <c r="B445" t="s">
        <v>29</v>
      </c>
      <c r="C445" t="s">
        <v>100</v>
      </c>
      <c r="D445" t="s">
        <v>77</v>
      </c>
      <c r="E445" t="s">
        <v>88</v>
      </c>
      <c r="F445" t="s">
        <v>7</v>
      </c>
      <c r="G445">
        <v>0</v>
      </c>
    </row>
    <row r="446" spans="1:7" x14ac:dyDescent="0.3">
      <c r="A446">
        <v>2020</v>
      </c>
      <c r="B446" t="s">
        <v>30</v>
      </c>
      <c r="C446" t="s">
        <v>100</v>
      </c>
      <c r="D446" t="s">
        <v>77</v>
      </c>
      <c r="E446" t="s">
        <v>94</v>
      </c>
      <c r="F446" t="s">
        <v>7</v>
      </c>
      <c r="G446">
        <v>18</v>
      </c>
    </row>
    <row r="447" spans="1:7" x14ac:dyDescent="0.3">
      <c r="A447">
        <v>2020</v>
      </c>
      <c r="B447" t="s">
        <v>30</v>
      </c>
      <c r="C447" t="s">
        <v>100</v>
      </c>
      <c r="D447" t="s">
        <v>77</v>
      </c>
      <c r="E447" t="s">
        <v>87</v>
      </c>
      <c r="F447" t="s">
        <v>7</v>
      </c>
      <c r="G447">
        <v>67</v>
      </c>
    </row>
    <row r="448" spans="1:7" x14ac:dyDescent="0.3">
      <c r="A448">
        <v>2020</v>
      </c>
      <c r="B448" t="s">
        <v>30</v>
      </c>
      <c r="C448" t="s">
        <v>100</v>
      </c>
      <c r="D448" t="s">
        <v>77</v>
      </c>
      <c r="E448" t="s">
        <v>89</v>
      </c>
      <c r="F448" t="s">
        <v>7</v>
      </c>
      <c r="G448">
        <v>13</v>
      </c>
    </row>
    <row r="449" spans="1:7" x14ac:dyDescent="0.3">
      <c r="A449">
        <v>2020</v>
      </c>
      <c r="B449" t="s">
        <v>30</v>
      </c>
      <c r="C449" t="s">
        <v>100</v>
      </c>
      <c r="D449" t="s">
        <v>77</v>
      </c>
      <c r="E449" t="s">
        <v>88</v>
      </c>
      <c r="F449" t="s">
        <v>7</v>
      </c>
      <c r="G449">
        <v>3</v>
      </c>
    </row>
    <row r="450" spans="1:7" x14ac:dyDescent="0.3">
      <c r="A450">
        <v>2020</v>
      </c>
      <c r="B450" t="s">
        <v>31</v>
      </c>
      <c r="C450" t="s">
        <v>100</v>
      </c>
      <c r="D450" t="s">
        <v>77</v>
      </c>
      <c r="E450" t="s">
        <v>94</v>
      </c>
      <c r="F450" t="s">
        <v>7</v>
      </c>
      <c r="G450">
        <v>20</v>
      </c>
    </row>
    <row r="451" spans="1:7" x14ac:dyDescent="0.3">
      <c r="A451">
        <v>2020</v>
      </c>
      <c r="B451" t="s">
        <v>31</v>
      </c>
      <c r="C451" t="s">
        <v>100</v>
      </c>
      <c r="D451" t="s">
        <v>77</v>
      </c>
      <c r="E451" t="s">
        <v>87</v>
      </c>
      <c r="F451" t="s">
        <v>7</v>
      </c>
      <c r="G451">
        <v>0</v>
      </c>
    </row>
    <row r="452" spans="1:7" x14ac:dyDescent="0.3">
      <c r="A452">
        <v>2020</v>
      </c>
      <c r="B452" t="s">
        <v>31</v>
      </c>
      <c r="C452" t="s">
        <v>100</v>
      </c>
      <c r="D452" t="s">
        <v>77</v>
      </c>
      <c r="E452" t="s">
        <v>89</v>
      </c>
      <c r="F452" t="s">
        <v>7</v>
      </c>
      <c r="G452">
        <v>5</v>
      </c>
    </row>
    <row r="453" spans="1:7" x14ac:dyDescent="0.3">
      <c r="A453">
        <v>2020</v>
      </c>
      <c r="B453" t="s">
        <v>31</v>
      </c>
      <c r="C453" t="s">
        <v>100</v>
      </c>
      <c r="D453" t="s">
        <v>77</v>
      </c>
      <c r="E453" t="s">
        <v>88</v>
      </c>
      <c r="F453" t="s">
        <v>7</v>
      </c>
      <c r="G453">
        <v>1</v>
      </c>
    </row>
    <row r="454" spans="1:7" x14ac:dyDescent="0.3">
      <c r="A454">
        <v>2020</v>
      </c>
      <c r="B454" t="s">
        <v>32</v>
      </c>
      <c r="C454" t="s">
        <v>100</v>
      </c>
      <c r="D454" t="s">
        <v>77</v>
      </c>
      <c r="E454" t="s">
        <v>94</v>
      </c>
      <c r="F454" t="s">
        <v>7</v>
      </c>
      <c r="G454">
        <v>16</v>
      </c>
    </row>
    <row r="455" spans="1:7" x14ac:dyDescent="0.3">
      <c r="A455">
        <v>2020</v>
      </c>
      <c r="B455" t="s">
        <v>32</v>
      </c>
      <c r="C455" t="s">
        <v>100</v>
      </c>
      <c r="D455" t="s">
        <v>77</v>
      </c>
      <c r="E455" t="s">
        <v>87</v>
      </c>
      <c r="F455" t="s">
        <v>7</v>
      </c>
      <c r="G455">
        <v>0</v>
      </c>
    </row>
    <row r="456" spans="1:7" x14ac:dyDescent="0.3">
      <c r="A456">
        <v>2020</v>
      </c>
      <c r="B456" t="s">
        <v>32</v>
      </c>
      <c r="C456" t="s">
        <v>100</v>
      </c>
      <c r="D456" t="s">
        <v>77</v>
      </c>
      <c r="E456" t="s">
        <v>89</v>
      </c>
      <c r="F456" t="s">
        <v>7</v>
      </c>
      <c r="G456">
        <v>0</v>
      </c>
    </row>
    <row r="457" spans="1:7" x14ac:dyDescent="0.3">
      <c r="A457">
        <v>2020</v>
      </c>
      <c r="B457" t="s">
        <v>32</v>
      </c>
      <c r="C457" t="s">
        <v>100</v>
      </c>
      <c r="D457" t="s">
        <v>77</v>
      </c>
      <c r="E457" t="s">
        <v>88</v>
      </c>
      <c r="F457" t="s">
        <v>7</v>
      </c>
    </row>
    <row r="458" spans="1:7" x14ac:dyDescent="0.3">
      <c r="A458">
        <v>2020</v>
      </c>
      <c r="B458" t="s">
        <v>50</v>
      </c>
      <c r="C458" t="s">
        <v>100</v>
      </c>
      <c r="D458" t="s">
        <v>77</v>
      </c>
      <c r="E458" t="s">
        <v>94</v>
      </c>
      <c r="F458" t="s">
        <v>7</v>
      </c>
      <c r="G458">
        <v>3</v>
      </c>
    </row>
    <row r="459" spans="1:7" x14ac:dyDescent="0.3">
      <c r="A459">
        <v>2020</v>
      </c>
      <c r="B459" t="s">
        <v>50</v>
      </c>
      <c r="C459" t="s">
        <v>100</v>
      </c>
      <c r="D459" t="s">
        <v>77</v>
      </c>
      <c r="E459" t="s">
        <v>87</v>
      </c>
      <c r="F459" t="s">
        <v>7</v>
      </c>
      <c r="G459">
        <v>0</v>
      </c>
    </row>
    <row r="460" spans="1:7" x14ac:dyDescent="0.3">
      <c r="A460">
        <v>2020</v>
      </c>
      <c r="B460" t="s">
        <v>50</v>
      </c>
      <c r="C460" t="s">
        <v>100</v>
      </c>
      <c r="D460" t="s">
        <v>77</v>
      </c>
      <c r="E460" t="s">
        <v>89</v>
      </c>
      <c r="F460" t="s">
        <v>7</v>
      </c>
      <c r="G460">
        <v>0</v>
      </c>
    </row>
    <row r="461" spans="1:7" x14ac:dyDescent="0.3">
      <c r="A461">
        <v>2020</v>
      </c>
      <c r="B461" t="s">
        <v>50</v>
      </c>
      <c r="C461" t="s">
        <v>100</v>
      </c>
      <c r="D461" t="s">
        <v>77</v>
      </c>
      <c r="E461" t="s">
        <v>88</v>
      </c>
      <c r="F461" t="s">
        <v>7</v>
      </c>
      <c r="G461">
        <v>0</v>
      </c>
    </row>
    <row r="462" spans="1:7" x14ac:dyDescent="0.3">
      <c r="A462">
        <v>2020</v>
      </c>
      <c r="B462" t="s">
        <v>33</v>
      </c>
      <c r="C462" t="s">
        <v>100</v>
      </c>
      <c r="D462" t="s">
        <v>77</v>
      </c>
      <c r="E462" t="s">
        <v>94</v>
      </c>
      <c r="F462" t="s">
        <v>7</v>
      </c>
      <c r="G462">
        <v>91</v>
      </c>
    </row>
    <row r="463" spans="1:7" x14ac:dyDescent="0.3">
      <c r="A463">
        <v>2020</v>
      </c>
      <c r="B463" t="s">
        <v>33</v>
      </c>
      <c r="C463" t="s">
        <v>100</v>
      </c>
      <c r="D463" t="s">
        <v>77</v>
      </c>
      <c r="E463" t="s">
        <v>87</v>
      </c>
      <c r="F463" t="s">
        <v>7</v>
      </c>
      <c r="G463">
        <v>17</v>
      </c>
    </row>
    <row r="464" spans="1:7" x14ac:dyDescent="0.3">
      <c r="A464">
        <v>2020</v>
      </c>
      <c r="B464" t="s">
        <v>33</v>
      </c>
      <c r="C464" t="s">
        <v>100</v>
      </c>
      <c r="D464" t="s">
        <v>77</v>
      </c>
      <c r="E464" t="s">
        <v>89</v>
      </c>
      <c r="F464" t="s">
        <v>7</v>
      </c>
      <c r="G464">
        <v>22</v>
      </c>
    </row>
    <row r="465" spans="1:7" x14ac:dyDescent="0.3">
      <c r="A465">
        <v>2020</v>
      </c>
      <c r="B465" t="s">
        <v>33</v>
      </c>
      <c r="C465" t="s">
        <v>100</v>
      </c>
      <c r="D465" t="s">
        <v>77</v>
      </c>
      <c r="E465" t="s">
        <v>88</v>
      </c>
      <c r="F465" t="s">
        <v>7</v>
      </c>
      <c r="G465">
        <v>0</v>
      </c>
    </row>
    <row r="466" spans="1:7" x14ac:dyDescent="0.3">
      <c r="A466">
        <v>2020</v>
      </c>
      <c r="B466" t="s">
        <v>34</v>
      </c>
      <c r="C466" t="s">
        <v>100</v>
      </c>
      <c r="D466" t="s">
        <v>77</v>
      </c>
      <c r="E466" t="s">
        <v>94</v>
      </c>
      <c r="F466" t="s">
        <v>7</v>
      </c>
      <c r="G466">
        <v>65</v>
      </c>
    </row>
    <row r="467" spans="1:7" x14ac:dyDescent="0.3">
      <c r="A467">
        <v>2020</v>
      </c>
      <c r="B467" t="s">
        <v>34</v>
      </c>
      <c r="C467" t="s">
        <v>100</v>
      </c>
      <c r="D467" t="s">
        <v>77</v>
      </c>
      <c r="E467" t="s">
        <v>87</v>
      </c>
      <c r="F467" t="s">
        <v>7</v>
      </c>
      <c r="G467">
        <v>15</v>
      </c>
    </row>
    <row r="468" spans="1:7" x14ac:dyDescent="0.3">
      <c r="A468">
        <v>2020</v>
      </c>
      <c r="B468" t="s">
        <v>34</v>
      </c>
      <c r="C468" t="s">
        <v>100</v>
      </c>
      <c r="D468" t="s">
        <v>77</v>
      </c>
      <c r="E468" t="s">
        <v>89</v>
      </c>
      <c r="F468" t="s">
        <v>7</v>
      </c>
      <c r="G468">
        <v>4</v>
      </c>
    </row>
    <row r="469" spans="1:7" x14ac:dyDescent="0.3">
      <c r="A469">
        <v>2020</v>
      </c>
      <c r="B469" t="s">
        <v>34</v>
      </c>
      <c r="C469" t="s">
        <v>100</v>
      </c>
      <c r="D469" t="s">
        <v>77</v>
      </c>
      <c r="E469" t="s">
        <v>88</v>
      </c>
      <c r="F469" t="s">
        <v>7</v>
      </c>
      <c r="G469">
        <v>0</v>
      </c>
    </row>
    <row r="470" spans="1:7" x14ac:dyDescent="0.3">
      <c r="A470">
        <v>2020</v>
      </c>
      <c r="B470" t="s">
        <v>35</v>
      </c>
      <c r="C470" t="s">
        <v>100</v>
      </c>
      <c r="D470" t="s">
        <v>77</v>
      </c>
      <c r="E470" t="s">
        <v>94</v>
      </c>
      <c r="F470" t="s">
        <v>7</v>
      </c>
      <c r="G470">
        <v>18</v>
      </c>
    </row>
    <row r="471" spans="1:7" x14ac:dyDescent="0.3">
      <c r="A471">
        <v>2020</v>
      </c>
      <c r="B471" t="s">
        <v>35</v>
      </c>
      <c r="C471" t="s">
        <v>100</v>
      </c>
      <c r="D471" t="s">
        <v>77</v>
      </c>
      <c r="E471" t="s">
        <v>87</v>
      </c>
      <c r="F471" t="s">
        <v>7</v>
      </c>
      <c r="G471">
        <v>16</v>
      </c>
    </row>
    <row r="472" spans="1:7" x14ac:dyDescent="0.3">
      <c r="A472">
        <v>2020</v>
      </c>
      <c r="B472" t="s">
        <v>35</v>
      </c>
      <c r="C472" t="s">
        <v>100</v>
      </c>
      <c r="D472" t="s">
        <v>77</v>
      </c>
      <c r="E472" t="s">
        <v>89</v>
      </c>
      <c r="F472" t="s">
        <v>7</v>
      </c>
      <c r="G472">
        <v>4</v>
      </c>
    </row>
    <row r="473" spans="1:7" x14ac:dyDescent="0.3">
      <c r="A473">
        <v>2020</v>
      </c>
      <c r="B473" t="s">
        <v>35</v>
      </c>
      <c r="C473" t="s">
        <v>100</v>
      </c>
      <c r="D473" t="s">
        <v>77</v>
      </c>
      <c r="E473" t="s">
        <v>88</v>
      </c>
      <c r="F473" t="s">
        <v>7</v>
      </c>
      <c r="G473">
        <v>1</v>
      </c>
    </row>
    <row r="474" spans="1:7" x14ac:dyDescent="0.3">
      <c r="A474">
        <v>2020</v>
      </c>
      <c r="B474" t="s">
        <v>36</v>
      </c>
      <c r="C474" t="s">
        <v>100</v>
      </c>
      <c r="D474" t="s">
        <v>77</v>
      </c>
      <c r="E474" t="s">
        <v>94</v>
      </c>
      <c r="F474" t="s">
        <v>7</v>
      </c>
      <c r="G474">
        <v>57</v>
      </c>
    </row>
    <row r="475" spans="1:7" x14ac:dyDescent="0.3">
      <c r="A475">
        <v>2020</v>
      </c>
      <c r="B475" t="s">
        <v>36</v>
      </c>
      <c r="C475" t="s">
        <v>100</v>
      </c>
      <c r="D475" t="s">
        <v>77</v>
      </c>
      <c r="E475" t="s">
        <v>87</v>
      </c>
      <c r="F475" t="s">
        <v>7</v>
      </c>
      <c r="G475">
        <v>9</v>
      </c>
    </row>
    <row r="476" spans="1:7" x14ac:dyDescent="0.3">
      <c r="A476">
        <v>2020</v>
      </c>
      <c r="B476" t="s">
        <v>36</v>
      </c>
      <c r="C476" t="s">
        <v>100</v>
      </c>
      <c r="D476" t="s">
        <v>77</v>
      </c>
      <c r="E476" t="s">
        <v>89</v>
      </c>
      <c r="F476" t="s">
        <v>7</v>
      </c>
      <c r="G476">
        <v>5</v>
      </c>
    </row>
    <row r="477" spans="1:7" x14ac:dyDescent="0.3">
      <c r="A477">
        <v>2020</v>
      </c>
      <c r="B477" t="s">
        <v>36</v>
      </c>
      <c r="C477" t="s">
        <v>100</v>
      </c>
      <c r="D477" t="s">
        <v>77</v>
      </c>
      <c r="E477" t="s">
        <v>88</v>
      </c>
      <c r="F477" t="s">
        <v>7</v>
      </c>
      <c r="G477">
        <v>3</v>
      </c>
    </row>
    <row r="478" spans="1:7" x14ac:dyDescent="0.3">
      <c r="A478">
        <v>2020</v>
      </c>
      <c r="B478" t="s">
        <v>53</v>
      </c>
      <c r="C478" t="s">
        <v>100</v>
      </c>
      <c r="D478" t="s">
        <v>77</v>
      </c>
      <c r="E478" t="s">
        <v>94</v>
      </c>
      <c r="F478" t="s">
        <v>7</v>
      </c>
      <c r="G478">
        <v>35</v>
      </c>
    </row>
    <row r="479" spans="1:7" x14ac:dyDescent="0.3">
      <c r="A479">
        <v>2020</v>
      </c>
      <c r="B479" t="s">
        <v>53</v>
      </c>
      <c r="C479" t="s">
        <v>100</v>
      </c>
      <c r="D479" t="s">
        <v>77</v>
      </c>
      <c r="E479" t="s">
        <v>87</v>
      </c>
      <c r="F479" t="s">
        <v>7</v>
      </c>
      <c r="G479">
        <v>58</v>
      </c>
    </row>
    <row r="480" spans="1:7" x14ac:dyDescent="0.3">
      <c r="A480">
        <v>2020</v>
      </c>
      <c r="B480" t="s">
        <v>53</v>
      </c>
      <c r="C480" t="s">
        <v>100</v>
      </c>
      <c r="D480" t="s">
        <v>77</v>
      </c>
      <c r="E480" t="s">
        <v>89</v>
      </c>
      <c r="F480" t="s">
        <v>7</v>
      </c>
      <c r="G480">
        <v>6</v>
      </c>
    </row>
    <row r="481" spans="1:7" x14ac:dyDescent="0.3">
      <c r="A481">
        <v>2020</v>
      </c>
      <c r="B481" t="s">
        <v>53</v>
      </c>
      <c r="C481" t="s">
        <v>100</v>
      </c>
      <c r="D481" t="s">
        <v>77</v>
      </c>
      <c r="E481" t="s">
        <v>88</v>
      </c>
      <c r="F481" t="s">
        <v>7</v>
      </c>
      <c r="G481">
        <v>1</v>
      </c>
    </row>
    <row r="482" spans="1:7" x14ac:dyDescent="0.3">
      <c r="A482">
        <v>2020</v>
      </c>
      <c r="B482" t="s">
        <v>37</v>
      </c>
      <c r="C482" t="s">
        <v>100</v>
      </c>
      <c r="D482" t="s">
        <v>77</v>
      </c>
      <c r="E482" t="s">
        <v>94</v>
      </c>
      <c r="F482" t="s">
        <v>7</v>
      </c>
      <c r="G482">
        <v>42</v>
      </c>
    </row>
    <row r="483" spans="1:7" x14ac:dyDescent="0.3">
      <c r="A483">
        <v>2020</v>
      </c>
      <c r="B483" t="s">
        <v>37</v>
      </c>
      <c r="C483" t="s">
        <v>100</v>
      </c>
      <c r="D483" t="s">
        <v>77</v>
      </c>
      <c r="E483" t="s">
        <v>87</v>
      </c>
      <c r="F483" t="s">
        <v>7</v>
      </c>
      <c r="G483">
        <v>10</v>
      </c>
    </row>
    <row r="484" spans="1:7" x14ac:dyDescent="0.3">
      <c r="A484">
        <v>2020</v>
      </c>
      <c r="B484" t="s">
        <v>37</v>
      </c>
      <c r="C484" t="s">
        <v>100</v>
      </c>
      <c r="D484" t="s">
        <v>77</v>
      </c>
      <c r="E484" t="s">
        <v>89</v>
      </c>
      <c r="F484" t="s">
        <v>7</v>
      </c>
      <c r="G484">
        <v>28</v>
      </c>
    </row>
    <row r="485" spans="1:7" x14ac:dyDescent="0.3">
      <c r="A485">
        <v>2020</v>
      </c>
      <c r="B485" t="s">
        <v>37</v>
      </c>
      <c r="C485" t="s">
        <v>100</v>
      </c>
      <c r="D485" t="s">
        <v>77</v>
      </c>
      <c r="E485" t="s">
        <v>88</v>
      </c>
      <c r="F485" t="s">
        <v>7</v>
      </c>
      <c r="G485">
        <v>1</v>
      </c>
    </row>
    <row r="486" spans="1:7" x14ac:dyDescent="0.3">
      <c r="A486">
        <v>2020</v>
      </c>
      <c r="B486" t="s">
        <v>39</v>
      </c>
      <c r="C486" t="s">
        <v>100</v>
      </c>
      <c r="D486" t="s">
        <v>77</v>
      </c>
      <c r="E486" t="s">
        <v>94</v>
      </c>
      <c r="F486" t="s">
        <v>7</v>
      </c>
      <c r="G486">
        <v>40</v>
      </c>
    </row>
    <row r="487" spans="1:7" x14ac:dyDescent="0.3">
      <c r="A487">
        <v>2020</v>
      </c>
      <c r="B487" t="s">
        <v>39</v>
      </c>
      <c r="C487" t="s">
        <v>100</v>
      </c>
      <c r="D487" t="s">
        <v>77</v>
      </c>
      <c r="E487" t="s">
        <v>87</v>
      </c>
      <c r="F487" t="s">
        <v>7</v>
      </c>
      <c r="G487">
        <v>19</v>
      </c>
    </row>
    <row r="488" spans="1:7" x14ac:dyDescent="0.3">
      <c r="A488">
        <v>2020</v>
      </c>
      <c r="B488" t="s">
        <v>39</v>
      </c>
      <c r="C488" t="s">
        <v>100</v>
      </c>
      <c r="D488" t="s">
        <v>77</v>
      </c>
      <c r="E488" t="s">
        <v>89</v>
      </c>
      <c r="F488" t="s">
        <v>7</v>
      </c>
      <c r="G488">
        <v>3</v>
      </c>
    </row>
    <row r="489" spans="1:7" x14ac:dyDescent="0.3">
      <c r="A489">
        <v>2020</v>
      </c>
      <c r="B489" t="s">
        <v>39</v>
      </c>
      <c r="C489" t="s">
        <v>100</v>
      </c>
      <c r="D489" t="s">
        <v>77</v>
      </c>
      <c r="E489" t="s">
        <v>88</v>
      </c>
      <c r="F489" t="s">
        <v>7</v>
      </c>
      <c r="G489">
        <v>2</v>
      </c>
    </row>
    <row r="490" spans="1:7" x14ac:dyDescent="0.3">
      <c r="A490">
        <v>2020</v>
      </c>
      <c r="B490" t="s">
        <v>40</v>
      </c>
      <c r="C490" t="s">
        <v>100</v>
      </c>
      <c r="D490" t="s">
        <v>77</v>
      </c>
      <c r="E490" t="s">
        <v>94</v>
      </c>
      <c r="F490" t="s">
        <v>7</v>
      </c>
      <c r="G490">
        <v>36</v>
      </c>
    </row>
    <row r="491" spans="1:7" x14ac:dyDescent="0.3">
      <c r="A491">
        <v>2020</v>
      </c>
      <c r="B491" t="s">
        <v>40</v>
      </c>
      <c r="C491" t="s">
        <v>100</v>
      </c>
      <c r="D491" t="s">
        <v>77</v>
      </c>
      <c r="E491" t="s">
        <v>87</v>
      </c>
      <c r="F491" t="s">
        <v>7</v>
      </c>
      <c r="G491">
        <v>32</v>
      </c>
    </row>
    <row r="492" spans="1:7" x14ac:dyDescent="0.3">
      <c r="A492">
        <v>2020</v>
      </c>
      <c r="B492" t="s">
        <v>40</v>
      </c>
      <c r="C492" t="s">
        <v>100</v>
      </c>
      <c r="D492" t="s">
        <v>77</v>
      </c>
      <c r="E492" t="s">
        <v>89</v>
      </c>
      <c r="F492" t="s">
        <v>7</v>
      </c>
      <c r="G492">
        <v>9</v>
      </c>
    </row>
    <row r="493" spans="1:7" x14ac:dyDescent="0.3">
      <c r="A493">
        <v>2020</v>
      </c>
      <c r="B493" t="s">
        <v>40</v>
      </c>
      <c r="C493" t="s">
        <v>100</v>
      </c>
      <c r="D493" t="s">
        <v>77</v>
      </c>
      <c r="E493" t="s">
        <v>88</v>
      </c>
      <c r="F493" t="s">
        <v>7</v>
      </c>
      <c r="G493">
        <v>1</v>
      </c>
    </row>
    <row r="494" spans="1:7" x14ac:dyDescent="0.3">
      <c r="A494">
        <v>2020</v>
      </c>
      <c r="B494" t="s">
        <v>41</v>
      </c>
      <c r="C494" t="s">
        <v>100</v>
      </c>
      <c r="D494" t="s">
        <v>77</v>
      </c>
      <c r="E494" t="s">
        <v>94</v>
      </c>
      <c r="F494" t="s">
        <v>7</v>
      </c>
      <c r="G494">
        <v>12</v>
      </c>
    </row>
    <row r="495" spans="1:7" x14ac:dyDescent="0.3">
      <c r="A495">
        <v>2020</v>
      </c>
      <c r="B495" t="s">
        <v>41</v>
      </c>
      <c r="C495" t="s">
        <v>100</v>
      </c>
      <c r="D495" t="s">
        <v>77</v>
      </c>
      <c r="E495" t="s">
        <v>87</v>
      </c>
      <c r="F495" t="s">
        <v>7</v>
      </c>
      <c r="G495">
        <v>11</v>
      </c>
    </row>
    <row r="496" spans="1:7" x14ac:dyDescent="0.3">
      <c r="A496">
        <v>2020</v>
      </c>
      <c r="B496" t="s">
        <v>41</v>
      </c>
      <c r="C496" t="s">
        <v>100</v>
      </c>
      <c r="D496" t="s">
        <v>77</v>
      </c>
      <c r="E496" t="s">
        <v>89</v>
      </c>
      <c r="F496" t="s">
        <v>7</v>
      </c>
      <c r="G496">
        <v>2</v>
      </c>
    </row>
    <row r="497" spans="1:7" x14ac:dyDescent="0.3">
      <c r="A497">
        <v>2020</v>
      </c>
      <c r="B497" t="s">
        <v>41</v>
      </c>
      <c r="C497" t="s">
        <v>100</v>
      </c>
      <c r="D497" t="s">
        <v>77</v>
      </c>
      <c r="E497" t="s">
        <v>88</v>
      </c>
      <c r="F497" t="s">
        <v>7</v>
      </c>
    </row>
    <row r="498" spans="1:7" x14ac:dyDescent="0.3">
      <c r="A498">
        <v>2020</v>
      </c>
      <c r="B498" t="s">
        <v>42</v>
      </c>
      <c r="C498" t="s">
        <v>100</v>
      </c>
      <c r="D498" t="s">
        <v>77</v>
      </c>
      <c r="E498" t="s">
        <v>94</v>
      </c>
      <c r="F498" t="s">
        <v>7</v>
      </c>
      <c r="G498">
        <v>13</v>
      </c>
    </row>
    <row r="499" spans="1:7" x14ac:dyDescent="0.3">
      <c r="A499">
        <v>2020</v>
      </c>
      <c r="B499" t="s">
        <v>42</v>
      </c>
      <c r="C499" t="s">
        <v>100</v>
      </c>
      <c r="D499" t="s">
        <v>77</v>
      </c>
      <c r="E499" t="s">
        <v>87</v>
      </c>
      <c r="F499" t="s">
        <v>7</v>
      </c>
      <c r="G499">
        <v>6</v>
      </c>
    </row>
    <row r="500" spans="1:7" x14ac:dyDescent="0.3">
      <c r="A500">
        <v>2020</v>
      </c>
      <c r="B500" t="s">
        <v>42</v>
      </c>
      <c r="C500" t="s">
        <v>100</v>
      </c>
      <c r="D500" t="s">
        <v>77</v>
      </c>
      <c r="E500" t="s">
        <v>89</v>
      </c>
      <c r="F500" t="s">
        <v>7</v>
      </c>
      <c r="G500">
        <v>9</v>
      </c>
    </row>
    <row r="501" spans="1:7" x14ac:dyDescent="0.3">
      <c r="A501">
        <v>2020</v>
      </c>
      <c r="B501" t="s">
        <v>42</v>
      </c>
      <c r="C501" t="s">
        <v>100</v>
      </c>
      <c r="D501" t="s">
        <v>77</v>
      </c>
      <c r="E501" t="s">
        <v>88</v>
      </c>
      <c r="F501" t="s">
        <v>7</v>
      </c>
    </row>
    <row r="502" spans="1:7" x14ac:dyDescent="0.3">
      <c r="A502">
        <v>2020</v>
      </c>
      <c r="B502" t="s">
        <v>43</v>
      </c>
      <c r="C502" t="s">
        <v>100</v>
      </c>
      <c r="D502" t="s">
        <v>77</v>
      </c>
      <c r="E502" t="s">
        <v>94</v>
      </c>
      <c r="F502" t="s">
        <v>7</v>
      </c>
      <c r="G502">
        <v>51</v>
      </c>
    </row>
    <row r="503" spans="1:7" x14ac:dyDescent="0.3">
      <c r="A503">
        <v>2020</v>
      </c>
      <c r="B503" t="s">
        <v>43</v>
      </c>
      <c r="C503" t="s">
        <v>100</v>
      </c>
      <c r="D503" t="s">
        <v>77</v>
      </c>
      <c r="E503" t="s">
        <v>87</v>
      </c>
      <c r="F503" t="s">
        <v>7</v>
      </c>
      <c r="G503">
        <v>16</v>
      </c>
    </row>
    <row r="504" spans="1:7" x14ac:dyDescent="0.3">
      <c r="A504">
        <v>2020</v>
      </c>
      <c r="B504" t="s">
        <v>43</v>
      </c>
      <c r="C504" t="s">
        <v>100</v>
      </c>
      <c r="D504" t="s">
        <v>77</v>
      </c>
      <c r="E504" t="s">
        <v>89</v>
      </c>
      <c r="F504" t="s">
        <v>7</v>
      </c>
      <c r="G504">
        <v>11</v>
      </c>
    </row>
    <row r="505" spans="1:7" x14ac:dyDescent="0.3">
      <c r="A505">
        <v>2020</v>
      </c>
      <c r="B505" t="s">
        <v>43</v>
      </c>
      <c r="C505" t="s">
        <v>100</v>
      </c>
      <c r="D505" t="s">
        <v>77</v>
      </c>
      <c r="E505" t="s">
        <v>88</v>
      </c>
      <c r="F505" t="s">
        <v>7</v>
      </c>
    </row>
    <row r="506" spans="1:7" x14ac:dyDescent="0.3">
      <c r="A506">
        <v>2020</v>
      </c>
      <c r="B506" t="s">
        <v>44</v>
      </c>
      <c r="C506" t="s">
        <v>100</v>
      </c>
      <c r="D506" t="s">
        <v>77</v>
      </c>
      <c r="E506" t="s">
        <v>94</v>
      </c>
      <c r="F506" t="s">
        <v>7</v>
      </c>
      <c r="G506">
        <v>21</v>
      </c>
    </row>
    <row r="507" spans="1:7" x14ac:dyDescent="0.3">
      <c r="A507">
        <v>2020</v>
      </c>
      <c r="B507" t="s">
        <v>44</v>
      </c>
      <c r="C507" t="s">
        <v>100</v>
      </c>
      <c r="D507" t="s">
        <v>77</v>
      </c>
      <c r="E507" t="s">
        <v>87</v>
      </c>
      <c r="F507" t="s">
        <v>7</v>
      </c>
      <c r="G507">
        <v>8</v>
      </c>
    </row>
    <row r="508" spans="1:7" x14ac:dyDescent="0.3">
      <c r="A508">
        <v>2020</v>
      </c>
      <c r="B508" t="s">
        <v>44</v>
      </c>
      <c r="C508" t="s">
        <v>100</v>
      </c>
      <c r="D508" t="s">
        <v>77</v>
      </c>
      <c r="E508" t="s">
        <v>89</v>
      </c>
      <c r="F508" t="s">
        <v>7</v>
      </c>
      <c r="G508">
        <v>4</v>
      </c>
    </row>
    <row r="509" spans="1:7" x14ac:dyDescent="0.3">
      <c r="A509">
        <v>2020</v>
      </c>
      <c r="B509" t="s">
        <v>44</v>
      </c>
      <c r="C509" t="s">
        <v>100</v>
      </c>
      <c r="D509" t="s">
        <v>77</v>
      </c>
      <c r="E509" t="s">
        <v>88</v>
      </c>
      <c r="F509" t="s">
        <v>7</v>
      </c>
      <c r="G509">
        <v>0</v>
      </c>
    </row>
    <row r="510" spans="1:7" x14ac:dyDescent="0.3">
      <c r="A510">
        <v>2020</v>
      </c>
      <c r="B510" t="s">
        <v>54</v>
      </c>
      <c r="C510" t="s">
        <v>100</v>
      </c>
      <c r="D510" t="s">
        <v>77</v>
      </c>
      <c r="E510" t="s">
        <v>94</v>
      </c>
      <c r="F510" t="s">
        <v>7</v>
      </c>
      <c r="G510">
        <v>3</v>
      </c>
    </row>
    <row r="511" spans="1:7" x14ac:dyDescent="0.3">
      <c r="A511">
        <v>2020</v>
      </c>
      <c r="B511" t="s">
        <v>54</v>
      </c>
      <c r="C511" t="s">
        <v>100</v>
      </c>
      <c r="D511" t="s">
        <v>77</v>
      </c>
      <c r="E511" t="s">
        <v>87</v>
      </c>
      <c r="F511" t="s">
        <v>7</v>
      </c>
      <c r="G511">
        <v>0</v>
      </c>
    </row>
    <row r="512" spans="1:7" x14ac:dyDescent="0.3">
      <c r="A512">
        <v>2020</v>
      </c>
      <c r="B512" t="s">
        <v>54</v>
      </c>
      <c r="C512" t="s">
        <v>100</v>
      </c>
      <c r="D512" t="s">
        <v>77</v>
      </c>
      <c r="E512" t="s">
        <v>89</v>
      </c>
      <c r="F512" t="s">
        <v>7</v>
      </c>
      <c r="G512">
        <v>9</v>
      </c>
    </row>
    <row r="513" spans="1:7" x14ac:dyDescent="0.3">
      <c r="A513">
        <v>2020</v>
      </c>
      <c r="B513" t="s">
        <v>54</v>
      </c>
      <c r="C513" t="s">
        <v>100</v>
      </c>
      <c r="D513" t="s">
        <v>77</v>
      </c>
      <c r="E513" t="s">
        <v>88</v>
      </c>
      <c r="F513" t="s">
        <v>7</v>
      </c>
      <c r="G513">
        <v>0</v>
      </c>
    </row>
    <row r="514" spans="1:7" x14ac:dyDescent="0.3">
      <c r="A514">
        <v>2020</v>
      </c>
      <c r="B514" t="s">
        <v>45</v>
      </c>
      <c r="C514" t="s">
        <v>100</v>
      </c>
      <c r="D514" t="s">
        <v>77</v>
      </c>
      <c r="E514" t="s">
        <v>94</v>
      </c>
      <c r="F514" t="s">
        <v>7</v>
      </c>
      <c r="G514">
        <v>38</v>
      </c>
    </row>
    <row r="515" spans="1:7" x14ac:dyDescent="0.3">
      <c r="A515">
        <v>2020</v>
      </c>
      <c r="B515" t="s">
        <v>45</v>
      </c>
      <c r="C515" t="s">
        <v>100</v>
      </c>
      <c r="D515" t="s">
        <v>77</v>
      </c>
      <c r="E515" t="s">
        <v>87</v>
      </c>
      <c r="F515" t="s">
        <v>7</v>
      </c>
      <c r="G515">
        <v>3</v>
      </c>
    </row>
    <row r="516" spans="1:7" x14ac:dyDescent="0.3">
      <c r="A516">
        <v>2020</v>
      </c>
      <c r="B516" t="s">
        <v>45</v>
      </c>
      <c r="C516" t="s">
        <v>100</v>
      </c>
      <c r="D516" t="s">
        <v>77</v>
      </c>
      <c r="E516" t="s">
        <v>89</v>
      </c>
      <c r="F516" t="s">
        <v>7</v>
      </c>
      <c r="G516">
        <v>13</v>
      </c>
    </row>
    <row r="517" spans="1:7" x14ac:dyDescent="0.3">
      <c r="A517">
        <v>2020</v>
      </c>
      <c r="B517" t="s">
        <v>45</v>
      </c>
      <c r="C517" t="s">
        <v>100</v>
      </c>
      <c r="D517" t="s">
        <v>77</v>
      </c>
      <c r="E517" t="s">
        <v>88</v>
      </c>
      <c r="F517" t="s">
        <v>7</v>
      </c>
    </row>
    <row r="518" spans="1:7" x14ac:dyDescent="0.3">
      <c r="A518">
        <v>2020</v>
      </c>
      <c r="B518" t="s">
        <v>46</v>
      </c>
      <c r="C518" t="s">
        <v>100</v>
      </c>
      <c r="D518" t="s">
        <v>77</v>
      </c>
      <c r="E518" t="s">
        <v>94</v>
      </c>
      <c r="F518" t="s">
        <v>7</v>
      </c>
      <c r="G518">
        <v>41</v>
      </c>
    </row>
    <row r="519" spans="1:7" x14ac:dyDescent="0.3">
      <c r="A519">
        <v>2020</v>
      </c>
      <c r="B519" t="s">
        <v>46</v>
      </c>
      <c r="C519" t="s">
        <v>100</v>
      </c>
      <c r="D519" t="s">
        <v>77</v>
      </c>
      <c r="E519" t="s">
        <v>87</v>
      </c>
      <c r="F519" t="s">
        <v>7</v>
      </c>
      <c r="G519">
        <v>6</v>
      </c>
    </row>
    <row r="520" spans="1:7" x14ac:dyDescent="0.3">
      <c r="A520">
        <v>2020</v>
      </c>
      <c r="B520" t="s">
        <v>46</v>
      </c>
      <c r="C520" t="s">
        <v>100</v>
      </c>
      <c r="D520" t="s">
        <v>77</v>
      </c>
      <c r="E520" t="s">
        <v>89</v>
      </c>
      <c r="F520" t="s">
        <v>7</v>
      </c>
      <c r="G520">
        <v>4</v>
      </c>
    </row>
    <row r="521" spans="1:7" x14ac:dyDescent="0.3">
      <c r="A521">
        <v>2020</v>
      </c>
      <c r="B521" t="s">
        <v>46</v>
      </c>
      <c r="C521" t="s">
        <v>100</v>
      </c>
      <c r="D521" t="s">
        <v>77</v>
      </c>
      <c r="E521" t="s">
        <v>88</v>
      </c>
      <c r="F521" t="s">
        <v>7</v>
      </c>
    </row>
    <row r="522" spans="1:7" x14ac:dyDescent="0.3">
      <c r="A522">
        <v>2020</v>
      </c>
      <c r="B522" t="s">
        <v>47</v>
      </c>
      <c r="C522" t="s">
        <v>100</v>
      </c>
      <c r="D522" t="s">
        <v>77</v>
      </c>
      <c r="E522" t="s">
        <v>94</v>
      </c>
      <c r="F522" t="s">
        <v>7</v>
      </c>
      <c r="G522">
        <v>8</v>
      </c>
    </row>
    <row r="523" spans="1:7" x14ac:dyDescent="0.3">
      <c r="A523">
        <v>2020</v>
      </c>
      <c r="B523" t="s">
        <v>47</v>
      </c>
      <c r="C523" t="s">
        <v>100</v>
      </c>
      <c r="D523" t="s">
        <v>77</v>
      </c>
      <c r="E523" t="s">
        <v>87</v>
      </c>
      <c r="F523" t="s">
        <v>7</v>
      </c>
      <c r="G523">
        <v>34</v>
      </c>
    </row>
    <row r="524" spans="1:7" x14ac:dyDescent="0.3">
      <c r="A524">
        <v>2020</v>
      </c>
      <c r="B524" t="s">
        <v>47</v>
      </c>
      <c r="C524" t="s">
        <v>100</v>
      </c>
      <c r="D524" t="s">
        <v>77</v>
      </c>
      <c r="E524" t="s">
        <v>89</v>
      </c>
      <c r="F524" t="s">
        <v>7</v>
      </c>
      <c r="G524">
        <v>7</v>
      </c>
    </row>
    <row r="525" spans="1:7" x14ac:dyDescent="0.3">
      <c r="A525">
        <v>2020</v>
      </c>
      <c r="B525" t="s">
        <v>47</v>
      </c>
      <c r="C525" t="s">
        <v>100</v>
      </c>
      <c r="D525" t="s">
        <v>77</v>
      </c>
      <c r="E525" t="s">
        <v>88</v>
      </c>
      <c r="F525" t="s">
        <v>7</v>
      </c>
    </row>
    <row r="526" spans="1:7" x14ac:dyDescent="0.3">
      <c r="A526">
        <v>2020</v>
      </c>
      <c r="B526" t="s">
        <v>55</v>
      </c>
      <c r="C526" t="s">
        <v>100</v>
      </c>
      <c r="D526" t="s">
        <v>77</v>
      </c>
      <c r="E526" t="s">
        <v>94</v>
      </c>
      <c r="F526" t="s">
        <v>7</v>
      </c>
      <c r="G526">
        <v>4</v>
      </c>
    </row>
    <row r="527" spans="1:7" x14ac:dyDescent="0.3">
      <c r="A527">
        <v>2020</v>
      </c>
      <c r="B527" t="s">
        <v>55</v>
      </c>
      <c r="C527" t="s">
        <v>100</v>
      </c>
      <c r="D527" t="s">
        <v>77</v>
      </c>
      <c r="E527" t="s">
        <v>87</v>
      </c>
      <c r="F527" t="s">
        <v>7</v>
      </c>
      <c r="G527">
        <v>15</v>
      </c>
    </row>
    <row r="528" spans="1:7" x14ac:dyDescent="0.3">
      <c r="A528">
        <v>2020</v>
      </c>
      <c r="B528" t="s">
        <v>55</v>
      </c>
      <c r="C528" t="s">
        <v>100</v>
      </c>
      <c r="D528" t="s">
        <v>77</v>
      </c>
      <c r="E528" t="s">
        <v>89</v>
      </c>
      <c r="F528" t="s">
        <v>7</v>
      </c>
      <c r="G528">
        <v>12</v>
      </c>
    </row>
    <row r="529" spans="1:7" x14ac:dyDescent="0.3">
      <c r="A529">
        <v>2020</v>
      </c>
      <c r="B529" t="s">
        <v>55</v>
      </c>
      <c r="C529" t="s">
        <v>100</v>
      </c>
      <c r="D529" t="s">
        <v>77</v>
      </c>
      <c r="E529" t="s">
        <v>88</v>
      </c>
      <c r="F529" t="s">
        <v>7</v>
      </c>
      <c r="G529">
        <v>1</v>
      </c>
    </row>
    <row r="530" spans="1:7" x14ac:dyDescent="0.3">
      <c r="A530">
        <v>2020</v>
      </c>
      <c r="B530" t="s">
        <v>48</v>
      </c>
      <c r="C530" t="s">
        <v>100</v>
      </c>
      <c r="D530" t="s">
        <v>77</v>
      </c>
      <c r="E530" t="s">
        <v>94</v>
      </c>
      <c r="F530" t="s">
        <v>7</v>
      </c>
      <c r="G530">
        <v>14</v>
      </c>
    </row>
    <row r="531" spans="1:7" x14ac:dyDescent="0.3">
      <c r="A531">
        <v>2020</v>
      </c>
      <c r="B531" t="s">
        <v>48</v>
      </c>
      <c r="C531" t="s">
        <v>100</v>
      </c>
      <c r="D531" t="s">
        <v>77</v>
      </c>
      <c r="E531" t="s">
        <v>87</v>
      </c>
      <c r="F531" t="s">
        <v>7</v>
      </c>
      <c r="G531">
        <v>22</v>
      </c>
    </row>
    <row r="532" spans="1:7" x14ac:dyDescent="0.3">
      <c r="A532">
        <v>2020</v>
      </c>
      <c r="B532" t="s">
        <v>48</v>
      </c>
      <c r="C532" t="s">
        <v>100</v>
      </c>
      <c r="D532" t="s">
        <v>77</v>
      </c>
      <c r="E532" t="s">
        <v>89</v>
      </c>
      <c r="F532" t="s">
        <v>7</v>
      </c>
      <c r="G532">
        <v>8</v>
      </c>
    </row>
    <row r="533" spans="1:7" x14ac:dyDescent="0.3">
      <c r="A533">
        <v>2020</v>
      </c>
      <c r="B533" t="s">
        <v>48</v>
      </c>
      <c r="C533" t="s">
        <v>100</v>
      </c>
      <c r="D533" t="s">
        <v>77</v>
      </c>
      <c r="E533" t="s">
        <v>88</v>
      </c>
      <c r="F533" t="s">
        <v>7</v>
      </c>
      <c r="G533">
        <v>1</v>
      </c>
    </row>
    <row r="534" spans="1:7" x14ac:dyDescent="0.3">
      <c r="A534">
        <v>2020</v>
      </c>
      <c r="B534" t="s">
        <v>56</v>
      </c>
      <c r="C534" t="s">
        <v>100</v>
      </c>
      <c r="D534" t="s">
        <v>77</v>
      </c>
      <c r="E534" t="s">
        <v>94</v>
      </c>
      <c r="F534" t="s">
        <v>7</v>
      </c>
    </row>
    <row r="535" spans="1:7" x14ac:dyDescent="0.3">
      <c r="A535">
        <v>2020</v>
      </c>
      <c r="B535" t="s">
        <v>56</v>
      </c>
      <c r="C535" t="s">
        <v>100</v>
      </c>
      <c r="D535" t="s">
        <v>77</v>
      </c>
      <c r="E535" t="s">
        <v>87</v>
      </c>
      <c r="F535" t="s">
        <v>7</v>
      </c>
      <c r="G535">
        <v>51</v>
      </c>
    </row>
    <row r="536" spans="1:7" x14ac:dyDescent="0.3">
      <c r="A536">
        <v>2020</v>
      </c>
      <c r="B536" t="s">
        <v>56</v>
      </c>
      <c r="C536" t="s">
        <v>100</v>
      </c>
      <c r="D536" t="s">
        <v>77</v>
      </c>
      <c r="E536" t="s">
        <v>89</v>
      </c>
      <c r="F536" t="s">
        <v>7</v>
      </c>
      <c r="G536">
        <v>23</v>
      </c>
    </row>
    <row r="537" spans="1:7" x14ac:dyDescent="0.3">
      <c r="A537">
        <v>2020</v>
      </c>
      <c r="B537" t="s">
        <v>56</v>
      </c>
      <c r="C537" t="s">
        <v>100</v>
      </c>
      <c r="D537" t="s">
        <v>77</v>
      </c>
      <c r="E537" t="s">
        <v>88</v>
      </c>
      <c r="F537" t="s">
        <v>7</v>
      </c>
      <c r="G537">
        <v>4</v>
      </c>
    </row>
    <row r="538" spans="1:7" x14ac:dyDescent="0.3">
      <c r="A538">
        <v>2020</v>
      </c>
      <c r="B538" t="s">
        <v>49</v>
      </c>
      <c r="C538" t="s">
        <v>100</v>
      </c>
      <c r="D538" t="s">
        <v>77</v>
      </c>
      <c r="E538" t="s">
        <v>94</v>
      </c>
      <c r="F538" t="s">
        <v>7</v>
      </c>
      <c r="G538">
        <v>39</v>
      </c>
    </row>
    <row r="539" spans="1:7" x14ac:dyDescent="0.3">
      <c r="A539">
        <v>2020</v>
      </c>
      <c r="B539" t="s">
        <v>49</v>
      </c>
      <c r="C539" t="s">
        <v>100</v>
      </c>
      <c r="D539" t="s">
        <v>77</v>
      </c>
      <c r="E539" t="s">
        <v>87</v>
      </c>
      <c r="F539" t="s">
        <v>7</v>
      </c>
      <c r="G539">
        <v>10</v>
      </c>
    </row>
    <row r="540" spans="1:7" x14ac:dyDescent="0.3">
      <c r="A540">
        <v>2020</v>
      </c>
      <c r="B540" t="s">
        <v>49</v>
      </c>
      <c r="C540" t="s">
        <v>100</v>
      </c>
      <c r="D540" t="s">
        <v>77</v>
      </c>
      <c r="E540" t="s">
        <v>89</v>
      </c>
      <c r="F540" t="s">
        <v>7</v>
      </c>
      <c r="G540">
        <v>8</v>
      </c>
    </row>
    <row r="541" spans="1:7" x14ac:dyDescent="0.3">
      <c r="A541">
        <v>2020</v>
      </c>
      <c r="B541" t="s">
        <v>49</v>
      </c>
      <c r="C541" t="s">
        <v>100</v>
      </c>
      <c r="D541" t="s">
        <v>77</v>
      </c>
      <c r="E541" t="s">
        <v>88</v>
      </c>
      <c r="F541" t="s">
        <v>7</v>
      </c>
      <c r="G541">
        <v>0</v>
      </c>
    </row>
    <row r="542" spans="1:7" x14ac:dyDescent="0.3">
      <c r="A542">
        <v>2020</v>
      </c>
      <c r="B542" t="s">
        <v>57</v>
      </c>
      <c r="C542" t="s">
        <v>100</v>
      </c>
      <c r="D542" t="s">
        <v>77</v>
      </c>
      <c r="E542" t="s">
        <v>94</v>
      </c>
      <c r="F542" t="s">
        <v>7</v>
      </c>
      <c r="G542">
        <v>25</v>
      </c>
    </row>
    <row r="543" spans="1:7" x14ac:dyDescent="0.3">
      <c r="A543">
        <v>2020</v>
      </c>
      <c r="B543" t="s">
        <v>57</v>
      </c>
      <c r="C543" t="s">
        <v>100</v>
      </c>
      <c r="D543" t="s">
        <v>77</v>
      </c>
      <c r="E543" t="s">
        <v>87</v>
      </c>
      <c r="F543" t="s">
        <v>7</v>
      </c>
      <c r="G543">
        <v>37</v>
      </c>
    </row>
    <row r="544" spans="1:7" x14ac:dyDescent="0.3">
      <c r="A544">
        <v>2020</v>
      </c>
      <c r="B544" t="s">
        <v>57</v>
      </c>
      <c r="C544" t="s">
        <v>100</v>
      </c>
      <c r="D544" t="s">
        <v>77</v>
      </c>
      <c r="E544" t="s">
        <v>89</v>
      </c>
      <c r="F544" t="s">
        <v>7</v>
      </c>
      <c r="G544">
        <v>5</v>
      </c>
    </row>
    <row r="545" spans="1:7" x14ac:dyDescent="0.3">
      <c r="A545">
        <v>2020</v>
      </c>
      <c r="B545" t="s">
        <v>57</v>
      </c>
      <c r="C545" t="s">
        <v>100</v>
      </c>
      <c r="D545" t="s">
        <v>77</v>
      </c>
      <c r="E545" t="s">
        <v>88</v>
      </c>
      <c r="F545" t="s">
        <v>7</v>
      </c>
      <c r="G545">
        <v>0</v>
      </c>
    </row>
    <row r="546" spans="1:7" x14ac:dyDescent="0.3">
      <c r="A546">
        <v>2020</v>
      </c>
      <c r="B546" t="s">
        <v>23</v>
      </c>
      <c r="C546" t="s">
        <v>100</v>
      </c>
      <c r="D546" t="s">
        <v>77</v>
      </c>
      <c r="E546" t="s">
        <v>94</v>
      </c>
      <c r="F546" t="s">
        <v>7</v>
      </c>
      <c r="G546">
        <v>90</v>
      </c>
    </row>
    <row r="547" spans="1:7" x14ac:dyDescent="0.3">
      <c r="A547">
        <v>2020</v>
      </c>
      <c r="B547" t="s">
        <v>23</v>
      </c>
      <c r="C547" t="s">
        <v>100</v>
      </c>
      <c r="D547" t="s">
        <v>77</v>
      </c>
      <c r="E547" t="s">
        <v>87</v>
      </c>
      <c r="F547" t="s">
        <v>7</v>
      </c>
      <c r="G547">
        <v>11</v>
      </c>
    </row>
    <row r="548" spans="1:7" x14ac:dyDescent="0.3">
      <c r="A548">
        <v>2020</v>
      </c>
      <c r="B548" t="s">
        <v>23</v>
      </c>
      <c r="C548" t="s">
        <v>100</v>
      </c>
      <c r="D548" t="s">
        <v>77</v>
      </c>
      <c r="E548" t="s">
        <v>89</v>
      </c>
      <c r="F548" t="s">
        <v>7</v>
      </c>
      <c r="G548">
        <v>25</v>
      </c>
    </row>
    <row r="549" spans="1:7" x14ac:dyDescent="0.3">
      <c r="A549">
        <v>2020</v>
      </c>
      <c r="B549" t="s">
        <v>23</v>
      </c>
      <c r="C549" t="s">
        <v>100</v>
      </c>
      <c r="D549" t="s">
        <v>77</v>
      </c>
      <c r="E549" t="s">
        <v>88</v>
      </c>
      <c r="F549" t="s">
        <v>7</v>
      </c>
      <c r="G549">
        <v>3</v>
      </c>
    </row>
    <row r="550" spans="1:7" x14ac:dyDescent="0.3">
      <c r="A550">
        <v>2020</v>
      </c>
      <c r="B550" t="s">
        <v>38</v>
      </c>
      <c r="C550" t="s">
        <v>100</v>
      </c>
      <c r="D550" t="s">
        <v>77</v>
      </c>
      <c r="E550" t="s">
        <v>94</v>
      </c>
      <c r="F550" t="s">
        <v>7</v>
      </c>
    </row>
    <row r="551" spans="1:7" x14ac:dyDescent="0.3">
      <c r="A551">
        <v>2020</v>
      </c>
      <c r="B551" t="s">
        <v>38</v>
      </c>
      <c r="C551" t="s">
        <v>100</v>
      </c>
      <c r="D551" t="s">
        <v>77</v>
      </c>
      <c r="E551" t="s">
        <v>87</v>
      </c>
      <c r="F551" t="s">
        <v>7</v>
      </c>
    </row>
    <row r="552" spans="1:7" x14ac:dyDescent="0.3">
      <c r="A552">
        <v>2020</v>
      </c>
      <c r="B552" t="s">
        <v>38</v>
      </c>
      <c r="C552" t="s">
        <v>100</v>
      </c>
      <c r="D552" t="s">
        <v>77</v>
      </c>
      <c r="E552" t="s">
        <v>89</v>
      </c>
      <c r="F552" t="s">
        <v>7</v>
      </c>
    </row>
    <row r="553" spans="1:7" x14ac:dyDescent="0.3">
      <c r="A553">
        <v>2020</v>
      </c>
      <c r="B553" t="s">
        <v>38</v>
      </c>
      <c r="C553" t="s">
        <v>100</v>
      </c>
      <c r="D553" t="s">
        <v>77</v>
      </c>
      <c r="E553" t="s">
        <v>88</v>
      </c>
      <c r="F553" t="s">
        <v>7</v>
      </c>
      <c r="G553">
        <v>5</v>
      </c>
    </row>
    <row r="554" spans="1:7" x14ac:dyDescent="0.3">
      <c r="A554">
        <v>2020</v>
      </c>
      <c r="B554" t="s">
        <v>12</v>
      </c>
      <c r="C554" t="s">
        <v>100</v>
      </c>
      <c r="D554" t="s">
        <v>77</v>
      </c>
      <c r="E554" t="s">
        <v>94</v>
      </c>
      <c r="F554" t="s">
        <v>8</v>
      </c>
      <c r="G554">
        <v>1</v>
      </c>
    </row>
    <row r="555" spans="1:7" x14ac:dyDescent="0.3">
      <c r="A555">
        <v>2020</v>
      </c>
      <c r="B555" t="s">
        <v>12</v>
      </c>
      <c r="C555" t="s">
        <v>100</v>
      </c>
      <c r="D555" t="s">
        <v>77</v>
      </c>
      <c r="E555" t="s">
        <v>87</v>
      </c>
      <c r="F555" t="s">
        <v>8</v>
      </c>
      <c r="G555">
        <v>4</v>
      </c>
    </row>
    <row r="556" spans="1:7" x14ac:dyDescent="0.3">
      <c r="A556">
        <v>2020</v>
      </c>
      <c r="B556" t="s">
        <v>12</v>
      </c>
      <c r="C556" t="s">
        <v>100</v>
      </c>
      <c r="D556" t="s">
        <v>77</v>
      </c>
      <c r="E556" t="s">
        <v>89</v>
      </c>
      <c r="F556" t="s">
        <v>8</v>
      </c>
      <c r="G556">
        <v>24</v>
      </c>
    </row>
    <row r="557" spans="1:7" x14ac:dyDescent="0.3">
      <c r="A557">
        <v>2020</v>
      </c>
      <c r="B557" t="s">
        <v>12</v>
      </c>
      <c r="C557" t="s">
        <v>100</v>
      </c>
      <c r="D557" t="s">
        <v>77</v>
      </c>
      <c r="E557" t="s">
        <v>88</v>
      </c>
      <c r="F557" t="s">
        <v>8</v>
      </c>
      <c r="G557">
        <v>2</v>
      </c>
    </row>
    <row r="558" spans="1:7" x14ac:dyDescent="0.3">
      <c r="A558">
        <v>2020</v>
      </c>
      <c r="B558" t="s">
        <v>13</v>
      </c>
      <c r="C558" t="s">
        <v>100</v>
      </c>
      <c r="D558" t="s">
        <v>77</v>
      </c>
      <c r="E558" t="s">
        <v>94</v>
      </c>
      <c r="F558" t="s">
        <v>8</v>
      </c>
      <c r="G558">
        <v>2</v>
      </c>
    </row>
    <row r="559" spans="1:7" x14ac:dyDescent="0.3">
      <c r="A559">
        <v>2020</v>
      </c>
      <c r="B559" t="s">
        <v>13</v>
      </c>
      <c r="C559" t="s">
        <v>100</v>
      </c>
      <c r="D559" t="s">
        <v>77</v>
      </c>
      <c r="E559" t="s">
        <v>87</v>
      </c>
      <c r="F559" t="s">
        <v>8</v>
      </c>
      <c r="G559">
        <v>2</v>
      </c>
    </row>
    <row r="560" spans="1:7" x14ac:dyDescent="0.3">
      <c r="A560">
        <v>2020</v>
      </c>
      <c r="B560" t="s">
        <v>13</v>
      </c>
      <c r="C560" t="s">
        <v>100</v>
      </c>
      <c r="D560" t="s">
        <v>77</v>
      </c>
      <c r="E560" t="s">
        <v>89</v>
      </c>
      <c r="F560" t="s">
        <v>8</v>
      </c>
      <c r="G560">
        <v>10</v>
      </c>
    </row>
    <row r="561" spans="1:7" x14ac:dyDescent="0.3">
      <c r="A561">
        <v>2020</v>
      </c>
      <c r="B561" t="s">
        <v>13</v>
      </c>
      <c r="C561" t="s">
        <v>100</v>
      </c>
      <c r="D561" t="s">
        <v>77</v>
      </c>
      <c r="E561" t="s">
        <v>88</v>
      </c>
      <c r="F561" t="s">
        <v>8</v>
      </c>
      <c r="G561">
        <v>2</v>
      </c>
    </row>
    <row r="562" spans="1:7" x14ac:dyDescent="0.3">
      <c r="A562">
        <v>2020</v>
      </c>
      <c r="B562" t="s">
        <v>14</v>
      </c>
      <c r="C562" t="s">
        <v>100</v>
      </c>
      <c r="D562" t="s">
        <v>77</v>
      </c>
      <c r="E562" t="s">
        <v>94</v>
      </c>
      <c r="F562" t="s">
        <v>8</v>
      </c>
      <c r="G562">
        <v>5</v>
      </c>
    </row>
    <row r="563" spans="1:7" x14ac:dyDescent="0.3">
      <c r="A563">
        <v>2020</v>
      </c>
      <c r="B563" t="s">
        <v>14</v>
      </c>
      <c r="C563" t="s">
        <v>100</v>
      </c>
      <c r="D563" t="s">
        <v>77</v>
      </c>
      <c r="E563" t="s">
        <v>87</v>
      </c>
      <c r="F563" t="s">
        <v>8</v>
      </c>
      <c r="G563">
        <v>1</v>
      </c>
    </row>
    <row r="564" spans="1:7" x14ac:dyDescent="0.3">
      <c r="A564">
        <v>2020</v>
      </c>
      <c r="B564" t="s">
        <v>14</v>
      </c>
      <c r="C564" t="s">
        <v>100</v>
      </c>
      <c r="D564" t="s">
        <v>77</v>
      </c>
      <c r="E564" t="s">
        <v>89</v>
      </c>
      <c r="F564" t="s">
        <v>8</v>
      </c>
      <c r="G564">
        <v>15</v>
      </c>
    </row>
    <row r="565" spans="1:7" x14ac:dyDescent="0.3">
      <c r="A565">
        <v>2020</v>
      </c>
      <c r="B565" t="s">
        <v>14</v>
      </c>
      <c r="C565" t="s">
        <v>100</v>
      </c>
      <c r="D565" t="s">
        <v>77</v>
      </c>
      <c r="E565" t="s">
        <v>88</v>
      </c>
      <c r="F565" t="s">
        <v>8</v>
      </c>
      <c r="G565">
        <v>2</v>
      </c>
    </row>
    <row r="566" spans="1:7" x14ac:dyDescent="0.3">
      <c r="A566">
        <v>2020</v>
      </c>
      <c r="B566" t="s">
        <v>15</v>
      </c>
      <c r="C566" t="s">
        <v>100</v>
      </c>
      <c r="D566" t="s">
        <v>77</v>
      </c>
      <c r="E566" t="s">
        <v>94</v>
      </c>
      <c r="F566" t="s">
        <v>8</v>
      </c>
    </row>
    <row r="567" spans="1:7" x14ac:dyDescent="0.3">
      <c r="A567">
        <v>2020</v>
      </c>
      <c r="B567" t="s">
        <v>15</v>
      </c>
      <c r="C567" t="s">
        <v>100</v>
      </c>
      <c r="D567" t="s">
        <v>77</v>
      </c>
      <c r="E567" t="s">
        <v>87</v>
      </c>
      <c r="F567" t="s">
        <v>8</v>
      </c>
      <c r="G567">
        <v>3</v>
      </c>
    </row>
    <row r="568" spans="1:7" x14ac:dyDescent="0.3">
      <c r="A568">
        <v>2020</v>
      </c>
      <c r="B568" t="s">
        <v>15</v>
      </c>
      <c r="C568" t="s">
        <v>100</v>
      </c>
      <c r="D568" t="s">
        <v>77</v>
      </c>
      <c r="E568" t="s">
        <v>89</v>
      </c>
      <c r="F568" t="s">
        <v>8</v>
      </c>
      <c r="G568">
        <v>12</v>
      </c>
    </row>
    <row r="569" spans="1:7" x14ac:dyDescent="0.3">
      <c r="A569">
        <v>2020</v>
      </c>
      <c r="B569" t="s">
        <v>15</v>
      </c>
      <c r="C569" t="s">
        <v>100</v>
      </c>
      <c r="D569" t="s">
        <v>77</v>
      </c>
      <c r="E569" t="s">
        <v>88</v>
      </c>
      <c r="F569" t="s">
        <v>8</v>
      </c>
    </row>
    <row r="570" spans="1:7" x14ac:dyDescent="0.3">
      <c r="A570">
        <v>2020</v>
      </c>
      <c r="B570" t="s">
        <v>16</v>
      </c>
      <c r="C570" t="s">
        <v>100</v>
      </c>
      <c r="D570" t="s">
        <v>77</v>
      </c>
      <c r="E570" t="s">
        <v>94</v>
      </c>
      <c r="F570" t="s">
        <v>8</v>
      </c>
      <c r="G570">
        <v>6</v>
      </c>
    </row>
    <row r="571" spans="1:7" x14ac:dyDescent="0.3">
      <c r="A571">
        <v>2020</v>
      </c>
      <c r="B571" t="s">
        <v>16</v>
      </c>
      <c r="C571" t="s">
        <v>100</v>
      </c>
      <c r="D571" t="s">
        <v>77</v>
      </c>
      <c r="E571" t="s">
        <v>87</v>
      </c>
      <c r="F571" t="s">
        <v>8</v>
      </c>
    </row>
    <row r="572" spans="1:7" x14ac:dyDescent="0.3">
      <c r="A572">
        <v>2020</v>
      </c>
      <c r="B572" t="s">
        <v>16</v>
      </c>
      <c r="C572" t="s">
        <v>100</v>
      </c>
      <c r="D572" t="s">
        <v>77</v>
      </c>
      <c r="E572" t="s">
        <v>89</v>
      </c>
      <c r="F572" t="s">
        <v>8</v>
      </c>
      <c r="G572">
        <v>10</v>
      </c>
    </row>
    <row r="573" spans="1:7" x14ac:dyDescent="0.3">
      <c r="A573">
        <v>2020</v>
      </c>
      <c r="B573" t="s">
        <v>16</v>
      </c>
      <c r="C573" t="s">
        <v>100</v>
      </c>
      <c r="D573" t="s">
        <v>77</v>
      </c>
      <c r="E573" t="s">
        <v>88</v>
      </c>
      <c r="F573" t="s">
        <v>8</v>
      </c>
      <c r="G573">
        <v>5</v>
      </c>
    </row>
    <row r="574" spans="1:7" x14ac:dyDescent="0.3">
      <c r="A574">
        <v>2020</v>
      </c>
      <c r="B574" t="s">
        <v>17</v>
      </c>
      <c r="C574" t="s">
        <v>100</v>
      </c>
      <c r="D574" t="s">
        <v>77</v>
      </c>
      <c r="E574" t="s">
        <v>94</v>
      </c>
      <c r="F574" t="s">
        <v>8</v>
      </c>
      <c r="G574">
        <v>7</v>
      </c>
    </row>
    <row r="575" spans="1:7" x14ac:dyDescent="0.3">
      <c r="A575">
        <v>2020</v>
      </c>
      <c r="B575" t="s">
        <v>17</v>
      </c>
      <c r="C575" t="s">
        <v>100</v>
      </c>
      <c r="D575" t="s">
        <v>77</v>
      </c>
      <c r="E575" t="s">
        <v>87</v>
      </c>
      <c r="F575" t="s">
        <v>8</v>
      </c>
      <c r="G575">
        <v>2</v>
      </c>
    </row>
    <row r="576" spans="1:7" x14ac:dyDescent="0.3">
      <c r="A576">
        <v>2020</v>
      </c>
      <c r="B576" t="s">
        <v>17</v>
      </c>
      <c r="C576" t="s">
        <v>100</v>
      </c>
      <c r="D576" t="s">
        <v>77</v>
      </c>
      <c r="E576" t="s">
        <v>89</v>
      </c>
      <c r="F576" t="s">
        <v>8</v>
      </c>
      <c r="G576">
        <v>20</v>
      </c>
    </row>
    <row r="577" spans="1:7" x14ac:dyDescent="0.3">
      <c r="A577">
        <v>2020</v>
      </c>
      <c r="B577" t="s">
        <v>17</v>
      </c>
      <c r="C577" t="s">
        <v>100</v>
      </c>
      <c r="D577" t="s">
        <v>77</v>
      </c>
      <c r="E577" t="s">
        <v>88</v>
      </c>
      <c r="F577" t="s">
        <v>8</v>
      </c>
      <c r="G577">
        <v>0</v>
      </c>
    </row>
    <row r="578" spans="1:7" x14ac:dyDescent="0.3">
      <c r="A578">
        <v>2020</v>
      </c>
      <c r="B578" t="s">
        <v>18</v>
      </c>
      <c r="C578" t="s">
        <v>100</v>
      </c>
      <c r="D578" t="s">
        <v>77</v>
      </c>
      <c r="E578" t="s">
        <v>94</v>
      </c>
      <c r="F578" t="s">
        <v>8</v>
      </c>
      <c r="G578">
        <v>1</v>
      </c>
    </row>
    <row r="579" spans="1:7" x14ac:dyDescent="0.3">
      <c r="A579">
        <v>2020</v>
      </c>
      <c r="B579" t="s">
        <v>18</v>
      </c>
      <c r="C579" t="s">
        <v>100</v>
      </c>
      <c r="D579" t="s">
        <v>77</v>
      </c>
      <c r="E579" t="s">
        <v>87</v>
      </c>
      <c r="F579" t="s">
        <v>8</v>
      </c>
      <c r="G579">
        <v>3</v>
      </c>
    </row>
    <row r="580" spans="1:7" x14ac:dyDescent="0.3">
      <c r="A580">
        <v>2020</v>
      </c>
      <c r="B580" t="s">
        <v>18</v>
      </c>
      <c r="C580" t="s">
        <v>100</v>
      </c>
      <c r="D580" t="s">
        <v>77</v>
      </c>
      <c r="E580" t="s">
        <v>89</v>
      </c>
      <c r="F580" t="s">
        <v>8</v>
      </c>
      <c r="G580">
        <v>2</v>
      </c>
    </row>
    <row r="581" spans="1:7" x14ac:dyDescent="0.3">
      <c r="A581">
        <v>2020</v>
      </c>
      <c r="B581" t="s">
        <v>18</v>
      </c>
      <c r="C581" t="s">
        <v>100</v>
      </c>
      <c r="D581" t="s">
        <v>77</v>
      </c>
      <c r="E581" t="s">
        <v>88</v>
      </c>
      <c r="F581" t="s">
        <v>8</v>
      </c>
      <c r="G581">
        <v>1</v>
      </c>
    </row>
    <row r="582" spans="1:7" x14ac:dyDescent="0.3">
      <c r="A582">
        <v>2020</v>
      </c>
      <c r="B582" t="s">
        <v>19</v>
      </c>
      <c r="C582" t="s">
        <v>100</v>
      </c>
      <c r="D582" t="s">
        <v>77</v>
      </c>
      <c r="E582" t="s">
        <v>94</v>
      </c>
      <c r="F582" t="s">
        <v>8</v>
      </c>
      <c r="G582">
        <v>4</v>
      </c>
    </row>
    <row r="583" spans="1:7" x14ac:dyDescent="0.3">
      <c r="A583">
        <v>2020</v>
      </c>
      <c r="B583" t="s">
        <v>19</v>
      </c>
      <c r="C583" t="s">
        <v>100</v>
      </c>
      <c r="D583" t="s">
        <v>77</v>
      </c>
      <c r="E583" t="s">
        <v>87</v>
      </c>
      <c r="F583" t="s">
        <v>8</v>
      </c>
      <c r="G583">
        <v>1</v>
      </c>
    </row>
    <row r="584" spans="1:7" x14ac:dyDescent="0.3">
      <c r="A584">
        <v>2020</v>
      </c>
      <c r="B584" t="s">
        <v>19</v>
      </c>
      <c r="C584" t="s">
        <v>100</v>
      </c>
      <c r="D584" t="s">
        <v>77</v>
      </c>
      <c r="E584" t="s">
        <v>89</v>
      </c>
      <c r="F584" t="s">
        <v>8</v>
      </c>
      <c r="G584">
        <v>4</v>
      </c>
    </row>
    <row r="585" spans="1:7" x14ac:dyDescent="0.3">
      <c r="A585">
        <v>2020</v>
      </c>
      <c r="B585" t="s">
        <v>19</v>
      </c>
      <c r="C585" t="s">
        <v>100</v>
      </c>
      <c r="D585" t="s">
        <v>77</v>
      </c>
      <c r="E585" t="s">
        <v>88</v>
      </c>
      <c r="F585" t="s">
        <v>8</v>
      </c>
    </row>
    <row r="586" spans="1:7" x14ac:dyDescent="0.3">
      <c r="A586">
        <v>2020</v>
      </c>
      <c r="B586" t="s">
        <v>20</v>
      </c>
      <c r="C586" t="s">
        <v>100</v>
      </c>
      <c r="D586" t="s">
        <v>77</v>
      </c>
      <c r="E586" t="s">
        <v>94</v>
      </c>
      <c r="F586" t="s">
        <v>8</v>
      </c>
      <c r="G586">
        <v>4</v>
      </c>
    </row>
    <row r="587" spans="1:7" x14ac:dyDescent="0.3">
      <c r="A587">
        <v>2020</v>
      </c>
      <c r="B587" t="s">
        <v>20</v>
      </c>
      <c r="C587" t="s">
        <v>100</v>
      </c>
      <c r="D587" t="s">
        <v>77</v>
      </c>
      <c r="E587" t="s">
        <v>87</v>
      </c>
      <c r="F587" t="s">
        <v>8</v>
      </c>
      <c r="G587">
        <v>3</v>
      </c>
    </row>
    <row r="588" spans="1:7" x14ac:dyDescent="0.3">
      <c r="A588">
        <v>2020</v>
      </c>
      <c r="B588" t="s">
        <v>20</v>
      </c>
      <c r="C588" t="s">
        <v>100</v>
      </c>
      <c r="D588" t="s">
        <v>77</v>
      </c>
      <c r="E588" t="s">
        <v>89</v>
      </c>
      <c r="F588" t="s">
        <v>8</v>
      </c>
      <c r="G588">
        <v>3</v>
      </c>
    </row>
    <row r="589" spans="1:7" x14ac:dyDescent="0.3">
      <c r="A589">
        <v>2020</v>
      </c>
      <c r="B589" t="s">
        <v>20</v>
      </c>
      <c r="C589" t="s">
        <v>100</v>
      </c>
      <c r="D589" t="s">
        <v>77</v>
      </c>
      <c r="E589" t="s">
        <v>88</v>
      </c>
      <c r="F589" t="s">
        <v>8</v>
      </c>
    </row>
    <row r="590" spans="1:7" x14ac:dyDescent="0.3">
      <c r="A590">
        <v>2020</v>
      </c>
      <c r="B590" t="s">
        <v>21</v>
      </c>
      <c r="C590" t="s">
        <v>100</v>
      </c>
      <c r="D590" t="s">
        <v>77</v>
      </c>
      <c r="E590" t="s">
        <v>94</v>
      </c>
      <c r="F590" t="s">
        <v>8</v>
      </c>
      <c r="G590">
        <v>7</v>
      </c>
    </row>
    <row r="591" spans="1:7" x14ac:dyDescent="0.3">
      <c r="A591">
        <v>2020</v>
      </c>
      <c r="B591" t="s">
        <v>21</v>
      </c>
      <c r="C591" t="s">
        <v>100</v>
      </c>
      <c r="D591" t="s">
        <v>77</v>
      </c>
      <c r="E591" t="s">
        <v>87</v>
      </c>
      <c r="F591" t="s">
        <v>8</v>
      </c>
      <c r="G591">
        <v>1</v>
      </c>
    </row>
    <row r="592" spans="1:7" x14ac:dyDescent="0.3">
      <c r="A592">
        <v>2020</v>
      </c>
      <c r="B592" t="s">
        <v>21</v>
      </c>
      <c r="C592" t="s">
        <v>100</v>
      </c>
      <c r="D592" t="s">
        <v>77</v>
      </c>
      <c r="E592" t="s">
        <v>89</v>
      </c>
      <c r="F592" t="s">
        <v>8</v>
      </c>
      <c r="G592">
        <v>10</v>
      </c>
    </row>
    <row r="593" spans="1:7" x14ac:dyDescent="0.3">
      <c r="A593">
        <v>2020</v>
      </c>
      <c r="B593" t="s">
        <v>21</v>
      </c>
      <c r="C593" t="s">
        <v>100</v>
      </c>
      <c r="D593" t="s">
        <v>77</v>
      </c>
      <c r="E593" t="s">
        <v>88</v>
      </c>
      <c r="F593" t="s">
        <v>8</v>
      </c>
      <c r="G593">
        <v>3</v>
      </c>
    </row>
    <row r="594" spans="1:7" x14ac:dyDescent="0.3">
      <c r="A594">
        <v>2020</v>
      </c>
      <c r="B594" t="s">
        <v>22</v>
      </c>
      <c r="C594" t="s">
        <v>100</v>
      </c>
      <c r="D594" t="s">
        <v>77</v>
      </c>
      <c r="E594" t="s">
        <v>94</v>
      </c>
      <c r="F594" t="s">
        <v>8</v>
      </c>
      <c r="G594">
        <v>10</v>
      </c>
    </row>
    <row r="595" spans="1:7" x14ac:dyDescent="0.3">
      <c r="A595">
        <v>2020</v>
      </c>
      <c r="B595" t="s">
        <v>22</v>
      </c>
      <c r="C595" t="s">
        <v>100</v>
      </c>
      <c r="D595" t="s">
        <v>77</v>
      </c>
      <c r="E595" t="s">
        <v>87</v>
      </c>
      <c r="F595" t="s">
        <v>8</v>
      </c>
      <c r="G595">
        <v>1</v>
      </c>
    </row>
    <row r="596" spans="1:7" x14ac:dyDescent="0.3">
      <c r="A596">
        <v>2020</v>
      </c>
      <c r="B596" t="s">
        <v>22</v>
      </c>
      <c r="C596" t="s">
        <v>100</v>
      </c>
      <c r="D596" t="s">
        <v>77</v>
      </c>
      <c r="E596" t="s">
        <v>89</v>
      </c>
      <c r="F596" t="s">
        <v>8</v>
      </c>
      <c r="G596">
        <v>14</v>
      </c>
    </row>
    <row r="597" spans="1:7" x14ac:dyDescent="0.3">
      <c r="A597">
        <v>2020</v>
      </c>
      <c r="B597" t="s">
        <v>22</v>
      </c>
      <c r="C597" t="s">
        <v>100</v>
      </c>
      <c r="D597" t="s">
        <v>77</v>
      </c>
      <c r="E597" t="s">
        <v>88</v>
      </c>
      <c r="F597" t="s">
        <v>8</v>
      </c>
      <c r="G597">
        <v>2</v>
      </c>
    </row>
    <row r="598" spans="1:7" x14ac:dyDescent="0.3">
      <c r="A598">
        <v>2020</v>
      </c>
      <c r="B598" t="s">
        <v>24</v>
      </c>
      <c r="C598" t="s">
        <v>100</v>
      </c>
      <c r="D598" t="s">
        <v>77</v>
      </c>
      <c r="E598" t="s">
        <v>94</v>
      </c>
      <c r="F598" t="s">
        <v>8</v>
      </c>
      <c r="G598">
        <v>2</v>
      </c>
    </row>
    <row r="599" spans="1:7" x14ac:dyDescent="0.3">
      <c r="A599">
        <v>2020</v>
      </c>
      <c r="B599" t="s">
        <v>24</v>
      </c>
      <c r="C599" t="s">
        <v>100</v>
      </c>
      <c r="D599" t="s">
        <v>77</v>
      </c>
      <c r="E599" t="s">
        <v>87</v>
      </c>
      <c r="F599" t="s">
        <v>8</v>
      </c>
      <c r="G599">
        <v>3</v>
      </c>
    </row>
    <row r="600" spans="1:7" x14ac:dyDescent="0.3">
      <c r="A600">
        <v>2020</v>
      </c>
      <c r="B600" t="s">
        <v>24</v>
      </c>
      <c r="C600" t="s">
        <v>100</v>
      </c>
      <c r="D600" t="s">
        <v>77</v>
      </c>
      <c r="E600" t="s">
        <v>89</v>
      </c>
      <c r="F600" t="s">
        <v>8</v>
      </c>
      <c r="G600">
        <v>6</v>
      </c>
    </row>
    <row r="601" spans="1:7" x14ac:dyDescent="0.3">
      <c r="A601">
        <v>2020</v>
      </c>
      <c r="B601" t="s">
        <v>24</v>
      </c>
      <c r="C601" t="s">
        <v>100</v>
      </c>
      <c r="D601" t="s">
        <v>77</v>
      </c>
      <c r="E601" t="s">
        <v>88</v>
      </c>
      <c r="F601" t="s">
        <v>8</v>
      </c>
    </row>
    <row r="602" spans="1:7" x14ac:dyDescent="0.3">
      <c r="A602">
        <v>2020</v>
      </c>
      <c r="B602" t="s">
        <v>25</v>
      </c>
      <c r="C602" t="s">
        <v>100</v>
      </c>
      <c r="D602" t="s">
        <v>77</v>
      </c>
      <c r="E602" t="s">
        <v>94</v>
      </c>
      <c r="F602" t="s">
        <v>8</v>
      </c>
      <c r="G602">
        <v>4</v>
      </c>
    </row>
    <row r="603" spans="1:7" x14ac:dyDescent="0.3">
      <c r="A603">
        <v>2020</v>
      </c>
      <c r="B603" t="s">
        <v>25</v>
      </c>
      <c r="C603" t="s">
        <v>100</v>
      </c>
      <c r="D603" t="s">
        <v>77</v>
      </c>
      <c r="E603" t="s">
        <v>87</v>
      </c>
      <c r="F603" t="s">
        <v>8</v>
      </c>
      <c r="G603">
        <v>3</v>
      </c>
    </row>
    <row r="604" spans="1:7" x14ac:dyDescent="0.3">
      <c r="A604">
        <v>2020</v>
      </c>
      <c r="B604" t="s">
        <v>25</v>
      </c>
      <c r="C604" t="s">
        <v>100</v>
      </c>
      <c r="D604" t="s">
        <v>77</v>
      </c>
      <c r="E604" t="s">
        <v>89</v>
      </c>
      <c r="F604" t="s">
        <v>8</v>
      </c>
      <c r="G604">
        <v>7</v>
      </c>
    </row>
    <row r="605" spans="1:7" x14ac:dyDescent="0.3">
      <c r="A605">
        <v>2020</v>
      </c>
      <c r="B605" t="s">
        <v>25</v>
      </c>
      <c r="C605" t="s">
        <v>100</v>
      </c>
      <c r="D605" t="s">
        <v>77</v>
      </c>
      <c r="E605" t="s">
        <v>88</v>
      </c>
      <c r="F605" t="s">
        <v>8</v>
      </c>
      <c r="G605">
        <v>1</v>
      </c>
    </row>
    <row r="606" spans="1:7" x14ac:dyDescent="0.3">
      <c r="A606">
        <v>2020</v>
      </c>
      <c r="B606" t="s">
        <v>26</v>
      </c>
      <c r="C606" t="s">
        <v>100</v>
      </c>
      <c r="D606" t="s">
        <v>77</v>
      </c>
      <c r="E606" t="s">
        <v>94</v>
      </c>
      <c r="F606" t="s">
        <v>8</v>
      </c>
      <c r="G606">
        <v>3</v>
      </c>
    </row>
    <row r="607" spans="1:7" x14ac:dyDescent="0.3">
      <c r="A607">
        <v>2020</v>
      </c>
      <c r="B607" t="s">
        <v>26</v>
      </c>
      <c r="C607" t="s">
        <v>100</v>
      </c>
      <c r="D607" t="s">
        <v>77</v>
      </c>
      <c r="E607" t="s">
        <v>87</v>
      </c>
      <c r="F607" t="s">
        <v>8</v>
      </c>
      <c r="G607">
        <v>4</v>
      </c>
    </row>
    <row r="608" spans="1:7" x14ac:dyDescent="0.3">
      <c r="A608">
        <v>2020</v>
      </c>
      <c r="B608" t="s">
        <v>26</v>
      </c>
      <c r="C608" t="s">
        <v>100</v>
      </c>
      <c r="D608" t="s">
        <v>77</v>
      </c>
      <c r="E608" t="s">
        <v>89</v>
      </c>
      <c r="F608" t="s">
        <v>8</v>
      </c>
      <c r="G608">
        <v>37</v>
      </c>
    </row>
    <row r="609" spans="1:7" x14ac:dyDescent="0.3">
      <c r="A609">
        <v>2020</v>
      </c>
      <c r="B609" t="s">
        <v>26</v>
      </c>
      <c r="C609" t="s">
        <v>100</v>
      </c>
      <c r="D609" t="s">
        <v>77</v>
      </c>
      <c r="E609" t="s">
        <v>88</v>
      </c>
      <c r="F609" t="s">
        <v>8</v>
      </c>
      <c r="G609">
        <v>1</v>
      </c>
    </row>
    <row r="610" spans="1:7" x14ac:dyDescent="0.3">
      <c r="A610">
        <v>2020</v>
      </c>
      <c r="B610" t="s">
        <v>27</v>
      </c>
      <c r="C610" t="s">
        <v>100</v>
      </c>
      <c r="D610" t="s">
        <v>77</v>
      </c>
      <c r="E610" t="s">
        <v>94</v>
      </c>
      <c r="F610" t="s">
        <v>8</v>
      </c>
      <c r="G610">
        <v>5</v>
      </c>
    </row>
    <row r="611" spans="1:7" x14ac:dyDescent="0.3">
      <c r="A611">
        <v>2020</v>
      </c>
      <c r="B611" t="s">
        <v>27</v>
      </c>
      <c r="C611" t="s">
        <v>100</v>
      </c>
      <c r="D611" t="s">
        <v>77</v>
      </c>
      <c r="E611" t="s">
        <v>87</v>
      </c>
      <c r="F611" t="s">
        <v>8</v>
      </c>
      <c r="G611">
        <v>2</v>
      </c>
    </row>
    <row r="612" spans="1:7" x14ac:dyDescent="0.3">
      <c r="A612">
        <v>2020</v>
      </c>
      <c r="B612" t="s">
        <v>27</v>
      </c>
      <c r="C612" t="s">
        <v>100</v>
      </c>
      <c r="D612" t="s">
        <v>77</v>
      </c>
      <c r="E612" t="s">
        <v>89</v>
      </c>
      <c r="F612" t="s">
        <v>8</v>
      </c>
      <c r="G612">
        <v>4</v>
      </c>
    </row>
    <row r="613" spans="1:7" x14ac:dyDescent="0.3">
      <c r="A613">
        <v>2020</v>
      </c>
      <c r="B613" t="s">
        <v>27</v>
      </c>
      <c r="C613" t="s">
        <v>100</v>
      </c>
      <c r="D613" t="s">
        <v>77</v>
      </c>
      <c r="E613" t="s">
        <v>88</v>
      </c>
      <c r="F613" t="s">
        <v>8</v>
      </c>
      <c r="G613">
        <v>2</v>
      </c>
    </row>
    <row r="614" spans="1:7" x14ac:dyDescent="0.3">
      <c r="A614">
        <v>2020</v>
      </c>
      <c r="B614" t="s">
        <v>58</v>
      </c>
      <c r="C614" t="s">
        <v>100</v>
      </c>
      <c r="D614" t="s">
        <v>77</v>
      </c>
      <c r="E614" t="s">
        <v>94</v>
      </c>
      <c r="F614" t="s">
        <v>8</v>
      </c>
      <c r="G614">
        <v>0</v>
      </c>
    </row>
    <row r="615" spans="1:7" x14ac:dyDescent="0.3">
      <c r="A615">
        <v>2020</v>
      </c>
      <c r="B615" t="s">
        <v>58</v>
      </c>
      <c r="C615" t="s">
        <v>100</v>
      </c>
      <c r="D615" t="s">
        <v>77</v>
      </c>
      <c r="E615" t="s">
        <v>87</v>
      </c>
      <c r="F615" t="s">
        <v>8</v>
      </c>
      <c r="G615">
        <v>49</v>
      </c>
    </row>
    <row r="616" spans="1:7" x14ac:dyDescent="0.3">
      <c r="A616">
        <v>2020</v>
      </c>
      <c r="B616" t="s">
        <v>58</v>
      </c>
      <c r="C616" t="s">
        <v>100</v>
      </c>
      <c r="D616" t="s">
        <v>77</v>
      </c>
      <c r="E616" t="s">
        <v>89</v>
      </c>
      <c r="F616" t="s">
        <v>8</v>
      </c>
      <c r="G616">
        <v>73</v>
      </c>
    </row>
    <row r="617" spans="1:7" x14ac:dyDescent="0.3">
      <c r="A617">
        <v>2020</v>
      </c>
      <c r="B617" t="s">
        <v>58</v>
      </c>
      <c r="C617" t="s">
        <v>100</v>
      </c>
      <c r="D617" t="s">
        <v>77</v>
      </c>
      <c r="E617" t="s">
        <v>88</v>
      </c>
      <c r="F617" t="s">
        <v>8</v>
      </c>
      <c r="G617">
        <v>11</v>
      </c>
    </row>
    <row r="618" spans="1:7" x14ac:dyDescent="0.3">
      <c r="A618">
        <v>2020</v>
      </c>
      <c r="B618" t="s">
        <v>52</v>
      </c>
      <c r="C618" t="s">
        <v>100</v>
      </c>
      <c r="D618" t="s">
        <v>77</v>
      </c>
      <c r="E618" t="s">
        <v>94</v>
      </c>
      <c r="F618" t="s">
        <v>8</v>
      </c>
    </row>
    <row r="619" spans="1:7" x14ac:dyDescent="0.3">
      <c r="A619">
        <v>2020</v>
      </c>
      <c r="B619" t="s">
        <v>52</v>
      </c>
      <c r="C619" t="s">
        <v>100</v>
      </c>
      <c r="D619" t="s">
        <v>77</v>
      </c>
      <c r="E619" t="s">
        <v>87</v>
      </c>
      <c r="F619" t="s">
        <v>8</v>
      </c>
      <c r="G619">
        <v>8</v>
      </c>
    </row>
    <row r="620" spans="1:7" x14ac:dyDescent="0.3">
      <c r="A620">
        <v>2020</v>
      </c>
      <c r="B620" t="s">
        <v>52</v>
      </c>
      <c r="C620" t="s">
        <v>100</v>
      </c>
      <c r="D620" t="s">
        <v>77</v>
      </c>
      <c r="E620" t="s">
        <v>89</v>
      </c>
      <c r="F620" t="s">
        <v>8</v>
      </c>
      <c r="G620">
        <v>1</v>
      </c>
    </row>
    <row r="621" spans="1:7" x14ac:dyDescent="0.3">
      <c r="A621">
        <v>2020</v>
      </c>
      <c r="B621" t="s">
        <v>52</v>
      </c>
      <c r="C621" t="s">
        <v>100</v>
      </c>
      <c r="D621" t="s">
        <v>77</v>
      </c>
      <c r="E621" t="s">
        <v>88</v>
      </c>
      <c r="F621" t="s">
        <v>8</v>
      </c>
    </row>
    <row r="622" spans="1:7" x14ac:dyDescent="0.3">
      <c r="A622">
        <v>2020</v>
      </c>
      <c r="B622" t="s">
        <v>28</v>
      </c>
      <c r="C622" t="s">
        <v>100</v>
      </c>
      <c r="D622" t="s">
        <v>77</v>
      </c>
      <c r="E622" t="s">
        <v>94</v>
      </c>
      <c r="F622" t="s">
        <v>8</v>
      </c>
      <c r="G622">
        <v>13</v>
      </c>
    </row>
    <row r="623" spans="1:7" x14ac:dyDescent="0.3">
      <c r="A623">
        <v>2020</v>
      </c>
      <c r="B623" t="s">
        <v>28</v>
      </c>
      <c r="C623" t="s">
        <v>100</v>
      </c>
      <c r="D623" t="s">
        <v>77</v>
      </c>
      <c r="E623" t="s">
        <v>87</v>
      </c>
      <c r="F623" t="s">
        <v>8</v>
      </c>
      <c r="G623">
        <v>5</v>
      </c>
    </row>
    <row r="624" spans="1:7" x14ac:dyDescent="0.3">
      <c r="A624">
        <v>2020</v>
      </c>
      <c r="B624" t="s">
        <v>28</v>
      </c>
      <c r="C624" t="s">
        <v>100</v>
      </c>
      <c r="D624" t="s">
        <v>77</v>
      </c>
      <c r="E624" t="s">
        <v>89</v>
      </c>
      <c r="F624" t="s">
        <v>8</v>
      </c>
      <c r="G624">
        <v>28</v>
      </c>
    </row>
    <row r="625" spans="1:7" x14ac:dyDescent="0.3">
      <c r="A625">
        <v>2020</v>
      </c>
      <c r="B625" t="s">
        <v>28</v>
      </c>
      <c r="C625" t="s">
        <v>100</v>
      </c>
      <c r="D625" t="s">
        <v>77</v>
      </c>
      <c r="E625" t="s">
        <v>88</v>
      </c>
      <c r="F625" t="s">
        <v>8</v>
      </c>
      <c r="G625">
        <v>2</v>
      </c>
    </row>
    <row r="626" spans="1:7" x14ac:dyDescent="0.3">
      <c r="A626">
        <v>2020</v>
      </c>
      <c r="B626" t="s">
        <v>29</v>
      </c>
      <c r="C626" t="s">
        <v>100</v>
      </c>
      <c r="D626" t="s">
        <v>77</v>
      </c>
      <c r="E626" t="s">
        <v>94</v>
      </c>
      <c r="F626" t="s">
        <v>8</v>
      </c>
      <c r="G626">
        <v>3</v>
      </c>
    </row>
    <row r="627" spans="1:7" x14ac:dyDescent="0.3">
      <c r="A627">
        <v>2020</v>
      </c>
      <c r="B627" t="s">
        <v>29</v>
      </c>
      <c r="C627" t="s">
        <v>100</v>
      </c>
      <c r="D627" t="s">
        <v>77</v>
      </c>
      <c r="E627" t="s">
        <v>87</v>
      </c>
      <c r="F627" t="s">
        <v>8</v>
      </c>
      <c r="G627">
        <v>5</v>
      </c>
    </row>
    <row r="628" spans="1:7" x14ac:dyDescent="0.3">
      <c r="A628">
        <v>2020</v>
      </c>
      <c r="B628" t="s">
        <v>29</v>
      </c>
      <c r="C628" t="s">
        <v>100</v>
      </c>
      <c r="D628" t="s">
        <v>77</v>
      </c>
      <c r="E628" t="s">
        <v>89</v>
      </c>
      <c r="F628" t="s">
        <v>8</v>
      </c>
      <c r="G628">
        <v>16</v>
      </c>
    </row>
    <row r="629" spans="1:7" x14ac:dyDescent="0.3">
      <c r="A629">
        <v>2020</v>
      </c>
      <c r="B629" t="s">
        <v>29</v>
      </c>
      <c r="C629" t="s">
        <v>100</v>
      </c>
      <c r="D629" t="s">
        <v>77</v>
      </c>
      <c r="E629" t="s">
        <v>88</v>
      </c>
      <c r="F629" t="s">
        <v>8</v>
      </c>
      <c r="G629">
        <v>0</v>
      </c>
    </row>
    <row r="630" spans="1:7" x14ac:dyDescent="0.3">
      <c r="A630">
        <v>2020</v>
      </c>
      <c r="B630" t="s">
        <v>30</v>
      </c>
      <c r="C630" t="s">
        <v>100</v>
      </c>
      <c r="D630" t="s">
        <v>77</v>
      </c>
      <c r="E630" t="s">
        <v>94</v>
      </c>
      <c r="F630" t="s">
        <v>8</v>
      </c>
      <c r="G630">
        <v>4</v>
      </c>
    </row>
    <row r="631" spans="1:7" x14ac:dyDescent="0.3">
      <c r="A631">
        <v>2020</v>
      </c>
      <c r="B631" t="s">
        <v>30</v>
      </c>
      <c r="C631" t="s">
        <v>100</v>
      </c>
      <c r="D631" t="s">
        <v>77</v>
      </c>
      <c r="E631" t="s">
        <v>87</v>
      </c>
      <c r="F631" t="s">
        <v>8</v>
      </c>
      <c r="G631">
        <v>7</v>
      </c>
    </row>
    <row r="632" spans="1:7" x14ac:dyDescent="0.3">
      <c r="A632">
        <v>2020</v>
      </c>
      <c r="B632" t="s">
        <v>30</v>
      </c>
      <c r="C632" t="s">
        <v>100</v>
      </c>
      <c r="D632" t="s">
        <v>77</v>
      </c>
      <c r="E632" t="s">
        <v>89</v>
      </c>
      <c r="F632" t="s">
        <v>8</v>
      </c>
      <c r="G632">
        <v>14</v>
      </c>
    </row>
    <row r="633" spans="1:7" x14ac:dyDescent="0.3">
      <c r="A633">
        <v>2020</v>
      </c>
      <c r="B633" t="s">
        <v>30</v>
      </c>
      <c r="C633" t="s">
        <v>100</v>
      </c>
      <c r="D633" t="s">
        <v>77</v>
      </c>
      <c r="E633" t="s">
        <v>88</v>
      </c>
      <c r="F633" t="s">
        <v>8</v>
      </c>
      <c r="G633">
        <v>6</v>
      </c>
    </row>
    <row r="634" spans="1:7" x14ac:dyDescent="0.3">
      <c r="A634">
        <v>2020</v>
      </c>
      <c r="B634" t="s">
        <v>31</v>
      </c>
      <c r="C634" t="s">
        <v>100</v>
      </c>
      <c r="D634" t="s">
        <v>77</v>
      </c>
      <c r="E634" t="s">
        <v>94</v>
      </c>
      <c r="F634" t="s">
        <v>8</v>
      </c>
      <c r="G634">
        <v>6</v>
      </c>
    </row>
    <row r="635" spans="1:7" x14ac:dyDescent="0.3">
      <c r="A635">
        <v>2020</v>
      </c>
      <c r="B635" t="s">
        <v>31</v>
      </c>
      <c r="C635" t="s">
        <v>100</v>
      </c>
      <c r="D635" t="s">
        <v>77</v>
      </c>
      <c r="E635" t="s">
        <v>87</v>
      </c>
      <c r="F635" t="s">
        <v>8</v>
      </c>
      <c r="G635">
        <v>0</v>
      </c>
    </row>
    <row r="636" spans="1:7" x14ac:dyDescent="0.3">
      <c r="A636">
        <v>2020</v>
      </c>
      <c r="B636" t="s">
        <v>31</v>
      </c>
      <c r="C636" t="s">
        <v>100</v>
      </c>
      <c r="D636" t="s">
        <v>77</v>
      </c>
      <c r="E636" t="s">
        <v>89</v>
      </c>
      <c r="F636" t="s">
        <v>8</v>
      </c>
      <c r="G636">
        <v>11</v>
      </c>
    </row>
    <row r="637" spans="1:7" x14ac:dyDescent="0.3">
      <c r="A637">
        <v>2020</v>
      </c>
      <c r="B637" t="s">
        <v>31</v>
      </c>
      <c r="C637" t="s">
        <v>100</v>
      </c>
      <c r="D637" t="s">
        <v>77</v>
      </c>
      <c r="E637" t="s">
        <v>88</v>
      </c>
      <c r="F637" t="s">
        <v>8</v>
      </c>
      <c r="G637">
        <v>1</v>
      </c>
    </row>
    <row r="638" spans="1:7" x14ac:dyDescent="0.3">
      <c r="A638">
        <v>2020</v>
      </c>
      <c r="B638" t="s">
        <v>32</v>
      </c>
      <c r="C638" t="s">
        <v>100</v>
      </c>
      <c r="D638" t="s">
        <v>77</v>
      </c>
      <c r="E638" t="s">
        <v>94</v>
      </c>
      <c r="F638" t="s">
        <v>8</v>
      </c>
      <c r="G638">
        <v>0</v>
      </c>
    </row>
    <row r="639" spans="1:7" x14ac:dyDescent="0.3">
      <c r="A639">
        <v>2020</v>
      </c>
      <c r="B639" t="s">
        <v>32</v>
      </c>
      <c r="C639" t="s">
        <v>100</v>
      </c>
      <c r="D639" t="s">
        <v>77</v>
      </c>
      <c r="E639" t="s">
        <v>87</v>
      </c>
      <c r="F639" t="s">
        <v>8</v>
      </c>
      <c r="G639">
        <v>0</v>
      </c>
    </row>
    <row r="640" spans="1:7" x14ac:dyDescent="0.3">
      <c r="A640">
        <v>2020</v>
      </c>
      <c r="B640" t="s">
        <v>32</v>
      </c>
      <c r="C640" t="s">
        <v>100</v>
      </c>
      <c r="D640" t="s">
        <v>77</v>
      </c>
      <c r="E640" t="s">
        <v>89</v>
      </c>
      <c r="F640" t="s">
        <v>8</v>
      </c>
      <c r="G640">
        <v>0</v>
      </c>
    </row>
    <row r="641" spans="1:7" x14ac:dyDescent="0.3">
      <c r="A641">
        <v>2020</v>
      </c>
      <c r="B641" t="s">
        <v>32</v>
      </c>
      <c r="C641" t="s">
        <v>100</v>
      </c>
      <c r="D641" t="s">
        <v>77</v>
      </c>
      <c r="E641" t="s">
        <v>88</v>
      </c>
      <c r="F641" t="s">
        <v>8</v>
      </c>
    </row>
    <row r="642" spans="1:7" x14ac:dyDescent="0.3">
      <c r="A642">
        <v>2020</v>
      </c>
      <c r="B642" t="s">
        <v>50</v>
      </c>
      <c r="C642" t="s">
        <v>100</v>
      </c>
      <c r="D642" t="s">
        <v>77</v>
      </c>
      <c r="E642" t="s">
        <v>94</v>
      </c>
      <c r="F642" t="s">
        <v>8</v>
      </c>
      <c r="G642">
        <v>0</v>
      </c>
    </row>
    <row r="643" spans="1:7" x14ac:dyDescent="0.3">
      <c r="A643">
        <v>2020</v>
      </c>
      <c r="B643" t="s">
        <v>50</v>
      </c>
      <c r="C643" t="s">
        <v>100</v>
      </c>
      <c r="D643" t="s">
        <v>77</v>
      </c>
      <c r="E643" t="s">
        <v>87</v>
      </c>
      <c r="F643" t="s">
        <v>8</v>
      </c>
      <c r="G643">
        <v>0</v>
      </c>
    </row>
    <row r="644" spans="1:7" x14ac:dyDescent="0.3">
      <c r="A644">
        <v>2020</v>
      </c>
      <c r="B644" t="s">
        <v>50</v>
      </c>
      <c r="C644" t="s">
        <v>100</v>
      </c>
      <c r="D644" t="s">
        <v>77</v>
      </c>
      <c r="E644" t="s">
        <v>89</v>
      </c>
      <c r="F644" t="s">
        <v>8</v>
      </c>
      <c r="G644">
        <v>0</v>
      </c>
    </row>
    <row r="645" spans="1:7" x14ac:dyDescent="0.3">
      <c r="A645">
        <v>2020</v>
      </c>
      <c r="B645" t="s">
        <v>50</v>
      </c>
      <c r="C645" t="s">
        <v>100</v>
      </c>
      <c r="D645" t="s">
        <v>77</v>
      </c>
      <c r="E645" t="s">
        <v>88</v>
      </c>
      <c r="F645" t="s">
        <v>8</v>
      </c>
      <c r="G645">
        <v>0</v>
      </c>
    </row>
    <row r="646" spans="1:7" x14ac:dyDescent="0.3">
      <c r="A646">
        <v>2020</v>
      </c>
      <c r="B646" t="s">
        <v>33</v>
      </c>
      <c r="C646" t="s">
        <v>100</v>
      </c>
      <c r="D646" t="s">
        <v>77</v>
      </c>
      <c r="E646" t="s">
        <v>94</v>
      </c>
      <c r="F646" t="s">
        <v>8</v>
      </c>
      <c r="G646">
        <v>7</v>
      </c>
    </row>
    <row r="647" spans="1:7" x14ac:dyDescent="0.3">
      <c r="A647">
        <v>2020</v>
      </c>
      <c r="B647" t="s">
        <v>33</v>
      </c>
      <c r="C647" t="s">
        <v>100</v>
      </c>
      <c r="D647" t="s">
        <v>77</v>
      </c>
      <c r="E647" t="s">
        <v>87</v>
      </c>
      <c r="F647" t="s">
        <v>8</v>
      </c>
      <c r="G647">
        <v>1</v>
      </c>
    </row>
    <row r="648" spans="1:7" x14ac:dyDescent="0.3">
      <c r="A648">
        <v>2020</v>
      </c>
      <c r="B648" t="s">
        <v>33</v>
      </c>
      <c r="C648" t="s">
        <v>100</v>
      </c>
      <c r="D648" t="s">
        <v>77</v>
      </c>
      <c r="E648" t="s">
        <v>89</v>
      </c>
      <c r="F648" t="s">
        <v>8</v>
      </c>
      <c r="G648">
        <v>23</v>
      </c>
    </row>
    <row r="649" spans="1:7" x14ac:dyDescent="0.3">
      <c r="A649">
        <v>2020</v>
      </c>
      <c r="B649" t="s">
        <v>33</v>
      </c>
      <c r="C649" t="s">
        <v>100</v>
      </c>
      <c r="D649" t="s">
        <v>77</v>
      </c>
      <c r="E649" t="s">
        <v>88</v>
      </c>
      <c r="F649" t="s">
        <v>8</v>
      </c>
      <c r="G649">
        <v>0</v>
      </c>
    </row>
    <row r="650" spans="1:7" x14ac:dyDescent="0.3">
      <c r="A650">
        <v>2020</v>
      </c>
      <c r="B650" t="s">
        <v>34</v>
      </c>
      <c r="C650" t="s">
        <v>100</v>
      </c>
      <c r="D650" t="s">
        <v>77</v>
      </c>
      <c r="E650" t="s">
        <v>94</v>
      </c>
      <c r="F650" t="s">
        <v>8</v>
      </c>
      <c r="G650">
        <v>7</v>
      </c>
    </row>
    <row r="651" spans="1:7" x14ac:dyDescent="0.3">
      <c r="A651">
        <v>2020</v>
      </c>
      <c r="B651" t="s">
        <v>34</v>
      </c>
      <c r="C651" t="s">
        <v>100</v>
      </c>
      <c r="D651" t="s">
        <v>77</v>
      </c>
      <c r="E651" t="s">
        <v>87</v>
      </c>
      <c r="F651" t="s">
        <v>8</v>
      </c>
      <c r="G651">
        <v>3</v>
      </c>
    </row>
    <row r="652" spans="1:7" x14ac:dyDescent="0.3">
      <c r="A652">
        <v>2020</v>
      </c>
      <c r="B652" t="s">
        <v>34</v>
      </c>
      <c r="C652" t="s">
        <v>100</v>
      </c>
      <c r="D652" t="s">
        <v>77</v>
      </c>
      <c r="E652" t="s">
        <v>89</v>
      </c>
      <c r="F652" t="s">
        <v>8</v>
      </c>
      <c r="G652">
        <v>14</v>
      </c>
    </row>
    <row r="653" spans="1:7" x14ac:dyDescent="0.3">
      <c r="A653">
        <v>2020</v>
      </c>
      <c r="B653" t="s">
        <v>34</v>
      </c>
      <c r="C653" t="s">
        <v>100</v>
      </c>
      <c r="D653" t="s">
        <v>77</v>
      </c>
      <c r="E653" t="s">
        <v>88</v>
      </c>
      <c r="F653" t="s">
        <v>8</v>
      </c>
      <c r="G653">
        <v>0</v>
      </c>
    </row>
    <row r="654" spans="1:7" x14ac:dyDescent="0.3">
      <c r="A654">
        <v>2020</v>
      </c>
      <c r="B654" t="s">
        <v>35</v>
      </c>
      <c r="C654" t="s">
        <v>100</v>
      </c>
      <c r="D654" t="s">
        <v>77</v>
      </c>
      <c r="E654" t="s">
        <v>94</v>
      </c>
      <c r="F654" t="s">
        <v>8</v>
      </c>
      <c r="G654">
        <v>3</v>
      </c>
    </row>
    <row r="655" spans="1:7" x14ac:dyDescent="0.3">
      <c r="A655">
        <v>2020</v>
      </c>
      <c r="B655" t="s">
        <v>35</v>
      </c>
      <c r="C655" t="s">
        <v>100</v>
      </c>
      <c r="D655" t="s">
        <v>77</v>
      </c>
      <c r="E655" t="s">
        <v>87</v>
      </c>
      <c r="F655" t="s">
        <v>8</v>
      </c>
      <c r="G655">
        <v>6</v>
      </c>
    </row>
    <row r="656" spans="1:7" x14ac:dyDescent="0.3">
      <c r="A656">
        <v>2020</v>
      </c>
      <c r="B656" t="s">
        <v>35</v>
      </c>
      <c r="C656" t="s">
        <v>100</v>
      </c>
      <c r="D656" t="s">
        <v>77</v>
      </c>
      <c r="E656" t="s">
        <v>89</v>
      </c>
      <c r="F656" t="s">
        <v>8</v>
      </c>
      <c r="G656">
        <v>10</v>
      </c>
    </row>
    <row r="657" spans="1:7" x14ac:dyDescent="0.3">
      <c r="A657">
        <v>2020</v>
      </c>
      <c r="B657" t="s">
        <v>35</v>
      </c>
      <c r="C657" t="s">
        <v>100</v>
      </c>
      <c r="D657" t="s">
        <v>77</v>
      </c>
      <c r="E657" t="s">
        <v>88</v>
      </c>
      <c r="F657" t="s">
        <v>8</v>
      </c>
      <c r="G657">
        <v>1</v>
      </c>
    </row>
    <row r="658" spans="1:7" x14ac:dyDescent="0.3">
      <c r="A658">
        <v>2020</v>
      </c>
      <c r="B658" t="s">
        <v>36</v>
      </c>
      <c r="C658" t="s">
        <v>100</v>
      </c>
      <c r="D658" t="s">
        <v>77</v>
      </c>
      <c r="E658" t="s">
        <v>94</v>
      </c>
      <c r="F658" t="s">
        <v>8</v>
      </c>
      <c r="G658">
        <v>8</v>
      </c>
    </row>
    <row r="659" spans="1:7" x14ac:dyDescent="0.3">
      <c r="A659">
        <v>2020</v>
      </c>
      <c r="B659" t="s">
        <v>36</v>
      </c>
      <c r="C659" t="s">
        <v>100</v>
      </c>
      <c r="D659" t="s">
        <v>77</v>
      </c>
      <c r="E659" t="s">
        <v>87</v>
      </c>
      <c r="F659" t="s">
        <v>8</v>
      </c>
      <c r="G659">
        <v>2</v>
      </c>
    </row>
    <row r="660" spans="1:7" x14ac:dyDescent="0.3">
      <c r="A660">
        <v>2020</v>
      </c>
      <c r="B660" t="s">
        <v>36</v>
      </c>
      <c r="C660" t="s">
        <v>100</v>
      </c>
      <c r="D660" t="s">
        <v>77</v>
      </c>
      <c r="E660" t="s">
        <v>89</v>
      </c>
      <c r="F660" t="s">
        <v>8</v>
      </c>
      <c r="G660">
        <v>1</v>
      </c>
    </row>
    <row r="661" spans="1:7" x14ac:dyDescent="0.3">
      <c r="A661">
        <v>2020</v>
      </c>
      <c r="B661" t="s">
        <v>36</v>
      </c>
      <c r="C661" t="s">
        <v>100</v>
      </c>
      <c r="D661" t="s">
        <v>77</v>
      </c>
      <c r="E661" t="s">
        <v>88</v>
      </c>
      <c r="F661" t="s">
        <v>8</v>
      </c>
      <c r="G661">
        <v>1</v>
      </c>
    </row>
    <row r="662" spans="1:7" x14ac:dyDescent="0.3">
      <c r="A662">
        <v>2020</v>
      </c>
      <c r="B662" t="s">
        <v>53</v>
      </c>
      <c r="C662" t="s">
        <v>100</v>
      </c>
      <c r="D662" t="s">
        <v>77</v>
      </c>
      <c r="E662" t="s">
        <v>94</v>
      </c>
      <c r="F662" t="s">
        <v>8</v>
      </c>
      <c r="G662">
        <v>10</v>
      </c>
    </row>
    <row r="663" spans="1:7" x14ac:dyDescent="0.3">
      <c r="A663">
        <v>2020</v>
      </c>
      <c r="B663" t="s">
        <v>53</v>
      </c>
      <c r="C663" t="s">
        <v>100</v>
      </c>
      <c r="D663" t="s">
        <v>77</v>
      </c>
      <c r="E663" t="s">
        <v>87</v>
      </c>
      <c r="F663" t="s">
        <v>8</v>
      </c>
      <c r="G663">
        <v>15</v>
      </c>
    </row>
    <row r="664" spans="1:7" x14ac:dyDescent="0.3">
      <c r="A664">
        <v>2020</v>
      </c>
      <c r="B664" t="s">
        <v>53</v>
      </c>
      <c r="C664" t="s">
        <v>100</v>
      </c>
      <c r="D664" t="s">
        <v>77</v>
      </c>
      <c r="E664" t="s">
        <v>89</v>
      </c>
      <c r="F664" t="s">
        <v>8</v>
      </c>
      <c r="G664">
        <v>5</v>
      </c>
    </row>
    <row r="665" spans="1:7" x14ac:dyDescent="0.3">
      <c r="A665">
        <v>2020</v>
      </c>
      <c r="B665" t="s">
        <v>53</v>
      </c>
      <c r="C665" t="s">
        <v>100</v>
      </c>
      <c r="D665" t="s">
        <v>77</v>
      </c>
      <c r="E665" t="s">
        <v>88</v>
      </c>
      <c r="F665" t="s">
        <v>8</v>
      </c>
      <c r="G665">
        <v>5</v>
      </c>
    </row>
    <row r="666" spans="1:7" x14ac:dyDescent="0.3">
      <c r="A666">
        <v>2020</v>
      </c>
      <c r="B666" t="s">
        <v>37</v>
      </c>
      <c r="C666" t="s">
        <v>100</v>
      </c>
      <c r="D666" t="s">
        <v>77</v>
      </c>
      <c r="E666" t="s">
        <v>94</v>
      </c>
      <c r="F666" t="s">
        <v>8</v>
      </c>
      <c r="G666">
        <v>1</v>
      </c>
    </row>
    <row r="667" spans="1:7" x14ac:dyDescent="0.3">
      <c r="A667">
        <v>2020</v>
      </c>
      <c r="B667" t="s">
        <v>37</v>
      </c>
      <c r="C667" t="s">
        <v>100</v>
      </c>
      <c r="D667" t="s">
        <v>77</v>
      </c>
      <c r="E667" t="s">
        <v>87</v>
      </c>
      <c r="F667" t="s">
        <v>8</v>
      </c>
      <c r="G667">
        <v>1</v>
      </c>
    </row>
    <row r="668" spans="1:7" x14ac:dyDescent="0.3">
      <c r="A668">
        <v>2020</v>
      </c>
      <c r="B668" t="s">
        <v>37</v>
      </c>
      <c r="C668" t="s">
        <v>100</v>
      </c>
      <c r="D668" t="s">
        <v>77</v>
      </c>
      <c r="E668" t="s">
        <v>89</v>
      </c>
      <c r="F668" t="s">
        <v>8</v>
      </c>
      <c r="G668">
        <v>55</v>
      </c>
    </row>
    <row r="669" spans="1:7" x14ac:dyDescent="0.3">
      <c r="A669">
        <v>2020</v>
      </c>
      <c r="B669" t="s">
        <v>37</v>
      </c>
      <c r="C669" t="s">
        <v>100</v>
      </c>
      <c r="D669" t="s">
        <v>77</v>
      </c>
      <c r="E669" t="s">
        <v>88</v>
      </c>
      <c r="F669" t="s">
        <v>8</v>
      </c>
      <c r="G669">
        <v>0</v>
      </c>
    </row>
    <row r="670" spans="1:7" x14ac:dyDescent="0.3">
      <c r="A670">
        <v>2020</v>
      </c>
      <c r="B670" t="s">
        <v>39</v>
      </c>
      <c r="C670" t="s">
        <v>100</v>
      </c>
      <c r="D670" t="s">
        <v>77</v>
      </c>
      <c r="E670" t="s">
        <v>94</v>
      </c>
      <c r="F670" t="s">
        <v>8</v>
      </c>
      <c r="G670">
        <v>3</v>
      </c>
    </row>
    <row r="671" spans="1:7" x14ac:dyDescent="0.3">
      <c r="A671">
        <v>2020</v>
      </c>
      <c r="B671" t="s">
        <v>39</v>
      </c>
      <c r="C671" t="s">
        <v>100</v>
      </c>
      <c r="D671" t="s">
        <v>77</v>
      </c>
      <c r="E671" t="s">
        <v>87</v>
      </c>
      <c r="F671" t="s">
        <v>8</v>
      </c>
      <c r="G671">
        <v>2</v>
      </c>
    </row>
    <row r="672" spans="1:7" x14ac:dyDescent="0.3">
      <c r="A672">
        <v>2020</v>
      </c>
      <c r="B672" t="s">
        <v>39</v>
      </c>
      <c r="C672" t="s">
        <v>100</v>
      </c>
      <c r="D672" t="s">
        <v>77</v>
      </c>
      <c r="E672" t="s">
        <v>89</v>
      </c>
      <c r="F672" t="s">
        <v>8</v>
      </c>
      <c r="G672">
        <v>3</v>
      </c>
    </row>
    <row r="673" spans="1:7" x14ac:dyDescent="0.3">
      <c r="A673">
        <v>2020</v>
      </c>
      <c r="B673" t="s">
        <v>39</v>
      </c>
      <c r="C673" t="s">
        <v>100</v>
      </c>
      <c r="D673" t="s">
        <v>77</v>
      </c>
      <c r="E673" t="s">
        <v>88</v>
      </c>
      <c r="F673" t="s">
        <v>8</v>
      </c>
      <c r="G673">
        <v>1</v>
      </c>
    </row>
    <row r="674" spans="1:7" x14ac:dyDescent="0.3">
      <c r="A674">
        <v>2020</v>
      </c>
      <c r="B674" t="s">
        <v>40</v>
      </c>
      <c r="C674" t="s">
        <v>100</v>
      </c>
      <c r="D674" t="s">
        <v>77</v>
      </c>
      <c r="E674" t="s">
        <v>94</v>
      </c>
      <c r="F674" t="s">
        <v>8</v>
      </c>
      <c r="G674">
        <v>9</v>
      </c>
    </row>
    <row r="675" spans="1:7" x14ac:dyDescent="0.3">
      <c r="A675">
        <v>2020</v>
      </c>
      <c r="B675" t="s">
        <v>40</v>
      </c>
      <c r="C675" t="s">
        <v>100</v>
      </c>
      <c r="D675" t="s">
        <v>77</v>
      </c>
      <c r="E675" t="s">
        <v>87</v>
      </c>
      <c r="F675" t="s">
        <v>8</v>
      </c>
      <c r="G675">
        <v>6</v>
      </c>
    </row>
    <row r="676" spans="1:7" x14ac:dyDescent="0.3">
      <c r="A676">
        <v>2020</v>
      </c>
      <c r="B676" t="s">
        <v>40</v>
      </c>
      <c r="C676" t="s">
        <v>100</v>
      </c>
      <c r="D676" t="s">
        <v>77</v>
      </c>
      <c r="E676" t="s">
        <v>89</v>
      </c>
      <c r="F676" t="s">
        <v>8</v>
      </c>
      <c r="G676">
        <v>11</v>
      </c>
    </row>
    <row r="677" spans="1:7" x14ac:dyDescent="0.3">
      <c r="A677">
        <v>2020</v>
      </c>
      <c r="B677" t="s">
        <v>40</v>
      </c>
      <c r="C677" t="s">
        <v>100</v>
      </c>
      <c r="D677" t="s">
        <v>77</v>
      </c>
      <c r="E677" t="s">
        <v>88</v>
      </c>
      <c r="F677" t="s">
        <v>8</v>
      </c>
      <c r="G677">
        <v>2</v>
      </c>
    </row>
    <row r="678" spans="1:7" x14ac:dyDescent="0.3">
      <c r="A678">
        <v>2020</v>
      </c>
      <c r="B678" t="s">
        <v>41</v>
      </c>
      <c r="C678" t="s">
        <v>100</v>
      </c>
      <c r="D678" t="s">
        <v>77</v>
      </c>
      <c r="E678" t="s">
        <v>94</v>
      </c>
      <c r="F678" t="s">
        <v>8</v>
      </c>
      <c r="G678">
        <v>2</v>
      </c>
    </row>
    <row r="679" spans="1:7" x14ac:dyDescent="0.3">
      <c r="A679">
        <v>2020</v>
      </c>
      <c r="B679" t="s">
        <v>41</v>
      </c>
      <c r="C679" t="s">
        <v>100</v>
      </c>
      <c r="D679" t="s">
        <v>77</v>
      </c>
      <c r="E679" t="s">
        <v>87</v>
      </c>
      <c r="F679" t="s">
        <v>8</v>
      </c>
      <c r="G679">
        <v>2</v>
      </c>
    </row>
    <row r="680" spans="1:7" x14ac:dyDescent="0.3">
      <c r="A680">
        <v>2020</v>
      </c>
      <c r="B680" t="s">
        <v>41</v>
      </c>
      <c r="C680" t="s">
        <v>100</v>
      </c>
      <c r="D680" t="s">
        <v>77</v>
      </c>
      <c r="E680" t="s">
        <v>89</v>
      </c>
      <c r="F680" t="s">
        <v>8</v>
      </c>
      <c r="G680">
        <v>1</v>
      </c>
    </row>
    <row r="681" spans="1:7" x14ac:dyDescent="0.3">
      <c r="A681">
        <v>2020</v>
      </c>
      <c r="B681" t="s">
        <v>41</v>
      </c>
      <c r="C681" t="s">
        <v>100</v>
      </c>
      <c r="D681" t="s">
        <v>77</v>
      </c>
      <c r="E681" t="s">
        <v>88</v>
      </c>
      <c r="F681" t="s">
        <v>8</v>
      </c>
      <c r="G681">
        <v>1</v>
      </c>
    </row>
    <row r="682" spans="1:7" x14ac:dyDescent="0.3">
      <c r="A682">
        <v>2020</v>
      </c>
      <c r="B682" t="s">
        <v>42</v>
      </c>
      <c r="C682" t="s">
        <v>100</v>
      </c>
      <c r="D682" t="s">
        <v>77</v>
      </c>
      <c r="E682" t="s">
        <v>94</v>
      </c>
      <c r="F682" t="s">
        <v>8</v>
      </c>
      <c r="G682">
        <v>2</v>
      </c>
    </row>
    <row r="683" spans="1:7" x14ac:dyDescent="0.3">
      <c r="A683">
        <v>2020</v>
      </c>
      <c r="B683" t="s">
        <v>42</v>
      </c>
      <c r="C683" t="s">
        <v>100</v>
      </c>
      <c r="D683" t="s">
        <v>77</v>
      </c>
      <c r="E683" t="s">
        <v>87</v>
      </c>
      <c r="F683" t="s">
        <v>8</v>
      </c>
      <c r="G683">
        <v>2</v>
      </c>
    </row>
    <row r="684" spans="1:7" x14ac:dyDescent="0.3">
      <c r="A684">
        <v>2020</v>
      </c>
      <c r="B684" t="s">
        <v>42</v>
      </c>
      <c r="C684" t="s">
        <v>100</v>
      </c>
      <c r="D684" t="s">
        <v>77</v>
      </c>
      <c r="E684" t="s">
        <v>89</v>
      </c>
      <c r="F684" t="s">
        <v>8</v>
      </c>
      <c r="G684">
        <v>14</v>
      </c>
    </row>
    <row r="685" spans="1:7" x14ac:dyDescent="0.3">
      <c r="A685">
        <v>2020</v>
      </c>
      <c r="B685" t="s">
        <v>42</v>
      </c>
      <c r="C685" t="s">
        <v>100</v>
      </c>
      <c r="D685" t="s">
        <v>77</v>
      </c>
      <c r="E685" t="s">
        <v>88</v>
      </c>
      <c r="F685" t="s">
        <v>8</v>
      </c>
    </row>
    <row r="686" spans="1:7" x14ac:dyDescent="0.3">
      <c r="A686">
        <v>2020</v>
      </c>
      <c r="B686" t="s">
        <v>43</v>
      </c>
      <c r="C686" t="s">
        <v>100</v>
      </c>
      <c r="D686" t="s">
        <v>77</v>
      </c>
      <c r="E686" t="s">
        <v>94</v>
      </c>
      <c r="F686" t="s">
        <v>8</v>
      </c>
      <c r="G686">
        <v>9</v>
      </c>
    </row>
    <row r="687" spans="1:7" x14ac:dyDescent="0.3">
      <c r="A687">
        <v>2020</v>
      </c>
      <c r="B687" t="s">
        <v>43</v>
      </c>
      <c r="C687" t="s">
        <v>100</v>
      </c>
      <c r="D687" t="s">
        <v>77</v>
      </c>
      <c r="E687" t="s">
        <v>87</v>
      </c>
      <c r="F687" t="s">
        <v>8</v>
      </c>
      <c r="G687">
        <v>2</v>
      </c>
    </row>
    <row r="688" spans="1:7" x14ac:dyDescent="0.3">
      <c r="A688">
        <v>2020</v>
      </c>
      <c r="B688" t="s">
        <v>43</v>
      </c>
      <c r="C688" t="s">
        <v>100</v>
      </c>
      <c r="D688" t="s">
        <v>77</v>
      </c>
      <c r="E688" t="s">
        <v>89</v>
      </c>
      <c r="F688" t="s">
        <v>8</v>
      </c>
      <c r="G688">
        <v>4</v>
      </c>
    </row>
    <row r="689" spans="1:7" x14ac:dyDescent="0.3">
      <c r="A689">
        <v>2020</v>
      </c>
      <c r="B689" t="s">
        <v>43</v>
      </c>
      <c r="C689" t="s">
        <v>100</v>
      </c>
      <c r="D689" t="s">
        <v>77</v>
      </c>
      <c r="E689" t="s">
        <v>88</v>
      </c>
      <c r="F689" t="s">
        <v>8</v>
      </c>
    </row>
    <row r="690" spans="1:7" x14ac:dyDescent="0.3">
      <c r="A690">
        <v>2020</v>
      </c>
      <c r="B690" t="s">
        <v>44</v>
      </c>
      <c r="C690" t="s">
        <v>100</v>
      </c>
      <c r="D690" t="s">
        <v>77</v>
      </c>
      <c r="E690" t="s">
        <v>94</v>
      </c>
      <c r="F690" t="s">
        <v>8</v>
      </c>
      <c r="G690">
        <v>4</v>
      </c>
    </row>
    <row r="691" spans="1:7" x14ac:dyDescent="0.3">
      <c r="A691">
        <v>2020</v>
      </c>
      <c r="B691" t="s">
        <v>44</v>
      </c>
      <c r="C691" t="s">
        <v>100</v>
      </c>
      <c r="D691" t="s">
        <v>77</v>
      </c>
      <c r="E691" t="s">
        <v>87</v>
      </c>
      <c r="F691" t="s">
        <v>8</v>
      </c>
      <c r="G691">
        <v>2</v>
      </c>
    </row>
    <row r="692" spans="1:7" x14ac:dyDescent="0.3">
      <c r="A692">
        <v>2020</v>
      </c>
      <c r="B692" t="s">
        <v>44</v>
      </c>
      <c r="C692" t="s">
        <v>100</v>
      </c>
      <c r="D692" t="s">
        <v>77</v>
      </c>
      <c r="E692" t="s">
        <v>89</v>
      </c>
      <c r="F692" t="s">
        <v>8</v>
      </c>
      <c r="G692">
        <v>8</v>
      </c>
    </row>
    <row r="693" spans="1:7" x14ac:dyDescent="0.3">
      <c r="A693">
        <v>2020</v>
      </c>
      <c r="B693" t="s">
        <v>44</v>
      </c>
      <c r="C693" t="s">
        <v>100</v>
      </c>
      <c r="D693" t="s">
        <v>77</v>
      </c>
      <c r="E693" t="s">
        <v>88</v>
      </c>
      <c r="F693" t="s">
        <v>8</v>
      </c>
      <c r="G693">
        <v>3</v>
      </c>
    </row>
    <row r="694" spans="1:7" x14ac:dyDescent="0.3">
      <c r="A694">
        <v>2020</v>
      </c>
      <c r="B694" t="s">
        <v>54</v>
      </c>
      <c r="C694" t="s">
        <v>100</v>
      </c>
      <c r="D694" t="s">
        <v>77</v>
      </c>
      <c r="E694" t="s">
        <v>94</v>
      </c>
      <c r="F694" t="s">
        <v>8</v>
      </c>
      <c r="G694">
        <v>1</v>
      </c>
    </row>
    <row r="695" spans="1:7" x14ac:dyDescent="0.3">
      <c r="A695">
        <v>2020</v>
      </c>
      <c r="B695" t="s">
        <v>54</v>
      </c>
      <c r="C695" t="s">
        <v>100</v>
      </c>
      <c r="D695" t="s">
        <v>77</v>
      </c>
      <c r="E695" t="s">
        <v>87</v>
      </c>
      <c r="F695" t="s">
        <v>8</v>
      </c>
      <c r="G695">
        <v>0</v>
      </c>
    </row>
    <row r="696" spans="1:7" x14ac:dyDescent="0.3">
      <c r="A696">
        <v>2020</v>
      </c>
      <c r="B696" t="s">
        <v>54</v>
      </c>
      <c r="C696" t="s">
        <v>100</v>
      </c>
      <c r="D696" t="s">
        <v>77</v>
      </c>
      <c r="E696" t="s">
        <v>89</v>
      </c>
      <c r="F696" t="s">
        <v>8</v>
      </c>
      <c r="G696">
        <v>7</v>
      </c>
    </row>
    <row r="697" spans="1:7" x14ac:dyDescent="0.3">
      <c r="A697">
        <v>2020</v>
      </c>
      <c r="B697" t="s">
        <v>54</v>
      </c>
      <c r="C697" t="s">
        <v>100</v>
      </c>
      <c r="D697" t="s">
        <v>77</v>
      </c>
      <c r="E697" t="s">
        <v>88</v>
      </c>
      <c r="F697" t="s">
        <v>8</v>
      </c>
      <c r="G697">
        <v>1</v>
      </c>
    </row>
    <row r="698" spans="1:7" x14ac:dyDescent="0.3">
      <c r="A698">
        <v>2020</v>
      </c>
      <c r="B698" t="s">
        <v>45</v>
      </c>
      <c r="C698" t="s">
        <v>100</v>
      </c>
      <c r="D698" t="s">
        <v>77</v>
      </c>
      <c r="E698" t="s">
        <v>94</v>
      </c>
      <c r="F698" t="s">
        <v>8</v>
      </c>
      <c r="G698">
        <v>6</v>
      </c>
    </row>
    <row r="699" spans="1:7" x14ac:dyDescent="0.3">
      <c r="A699">
        <v>2020</v>
      </c>
      <c r="B699" t="s">
        <v>45</v>
      </c>
      <c r="C699" t="s">
        <v>100</v>
      </c>
      <c r="D699" t="s">
        <v>77</v>
      </c>
      <c r="E699" t="s">
        <v>87</v>
      </c>
      <c r="F699" t="s">
        <v>8</v>
      </c>
    </row>
    <row r="700" spans="1:7" x14ac:dyDescent="0.3">
      <c r="A700">
        <v>2020</v>
      </c>
      <c r="B700" t="s">
        <v>45</v>
      </c>
      <c r="C700" t="s">
        <v>100</v>
      </c>
      <c r="D700" t="s">
        <v>77</v>
      </c>
      <c r="E700" t="s">
        <v>89</v>
      </c>
      <c r="F700" t="s">
        <v>8</v>
      </c>
      <c r="G700">
        <v>12</v>
      </c>
    </row>
    <row r="701" spans="1:7" x14ac:dyDescent="0.3">
      <c r="A701">
        <v>2020</v>
      </c>
      <c r="B701" t="s">
        <v>45</v>
      </c>
      <c r="C701" t="s">
        <v>100</v>
      </c>
      <c r="D701" t="s">
        <v>77</v>
      </c>
      <c r="E701" t="s">
        <v>88</v>
      </c>
      <c r="F701" t="s">
        <v>8</v>
      </c>
    </row>
    <row r="702" spans="1:7" x14ac:dyDescent="0.3">
      <c r="A702">
        <v>2020</v>
      </c>
      <c r="B702" t="s">
        <v>46</v>
      </c>
      <c r="C702" t="s">
        <v>100</v>
      </c>
      <c r="D702" t="s">
        <v>77</v>
      </c>
      <c r="E702" t="s">
        <v>94</v>
      </c>
      <c r="F702" t="s">
        <v>8</v>
      </c>
      <c r="G702">
        <v>2</v>
      </c>
    </row>
    <row r="703" spans="1:7" x14ac:dyDescent="0.3">
      <c r="A703">
        <v>2020</v>
      </c>
      <c r="B703" t="s">
        <v>46</v>
      </c>
      <c r="C703" t="s">
        <v>100</v>
      </c>
      <c r="D703" t="s">
        <v>77</v>
      </c>
      <c r="E703" t="s">
        <v>87</v>
      </c>
      <c r="F703" t="s">
        <v>8</v>
      </c>
    </row>
    <row r="704" spans="1:7" x14ac:dyDescent="0.3">
      <c r="A704">
        <v>2020</v>
      </c>
      <c r="B704" t="s">
        <v>46</v>
      </c>
      <c r="C704" t="s">
        <v>100</v>
      </c>
      <c r="D704" t="s">
        <v>77</v>
      </c>
      <c r="E704" t="s">
        <v>89</v>
      </c>
      <c r="F704" t="s">
        <v>8</v>
      </c>
      <c r="G704">
        <v>2</v>
      </c>
    </row>
    <row r="705" spans="1:7" x14ac:dyDescent="0.3">
      <c r="A705">
        <v>2020</v>
      </c>
      <c r="B705" t="s">
        <v>46</v>
      </c>
      <c r="C705" t="s">
        <v>100</v>
      </c>
      <c r="D705" t="s">
        <v>77</v>
      </c>
      <c r="E705" t="s">
        <v>88</v>
      </c>
      <c r="F705" t="s">
        <v>8</v>
      </c>
    </row>
    <row r="706" spans="1:7" x14ac:dyDescent="0.3">
      <c r="A706">
        <v>2020</v>
      </c>
      <c r="B706" t="s">
        <v>47</v>
      </c>
      <c r="C706" t="s">
        <v>100</v>
      </c>
      <c r="D706" t="s">
        <v>77</v>
      </c>
      <c r="E706" t="s">
        <v>94</v>
      </c>
      <c r="F706" t="s">
        <v>8</v>
      </c>
    </row>
    <row r="707" spans="1:7" x14ac:dyDescent="0.3">
      <c r="A707">
        <v>2020</v>
      </c>
      <c r="B707" t="s">
        <v>47</v>
      </c>
      <c r="C707" t="s">
        <v>100</v>
      </c>
      <c r="D707" t="s">
        <v>77</v>
      </c>
      <c r="E707" t="s">
        <v>87</v>
      </c>
      <c r="F707" t="s">
        <v>8</v>
      </c>
      <c r="G707">
        <v>1</v>
      </c>
    </row>
    <row r="708" spans="1:7" x14ac:dyDescent="0.3">
      <c r="A708">
        <v>2020</v>
      </c>
      <c r="B708" t="s">
        <v>47</v>
      </c>
      <c r="C708" t="s">
        <v>100</v>
      </c>
      <c r="D708" t="s">
        <v>77</v>
      </c>
      <c r="E708" t="s">
        <v>89</v>
      </c>
      <c r="F708" t="s">
        <v>8</v>
      </c>
      <c r="G708">
        <v>9</v>
      </c>
    </row>
    <row r="709" spans="1:7" x14ac:dyDescent="0.3">
      <c r="A709">
        <v>2020</v>
      </c>
      <c r="B709" t="s">
        <v>47</v>
      </c>
      <c r="C709" t="s">
        <v>100</v>
      </c>
      <c r="D709" t="s">
        <v>77</v>
      </c>
      <c r="E709" t="s">
        <v>88</v>
      </c>
      <c r="F709" t="s">
        <v>8</v>
      </c>
      <c r="G709">
        <v>3</v>
      </c>
    </row>
    <row r="710" spans="1:7" x14ac:dyDescent="0.3">
      <c r="A710">
        <v>2020</v>
      </c>
      <c r="B710" t="s">
        <v>55</v>
      </c>
      <c r="C710" t="s">
        <v>100</v>
      </c>
      <c r="D710" t="s">
        <v>77</v>
      </c>
      <c r="E710" t="s">
        <v>94</v>
      </c>
      <c r="F710" t="s">
        <v>8</v>
      </c>
      <c r="G710">
        <v>0</v>
      </c>
    </row>
    <row r="711" spans="1:7" x14ac:dyDescent="0.3">
      <c r="A711">
        <v>2020</v>
      </c>
      <c r="B711" t="s">
        <v>55</v>
      </c>
      <c r="C711" t="s">
        <v>100</v>
      </c>
      <c r="D711" t="s">
        <v>77</v>
      </c>
      <c r="E711" t="s">
        <v>87</v>
      </c>
      <c r="F711" t="s">
        <v>8</v>
      </c>
      <c r="G711">
        <v>1</v>
      </c>
    </row>
    <row r="712" spans="1:7" x14ac:dyDescent="0.3">
      <c r="A712">
        <v>2020</v>
      </c>
      <c r="B712" t="s">
        <v>55</v>
      </c>
      <c r="C712" t="s">
        <v>100</v>
      </c>
      <c r="D712" t="s">
        <v>77</v>
      </c>
      <c r="E712" t="s">
        <v>89</v>
      </c>
      <c r="F712" t="s">
        <v>8</v>
      </c>
      <c r="G712">
        <v>14</v>
      </c>
    </row>
    <row r="713" spans="1:7" x14ac:dyDescent="0.3">
      <c r="A713">
        <v>2020</v>
      </c>
      <c r="B713" t="s">
        <v>55</v>
      </c>
      <c r="C713" t="s">
        <v>100</v>
      </c>
      <c r="D713" t="s">
        <v>77</v>
      </c>
      <c r="E713" t="s">
        <v>88</v>
      </c>
      <c r="F713" t="s">
        <v>8</v>
      </c>
      <c r="G713">
        <v>0</v>
      </c>
    </row>
    <row r="714" spans="1:7" x14ac:dyDescent="0.3">
      <c r="A714">
        <v>2020</v>
      </c>
      <c r="B714" t="s">
        <v>48</v>
      </c>
      <c r="C714" t="s">
        <v>100</v>
      </c>
      <c r="D714" t="s">
        <v>77</v>
      </c>
      <c r="E714" t="s">
        <v>94</v>
      </c>
      <c r="F714" t="s">
        <v>8</v>
      </c>
      <c r="G714">
        <v>1</v>
      </c>
    </row>
    <row r="715" spans="1:7" x14ac:dyDescent="0.3">
      <c r="A715">
        <v>2020</v>
      </c>
      <c r="B715" t="s">
        <v>48</v>
      </c>
      <c r="C715" t="s">
        <v>100</v>
      </c>
      <c r="D715" t="s">
        <v>77</v>
      </c>
      <c r="E715" t="s">
        <v>87</v>
      </c>
      <c r="F715" t="s">
        <v>8</v>
      </c>
      <c r="G715">
        <v>2</v>
      </c>
    </row>
    <row r="716" spans="1:7" x14ac:dyDescent="0.3">
      <c r="A716">
        <v>2020</v>
      </c>
      <c r="B716" t="s">
        <v>48</v>
      </c>
      <c r="C716" t="s">
        <v>100</v>
      </c>
      <c r="D716" t="s">
        <v>77</v>
      </c>
      <c r="E716" t="s">
        <v>89</v>
      </c>
      <c r="F716" t="s">
        <v>8</v>
      </c>
      <c r="G716">
        <v>10</v>
      </c>
    </row>
    <row r="717" spans="1:7" x14ac:dyDescent="0.3">
      <c r="A717">
        <v>2020</v>
      </c>
      <c r="B717" t="s">
        <v>48</v>
      </c>
      <c r="C717" t="s">
        <v>100</v>
      </c>
      <c r="D717" t="s">
        <v>77</v>
      </c>
      <c r="E717" t="s">
        <v>88</v>
      </c>
      <c r="F717" t="s">
        <v>8</v>
      </c>
      <c r="G717">
        <v>1</v>
      </c>
    </row>
    <row r="718" spans="1:7" x14ac:dyDescent="0.3">
      <c r="A718">
        <v>2020</v>
      </c>
      <c r="B718" t="s">
        <v>56</v>
      </c>
      <c r="C718" t="s">
        <v>100</v>
      </c>
      <c r="D718" t="s">
        <v>77</v>
      </c>
      <c r="E718" t="s">
        <v>94</v>
      </c>
      <c r="F718" t="s">
        <v>8</v>
      </c>
    </row>
    <row r="719" spans="1:7" x14ac:dyDescent="0.3">
      <c r="A719">
        <v>2020</v>
      </c>
      <c r="B719" t="s">
        <v>56</v>
      </c>
      <c r="C719" t="s">
        <v>100</v>
      </c>
      <c r="D719" t="s">
        <v>77</v>
      </c>
      <c r="E719" t="s">
        <v>87</v>
      </c>
      <c r="F719" t="s">
        <v>8</v>
      </c>
      <c r="G719">
        <v>23</v>
      </c>
    </row>
    <row r="720" spans="1:7" x14ac:dyDescent="0.3">
      <c r="A720">
        <v>2020</v>
      </c>
      <c r="B720" t="s">
        <v>56</v>
      </c>
      <c r="C720" t="s">
        <v>100</v>
      </c>
      <c r="D720" t="s">
        <v>77</v>
      </c>
      <c r="E720" t="s">
        <v>89</v>
      </c>
      <c r="F720" t="s">
        <v>8</v>
      </c>
      <c r="G720">
        <v>17</v>
      </c>
    </row>
    <row r="721" spans="1:7" x14ac:dyDescent="0.3">
      <c r="A721">
        <v>2020</v>
      </c>
      <c r="B721" t="s">
        <v>56</v>
      </c>
      <c r="C721" t="s">
        <v>100</v>
      </c>
      <c r="D721" t="s">
        <v>77</v>
      </c>
      <c r="E721" t="s">
        <v>88</v>
      </c>
      <c r="F721" t="s">
        <v>8</v>
      </c>
      <c r="G721">
        <v>5</v>
      </c>
    </row>
    <row r="722" spans="1:7" x14ac:dyDescent="0.3">
      <c r="A722">
        <v>2020</v>
      </c>
      <c r="B722" t="s">
        <v>49</v>
      </c>
      <c r="C722" t="s">
        <v>100</v>
      </c>
      <c r="D722" t="s">
        <v>77</v>
      </c>
      <c r="E722" t="s">
        <v>94</v>
      </c>
      <c r="F722" t="s">
        <v>8</v>
      </c>
      <c r="G722">
        <v>5</v>
      </c>
    </row>
    <row r="723" spans="1:7" x14ac:dyDescent="0.3">
      <c r="A723">
        <v>2020</v>
      </c>
      <c r="B723" t="s">
        <v>49</v>
      </c>
      <c r="C723" t="s">
        <v>100</v>
      </c>
      <c r="D723" t="s">
        <v>77</v>
      </c>
      <c r="E723" t="s">
        <v>87</v>
      </c>
      <c r="F723" t="s">
        <v>8</v>
      </c>
      <c r="G723">
        <v>3</v>
      </c>
    </row>
    <row r="724" spans="1:7" x14ac:dyDescent="0.3">
      <c r="A724">
        <v>2020</v>
      </c>
      <c r="B724" t="s">
        <v>49</v>
      </c>
      <c r="C724" t="s">
        <v>100</v>
      </c>
      <c r="D724" t="s">
        <v>77</v>
      </c>
      <c r="E724" t="s">
        <v>89</v>
      </c>
      <c r="F724" t="s">
        <v>8</v>
      </c>
      <c r="G724">
        <v>6</v>
      </c>
    </row>
    <row r="725" spans="1:7" x14ac:dyDescent="0.3">
      <c r="A725">
        <v>2020</v>
      </c>
      <c r="B725" t="s">
        <v>49</v>
      </c>
      <c r="C725" t="s">
        <v>100</v>
      </c>
      <c r="D725" t="s">
        <v>77</v>
      </c>
      <c r="E725" t="s">
        <v>88</v>
      </c>
      <c r="F725" t="s">
        <v>8</v>
      </c>
      <c r="G725">
        <v>0</v>
      </c>
    </row>
    <row r="726" spans="1:7" x14ac:dyDescent="0.3">
      <c r="A726">
        <v>2020</v>
      </c>
      <c r="B726" t="s">
        <v>57</v>
      </c>
      <c r="C726" t="s">
        <v>100</v>
      </c>
      <c r="D726" t="s">
        <v>77</v>
      </c>
      <c r="E726" t="s">
        <v>94</v>
      </c>
      <c r="F726" t="s">
        <v>8</v>
      </c>
      <c r="G726">
        <v>1</v>
      </c>
    </row>
    <row r="727" spans="1:7" x14ac:dyDescent="0.3">
      <c r="A727">
        <v>2020</v>
      </c>
      <c r="B727" t="s">
        <v>57</v>
      </c>
      <c r="C727" t="s">
        <v>100</v>
      </c>
      <c r="D727" t="s">
        <v>77</v>
      </c>
      <c r="E727" t="s">
        <v>87</v>
      </c>
      <c r="F727" t="s">
        <v>8</v>
      </c>
      <c r="G727">
        <v>4</v>
      </c>
    </row>
    <row r="728" spans="1:7" x14ac:dyDescent="0.3">
      <c r="A728">
        <v>2020</v>
      </c>
      <c r="B728" t="s">
        <v>57</v>
      </c>
      <c r="C728" t="s">
        <v>100</v>
      </c>
      <c r="D728" t="s">
        <v>77</v>
      </c>
      <c r="E728" t="s">
        <v>89</v>
      </c>
      <c r="F728" t="s">
        <v>8</v>
      </c>
      <c r="G728">
        <v>12</v>
      </c>
    </row>
    <row r="729" spans="1:7" x14ac:dyDescent="0.3">
      <c r="A729">
        <v>2020</v>
      </c>
      <c r="B729" t="s">
        <v>57</v>
      </c>
      <c r="C729" t="s">
        <v>100</v>
      </c>
      <c r="D729" t="s">
        <v>77</v>
      </c>
      <c r="E729" t="s">
        <v>88</v>
      </c>
      <c r="F729" t="s">
        <v>8</v>
      </c>
      <c r="G729">
        <v>1</v>
      </c>
    </row>
    <row r="730" spans="1:7" x14ac:dyDescent="0.3">
      <c r="A730">
        <v>2020</v>
      </c>
      <c r="B730" t="s">
        <v>23</v>
      </c>
      <c r="C730" t="s">
        <v>100</v>
      </c>
      <c r="D730" t="s">
        <v>77</v>
      </c>
      <c r="E730" t="s">
        <v>94</v>
      </c>
      <c r="F730" t="s">
        <v>8</v>
      </c>
      <c r="G730">
        <v>9</v>
      </c>
    </row>
    <row r="731" spans="1:7" x14ac:dyDescent="0.3">
      <c r="A731">
        <v>2020</v>
      </c>
      <c r="B731" t="s">
        <v>23</v>
      </c>
      <c r="C731" t="s">
        <v>100</v>
      </c>
      <c r="D731" t="s">
        <v>77</v>
      </c>
      <c r="E731" t="s">
        <v>87</v>
      </c>
      <c r="F731" t="s">
        <v>8</v>
      </c>
      <c r="G731">
        <v>0</v>
      </c>
    </row>
    <row r="732" spans="1:7" x14ac:dyDescent="0.3">
      <c r="A732">
        <v>2020</v>
      </c>
      <c r="B732" t="s">
        <v>23</v>
      </c>
      <c r="C732" t="s">
        <v>100</v>
      </c>
      <c r="D732" t="s">
        <v>77</v>
      </c>
      <c r="E732" t="s">
        <v>89</v>
      </c>
      <c r="F732" t="s">
        <v>8</v>
      </c>
      <c r="G732">
        <v>43</v>
      </c>
    </row>
    <row r="733" spans="1:7" x14ac:dyDescent="0.3">
      <c r="A733">
        <v>2020</v>
      </c>
      <c r="B733" t="s">
        <v>23</v>
      </c>
      <c r="C733" t="s">
        <v>100</v>
      </c>
      <c r="D733" t="s">
        <v>77</v>
      </c>
      <c r="E733" t="s">
        <v>88</v>
      </c>
      <c r="F733" t="s">
        <v>8</v>
      </c>
      <c r="G733">
        <v>3</v>
      </c>
    </row>
    <row r="734" spans="1:7" x14ac:dyDescent="0.3">
      <c r="A734">
        <v>2020</v>
      </c>
      <c r="B734" t="s">
        <v>38</v>
      </c>
      <c r="C734" t="s">
        <v>100</v>
      </c>
      <c r="D734" t="s">
        <v>77</v>
      </c>
      <c r="E734" t="s">
        <v>94</v>
      </c>
      <c r="F734" t="s">
        <v>8</v>
      </c>
    </row>
    <row r="735" spans="1:7" x14ac:dyDescent="0.3">
      <c r="A735">
        <v>2020</v>
      </c>
      <c r="B735" t="s">
        <v>38</v>
      </c>
      <c r="C735" t="s">
        <v>100</v>
      </c>
      <c r="D735" t="s">
        <v>77</v>
      </c>
      <c r="E735" t="s">
        <v>87</v>
      </c>
      <c r="F735" t="s">
        <v>8</v>
      </c>
    </row>
    <row r="736" spans="1:7" x14ac:dyDescent="0.3">
      <c r="A736">
        <v>2020</v>
      </c>
      <c r="B736" t="s">
        <v>38</v>
      </c>
      <c r="C736" t="s">
        <v>100</v>
      </c>
      <c r="D736" t="s">
        <v>77</v>
      </c>
      <c r="E736" t="s">
        <v>89</v>
      </c>
      <c r="F736" t="s">
        <v>8</v>
      </c>
    </row>
    <row r="737" spans="1:7" x14ac:dyDescent="0.3">
      <c r="A737">
        <v>2020</v>
      </c>
      <c r="B737" t="s">
        <v>38</v>
      </c>
      <c r="C737" t="s">
        <v>100</v>
      </c>
      <c r="D737" t="s">
        <v>77</v>
      </c>
      <c r="E737" t="s">
        <v>88</v>
      </c>
      <c r="F737" t="s">
        <v>8</v>
      </c>
      <c r="G737">
        <v>6</v>
      </c>
    </row>
    <row r="738" spans="1:7" x14ac:dyDescent="0.3">
      <c r="A738">
        <v>2021</v>
      </c>
      <c r="B738" t="s">
        <v>12</v>
      </c>
      <c r="C738" t="s">
        <v>11</v>
      </c>
      <c r="D738" t="s">
        <v>191</v>
      </c>
      <c r="E738" t="s">
        <v>94</v>
      </c>
      <c r="F738" t="s">
        <v>7</v>
      </c>
      <c r="G738">
        <v>11</v>
      </c>
    </row>
    <row r="739" spans="1:7" x14ac:dyDescent="0.3">
      <c r="A739">
        <v>2021</v>
      </c>
      <c r="B739" t="s">
        <v>12</v>
      </c>
      <c r="C739" t="s">
        <v>11</v>
      </c>
      <c r="D739" t="s">
        <v>191</v>
      </c>
      <c r="E739" t="s">
        <v>87</v>
      </c>
      <c r="F739" t="s">
        <v>7</v>
      </c>
      <c r="G739">
        <v>17</v>
      </c>
    </row>
    <row r="740" spans="1:7" x14ac:dyDescent="0.3">
      <c r="A740">
        <v>2021</v>
      </c>
      <c r="B740" t="s">
        <v>12</v>
      </c>
      <c r="C740" t="s">
        <v>11</v>
      </c>
      <c r="D740" t="s">
        <v>191</v>
      </c>
      <c r="E740" t="s">
        <v>89</v>
      </c>
      <c r="F740" t="s">
        <v>7</v>
      </c>
      <c r="G740">
        <v>10</v>
      </c>
    </row>
    <row r="741" spans="1:7" x14ac:dyDescent="0.3">
      <c r="A741">
        <v>2021</v>
      </c>
      <c r="B741" t="s">
        <v>12</v>
      </c>
      <c r="C741" t="s">
        <v>11</v>
      </c>
      <c r="D741" t="s">
        <v>191</v>
      </c>
      <c r="E741" t="s">
        <v>88</v>
      </c>
      <c r="F741" t="s">
        <v>7</v>
      </c>
      <c r="G741">
        <v>1</v>
      </c>
    </row>
    <row r="742" spans="1:7" x14ac:dyDescent="0.3">
      <c r="A742">
        <v>2021</v>
      </c>
      <c r="B742" t="s">
        <v>13</v>
      </c>
      <c r="C742" t="s">
        <v>11</v>
      </c>
      <c r="D742" t="s">
        <v>192</v>
      </c>
      <c r="E742" t="s">
        <v>94</v>
      </c>
      <c r="F742" t="s">
        <v>7</v>
      </c>
      <c r="G742">
        <v>13</v>
      </c>
    </row>
    <row r="743" spans="1:7" x14ac:dyDescent="0.3">
      <c r="A743">
        <v>2021</v>
      </c>
      <c r="B743" t="s">
        <v>13</v>
      </c>
      <c r="C743" t="s">
        <v>11</v>
      </c>
      <c r="D743" t="s">
        <v>192</v>
      </c>
      <c r="E743" t="s">
        <v>87</v>
      </c>
      <c r="F743" t="s">
        <v>7</v>
      </c>
      <c r="G743">
        <v>24</v>
      </c>
    </row>
    <row r="744" spans="1:7" x14ac:dyDescent="0.3">
      <c r="A744">
        <v>2021</v>
      </c>
      <c r="B744" t="s">
        <v>13</v>
      </c>
      <c r="C744" t="s">
        <v>11</v>
      </c>
      <c r="D744" t="s">
        <v>192</v>
      </c>
      <c r="E744" t="s">
        <v>89</v>
      </c>
      <c r="F744" t="s">
        <v>7</v>
      </c>
      <c r="G744">
        <v>9</v>
      </c>
    </row>
    <row r="745" spans="1:7" x14ac:dyDescent="0.3">
      <c r="A745">
        <v>2021</v>
      </c>
      <c r="B745" t="s">
        <v>13</v>
      </c>
      <c r="C745" t="s">
        <v>11</v>
      </c>
      <c r="D745" t="s">
        <v>192</v>
      </c>
      <c r="E745" t="s">
        <v>88</v>
      </c>
      <c r="F745" t="s">
        <v>7</v>
      </c>
      <c r="G745">
        <v>1</v>
      </c>
    </row>
    <row r="746" spans="1:7" x14ac:dyDescent="0.3">
      <c r="A746">
        <v>2021</v>
      </c>
      <c r="B746" t="s">
        <v>14</v>
      </c>
      <c r="C746" t="s">
        <v>11</v>
      </c>
      <c r="D746" t="s">
        <v>193</v>
      </c>
      <c r="E746" t="s">
        <v>94</v>
      </c>
      <c r="F746" t="s">
        <v>7</v>
      </c>
      <c r="G746">
        <v>2</v>
      </c>
    </row>
    <row r="747" spans="1:7" x14ac:dyDescent="0.3">
      <c r="A747">
        <v>2021</v>
      </c>
      <c r="B747" t="s">
        <v>14</v>
      </c>
      <c r="C747" t="s">
        <v>11</v>
      </c>
      <c r="D747" t="s">
        <v>193</v>
      </c>
      <c r="E747" t="s">
        <v>87</v>
      </c>
      <c r="F747" t="s">
        <v>7</v>
      </c>
      <c r="G747">
        <v>5</v>
      </c>
    </row>
    <row r="748" spans="1:7" x14ac:dyDescent="0.3">
      <c r="A748">
        <v>2021</v>
      </c>
      <c r="B748" t="s">
        <v>14</v>
      </c>
      <c r="C748" t="s">
        <v>11</v>
      </c>
      <c r="D748" t="s">
        <v>193</v>
      </c>
      <c r="E748" t="s">
        <v>89</v>
      </c>
      <c r="F748" t="s">
        <v>7</v>
      </c>
      <c r="G748">
        <v>6</v>
      </c>
    </row>
    <row r="749" spans="1:7" x14ac:dyDescent="0.3">
      <c r="A749">
        <v>2021</v>
      </c>
      <c r="B749" t="s">
        <v>14</v>
      </c>
      <c r="C749" t="s">
        <v>11</v>
      </c>
      <c r="D749" t="s">
        <v>193</v>
      </c>
      <c r="E749" t="s">
        <v>88</v>
      </c>
      <c r="F749" t="s">
        <v>7</v>
      </c>
      <c r="G749">
        <v>3</v>
      </c>
    </row>
    <row r="750" spans="1:7" x14ac:dyDescent="0.3">
      <c r="A750">
        <v>2021</v>
      </c>
      <c r="B750" t="s">
        <v>15</v>
      </c>
      <c r="C750" t="s">
        <v>11</v>
      </c>
      <c r="D750" t="s">
        <v>194</v>
      </c>
      <c r="E750" t="s">
        <v>94</v>
      </c>
      <c r="F750" t="s">
        <v>7</v>
      </c>
      <c r="G750">
        <v>19</v>
      </c>
    </row>
    <row r="751" spans="1:7" x14ac:dyDescent="0.3">
      <c r="A751">
        <v>2021</v>
      </c>
      <c r="B751" t="s">
        <v>15</v>
      </c>
      <c r="C751" t="s">
        <v>11</v>
      </c>
      <c r="D751" t="s">
        <v>194</v>
      </c>
      <c r="E751" t="s">
        <v>87</v>
      </c>
      <c r="F751" t="s">
        <v>7</v>
      </c>
      <c r="G751">
        <v>23</v>
      </c>
    </row>
    <row r="752" spans="1:7" x14ac:dyDescent="0.3">
      <c r="A752">
        <v>2021</v>
      </c>
      <c r="B752" t="s">
        <v>15</v>
      </c>
      <c r="C752" t="s">
        <v>11</v>
      </c>
      <c r="D752" t="s">
        <v>194</v>
      </c>
      <c r="E752" t="s">
        <v>89</v>
      </c>
      <c r="F752" t="s">
        <v>7</v>
      </c>
      <c r="G752">
        <v>4</v>
      </c>
    </row>
    <row r="753" spans="1:7" x14ac:dyDescent="0.3">
      <c r="A753">
        <v>2021</v>
      </c>
      <c r="B753" t="s">
        <v>15</v>
      </c>
      <c r="C753" t="s">
        <v>11</v>
      </c>
      <c r="D753" t="s">
        <v>194</v>
      </c>
      <c r="E753" t="s">
        <v>88</v>
      </c>
      <c r="F753" t="s">
        <v>7</v>
      </c>
      <c r="G753">
        <v>0</v>
      </c>
    </row>
    <row r="754" spans="1:7" x14ac:dyDescent="0.3">
      <c r="A754">
        <v>2021</v>
      </c>
      <c r="B754" t="s">
        <v>16</v>
      </c>
      <c r="C754" t="s">
        <v>11</v>
      </c>
      <c r="D754" t="s">
        <v>195</v>
      </c>
      <c r="E754" t="s">
        <v>94</v>
      </c>
      <c r="F754" t="s">
        <v>7</v>
      </c>
      <c r="G754">
        <v>17</v>
      </c>
    </row>
    <row r="755" spans="1:7" x14ac:dyDescent="0.3">
      <c r="A755">
        <v>2021</v>
      </c>
      <c r="B755" t="s">
        <v>16</v>
      </c>
      <c r="C755" t="s">
        <v>11</v>
      </c>
      <c r="D755" t="s">
        <v>195</v>
      </c>
      <c r="E755" t="s">
        <v>87</v>
      </c>
      <c r="F755" t="s">
        <v>7</v>
      </c>
      <c r="G755">
        <v>20</v>
      </c>
    </row>
    <row r="756" spans="1:7" x14ac:dyDescent="0.3">
      <c r="A756">
        <v>2021</v>
      </c>
      <c r="B756" t="s">
        <v>16</v>
      </c>
      <c r="C756" t="s">
        <v>11</v>
      </c>
      <c r="D756" t="s">
        <v>195</v>
      </c>
      <c r="E756" t="s">
        <v>89</v>
      </c>
      <c r="F756" t="s">
        <v>7</v>
      </c>
      <c r="G756">
        <v>6</v>
      </c>
    </row>
    <row r="757" spans="1:7" x14ac:dyDescent="0.3">
      <c r="A757">
        <v>2021</v>
      </c>
      <c r="B757" t="s">
        <v>16</v>
      </c>
      <c r="C757" t="s">
        <v>11</v>
      </c>
      <c r="D757" t="s">
        <v>195</v>
      </c>
      <c r="E757" t="s">
        <v>88</v>
      </c>
      <c r="F757" t="s">
        <v>7</v>
      </c>
      <c r="G757">
        <v>1</v>
      </c>
    </row>
    <row r="758" spans="1:7" x14ac:dyDescent="0.3">
      <c r="A758">
        <v>2021</v>
      </c>
      <c r="B758" t="s">
        <v>17</v>
      </c>
      <c r="C758" t="s">
        <v>11</v>
      </c>
      <c r="D758" t="s">
        <v>196</v>
      </c>
      <c r="E758" t="s">
        <v>94</v>
      </c>
      <c r="F758" t="s">
        <v>7</v>
      </c>
      <c r="G758">
        <v>15</v>
      </c>
    </row>
    <row r="759" spans="1:7" x14ac:dyDescent="0.3">
      <c r="A759">
        <v>2021</v>
      </c>
      <c r="B759" t="s">
        <v>17</v>
      </c>
      <c r="C759" t="s">
        <v>11</v>
      </c>
      <c r="D759" t="s">
        <v>196</v>
      </c>
      <c r="E759" t="s">
        <v>87</v>
      </c>
      <c r="F759" t="s">
        <v>7</v>
      </c>
      <c r="G759">
        <v>8</v>
      </c>
    </row>
    <row r="760" spans="1:7" x14ac:dyDescent="0.3">
      <c r="A760">
        <v>2021</v>
      </c>
      <c r="B760" t="s">
        <v>17</v>
      </c>
      <c r="C760" t="s">
        <v>11</v>
      </c>
      <c r="D760" t="s">
        <v>196</v>
      </c>
      <c r="E760" t="s">
        <v>89</v>
      </c>
      <c r="F760" t="s">
        <v>7</v>
      </c>
      <c r="G760">
        <v>1</v>
      </c>
    </row>
    <row r="761" spans="1:7" x14ac:dyDescent="0.3">
      <c r="A761">
        <v>2021</v>
      </c>
      <c r="B761" t="s">
        <v>17</v>
      </c>
      <c r="C761" t="s">
        <v>11</v>
      </c>
      <c r="D761" t="s">
        <v>196</v>
      </c>
      <c r="E761" t="s">
        <v>88</v>
      </c>
      <c r="F761" t="s">
        <v>7</v>
      </c>
      <c r="G761">
        <v>0</v>
      </c>
    </row>
    <row r="762" spans="1:7" x14ac:dyDescent="0.3">
      <c r="A762">
        <v>2021</v>
      </c>
      <c r="B762" t="s">
        <v>18</v>
      </c>
      <c r="C762" t="s">
        <v>11</v>
      </c>
      <c r="D762" t="s">
        <v>197</v>
      </c>
      <c r="E762" t="s">
        <v>94</v>
      </c>
      <c r="F762" t="s">
        <v>7</v>
      </c>
      <c r="G762">
        <v>7</v>
      </c>
    </row>
    <row r="763" spans="1:7" x14ac:dyDescent="0.3">
      <c r="A763">
        <v>2021</v>
      </c>
      <c r="B763" t="s">
        <v>18</v>
      </c>
      <c r="C763" t="s">
        <v>11</v>
      </c>
      <c r="D763" t="s">
        <v>197</v>
      </c>
      <c r="E763" t="s">
        <v>87</v>
      </c>
      <c r="F763" t="s">
        <v>7</v>
      </c>
      <c r="G763">
        <v>0</v>
      </c>
    </row>
    <row r="764" spans="1:7" x14ac:dyDescent="0.3">
      <c r="A764">
        <v>2021</v>
      </c>
      <c r="B764" t="s">
        <v>18</v>
      </c>
      <c r="C764" t="s">
        <v>11</v>
      </c>
      <c r="D764" t="s">
        <v>197</v>
      </c>
      <c r="E764" t="s">
        <v>89</v>
      </c>
      <c r="F764" t="s">
        <v>7</v>
      </c>
      <c r="G764">
        <v>5</v>
      </c>
    </row>
    <row r="765" spans="1:7" x14ac:dyDescent="0.3">
      <c r="A765">
        <v>2021</v>
      </c>
      <c r="B765" t="s">
        <v>18</v>
      </c>
      <c r="C765" t="s">
        <v>11</v>
      </c>
      <c r="D765" t="s">
        <v>197</v>
      </c>
      <c r="E765" t="s">
        <v>88</v>
      </c>
      <c r="F765" t="s">
        <v>7</v>
      </c>
      <c r="G765">
        <v>0</v>
      </c>
    </row>
    <row r="766" spans="1:7" x14ac:dyDescent="0.3">
      <c r="A766">
        <v>2021</v>
      </c>
      <c r="B766" t="s">
        <v>19</v>
      </c>
      <c r="C766" t="s">
        <v>11</v>
      </c>
      <c r="D766" t="s">
        <v>198</v>
      </c>
      <c r="E766" t="s">
        <v>94</v>
      </c>
      <c r="F766" t="s">
        <v>7</v>
      </c>
      <c r="G766">
        <v>21</v>
      </c>
    </row>
    <row r="767" spans="1:7" x14ac:dyDescent="0.3">
      <c r="A767">
        <v>2021</v>
      </c>
      <c r="B767" t="s">
        <v>19</v>
      </c>
      <c r="C767" t="s">
        <v>11</v>
      </c>
      <c r="D767" t="s">
        <v>198</v>
      </c>
      <c r="E767" t="s">
        <v>87</v>
      </c>
      <c r="F767" t="s">
        <v>7</v>
      </c>
      <c r="G767">
        <v>2</v>
      </c>
    </row>
    <row r="768" spans="1:7" x14ac:dyDescent="0.3">
      <c r="A768">
        <v>2021</v>
      </c>
      <c r="B768" t="s">
        <v>19</v>
      </c>
      <c r="C768" t="s">
        <v>11</v>
      </c>
      <c r="D768" t="s">
        <v>198</v>
      </c>
      <c r="E768" t="s">
        <v>89</v>
      </c>
      <c r="F768" t="s">
        <v>7</v>
      </c>
      <c r="G768">
        <v>2</v>
      </c>
    </row>
    <row r="769" spans="1:7" x14ac:dyDescent="0.3">
      <c r="A769">
        <v>2021</v>
      </c>
      <c r="B769" t="s">
        <v>19</v>
      </c>
      <c r="C769" t="s">
        <v>11</v>
      </c>
      <c r="D769" t="s">
        <v>198</v>
      </c>
      <c r="E769" t="s">
        <v>88</v>
      </c>
      <c r="F769" t="s">
        <v>7</v>
      </c>
      <c r="G769">
        <v>0</v>
      </c>
    </row>
    <row r="770" spans="1:7" x14ac:dyDescent="0.3">
      <c r="A770">
        <v>2021</v>
      </c>
      <c r="B770" t="s">
        <v>20</v>
      </c>
      <c r="C770" t="s">
        <v>11</v>
      </c>
      <c r="D770" t="s">
        <v>199</v>
      </c>
      <c r="E770" t="s">
        <v>94</v>
      </c>
      <c r="F770" t="s">
        <v>7</v>
      </c>
      <c r="G770">
        <v>31</v>
      </c>
    </row>
    <row r="771" spans="1:7" x14ac:dyDescent="0.3">
      <c r="A771">
        <v>2021</v>
      </c>
      <c r="B771" t="s">
        <v>20</v>
      </c>
      <c r="C771" t="s">
        <v>11</v>
      </c>
      <c r="D771" t="s">
        <v>199</v>
      </c>
      <c r="E771" t="s">
        <v>87</v>
      </c>
      <c r="F771" t="s">
        <v>7</v>
      </c>
      <c r="G771">
        <v>9</v>
      </c>
    </row>
    <row r="772" spans="1:7" x14ac:dyDescent="0.3">
      <c r="A772">
        <v>2021</v>
      </c>
      <c r="B772" t="s">
        <v>20</v>
      </c>
      <c r="C772" t="s">
        <v>11</v>
      </c>
      <c r="D772" t="s">
        <v>199</v>
      </c>
      <c r="E772" t="s">
        <v>89</v>
      </c>
      <c r="F772" t="s">
        <v>7</v>
      </c>
      <c r="G772">
        <v>4</v>
      </c>
    </row>
    <row r="773" spans="1:7" x14ac:dyDescent="0.3">
      <c r="A773">
        <v>2021</v>
      </c>
      <c r="B773" t="s">
        <v>20</v>
      </c>
      <c r="C773" t="s">
        <v>11</v>
      </c>
      <c r="D773" t="s">
        <v>199</v>
      </c>
      <c r="E773" t="s">
        <v>88</v>
      </c>
      <c r="F773" t="s">
        <v>7</v>
      </c>
      <c r="G773">
        <v>0</v>
      </c>
    </row>
    <row r="774" spans="1:7" x14ac:dyDescent="0.3">
      <c r="A774">
        <v>2021</v>
      </c>
      <c r="B774" t="s">
        <v>21</v>
      </c>
      <c r="C774" t="s">
        <v>11</v>
      </c>
      <c r="D774" t="s">
        <v>200</v>
      </c>
      <c r="E774" t="s">
        <v>94</v>
      </c>
      <c r="F774" t="s">
        <v>7</v>
      </c>
      <c r="G774">
        <v>49</v>
      </c>
    </row>
    <row r="775" spans="1:7" x14ac:dyDescent="0.3">
      <c r="A775">
        <v>2021</v>
      </c>
      <c r="B775" t="s">
        <v>21</v>
      </c>
      <c r="C775" t="s">
        <v>11</v>
      </c>
      <c r="D775" t="s">
        <v>200</v>
      </c>
      <c r="E775" t="s">
        <v>87</v>
      </c>
      <c r="F775" t="s">
        <v>7</v>
      </c>
      <c r="G775">
        <v>25</v>
      </c>
    </row>
    <row r="776" spans="1:7" x14ac:dyDescent="0.3">
      <c r="A776">
        <v>2021</v>
      </c>
      <c r="B776" t="s">
        <v>21</v>
      </c>
      <c r="C776" t="s">
        <v>11</v>
      </c>
      <c r="D776" t="s">
        <v>200</v>
      </c>
      <c r="E776" t="s">
        <v>89</v>
      </c>
      <c r="F776" t="s">
        <v>7</v>
      </c>
      <c r="G776">
        <v>7</v>
      </c>
    </row>
    <row r="777" spans="1:7" x14ac:dyDescent="0.3">
      <c r="A777">
        <v>2021</v>
      </c>
      <c r="B777" t="s">
        <v>21</v>
      </c>
      <c r="C777" t="s">
        <v>11</v>
      </c>
      <c r="D777" t="s">
        <v>200</v>
      </c>
      <c r="E777" t="s">
        <v>88</v>
      </c>
      <c r="F777" t="s">
        <v>7</v>
      </c>
      <c r="G777">
        <v>0</v>
      </c>
    </row>
    <row r="778" spans="1:7" x14ac:dyDescent="0.3">
      <c r="A778">
        <v>2021</v>
      </c>
      <c r="B778" t="s">
        <v>22</v>
      </c>
      <c r="C778" t="s">
        <v>11</v>
      </c>
      <c r="D778" t="s">
        <v>201</v>
      </c>
      <c r="E778" t="s">
        <v>94</v>
      </c>
      <c r="F778" t="s">
        <v>7</v>
      </c>
      <c r="G778">
        <v>57</v>
      </c>
    </row>
    <row r="779" spans="1:7" x14ac:dyDescent="0.3">
      <c r="A779">
        <v>2021</v>
      </c>
      <c r="B779" t="s">
        <v>22</v>
      </c>
      <c r="C779" t="s">
        <v>11</v>
      </c>
      <c r="D779" t="s">
        <v>201</v>
      </c>
      <c r="E779" t="s">
        <v>87</v>
      </c>
      <c r="F779" t="s">
        <v>7</v>
      </c>
      <c r="G779">
        <v>35</v>
      </c>
    </row>
    <row r="780" spans="1:7" x14ac:dyDescent="0.3">
      <c r="A780">
        <v>2021</v>
      </c>
      <c r="B780" t="s">
        <v>22</v>
      </c>
      <c r="C780" t="s">
        <v>11</v>
      </c>
      <c r="D780" t="s">
        <v>201</v>
      </c>
      <c r="E780" t="s">
        <v>89</v>
      </c>
      <c r="F780" t="s">
        <v>7</v>
      </c>
      <c r="G780">
        <v>13</v>
      </c>
    </row>
    <row r="781" spans="1:7" x14ac:dyDescent="0.3">
      <c r="A781">
        <v>2021</v>
      </c>
      <c r="B781" t="s">
        <v>22</v>
      </c>
      <c r="C781" t="s">
        <v>11</v>
      </c>
      <c r="D781" t="s">
        <v>201</v>
      </c>
      <c r="E781" t="s">
        <v>88</v>
      </c>
      <c r="F781" t="s">
        <v>7</v>
      </c>
      <c r="G781">
        <v>0</v>
      </c>
    </row>
    <row r="782" spans="1:7" x14ac:dyDescent="0.3">
      <c r="A782">
        <v>2021</v>
      </c>
      <c r="B782" t="s">
        <v>23</v>
      </c>
      <c r="C782" t="s">
        <v>11</v>
      </c>
      <c r="D782" t="s">
        <v>202</v>
      </c>
      <c r="E782" t="s">
        <v>94</v>
      </c>
      <c r="F782" t="s">
        <v>7</v>
      </c>
      <c r="G782">
        <v>44</v>
      </c>
    </row>
    <row r="783" spans="1:7" x14ac:dyDescent="0.3">
      <c r="A783">
        <v>2021</v>
      </c>
      <c r="B783" t="s">
        <v>23</v>
      </c>
      <c r="C783" t="s">
        <v>11</v>
      </c>
      <c r="D783" t="s">
        <v>202</v>
      </c>
      <c r="E783" t="s">
        <v>87</v>
      </c>
      <c r="F783" t="s">
        <v>7</v>
      </c>
      <c r="G783">
        <v>12</v>
      </c>
    </row>
    <row r="784" spans="1:7" x14ac:dyDescent="0.3">
      <c r="A784">
        <v>2021</v>
      </c>
      <c r="B784" t="s">
        <v>23</v>
      </c>
      <c r="C784" t="s">
        <v>11</v>
      </c>
      <c r="D784" t="s">
        <v>202</v>
      </c>
      <c r="E784" t="s">
        <v>89</v>
      </c>
      <c r="F784" t="s">
        <v>7</v>
      </c>
      <c r="G784">
        <v>34</v>
      </c>
    </row>
    <row r="785" spans="1:7" x14ac:dyDescent="0.3">
      <c r="A785">
        <v>2021</v>
      </c>
      <c r="B785" t="s">
        <v>23</v>
      </c>
      <c r="C785" t="s">
        <v>11</v>
      </c>
      <c r="D785" t="s">
        <v>202</v>
      </c>
      <c r="E785" t="s">
        <v>88</v>
      </c>
      <c r="F785" t="s">
        <v>7</v>
      </c>
      <c r="G785">
        <v>3</v>
      </c>
    </row>
    <row r="786" spans="1:7" x14ac:dyDescent="0.3">
      <c r="A786">
        <v>2021</v>
      </c>
      <c r="B786" t="s">
        <v>24</v>
      </c>
      <c r="C786" t="s">
        <v>11</v>
      </c>
      <c r="D786" t="s">
        <v>203</v>
      </c>
      <c r="E786" t="s">
        <v>94</v>
      </c>
      <c r="F786" t="s">
        <v>7</v>
      </c>
      <c r="G786">
        <v>28</v>
      </c>
    </row>
    <row r="787" spans="1:7" x14ac:dyDescent="0.3">
      <c r="A787">
        <v>2021</v>
      </c>
      <c r="B787" t="s">
        <v>24</v>
      </c>
      <c r="C787" t="s">
        <v>11</v>
      </c>
      <c r="D787" t="s">
        <v>203</v>
      </c>
      <c r="E787" t="s">
        <v>87</v>
      </c>
      <c r="F787" t="s">
        <v>7</v>
      </c>
      <c r="G787">
        <v>1</v>
      </c>
    </row>
    <row r="788" spans="1:7" x14ac:dyDescent="0.3">
      <c r="A788">
        <v>2021</v>
      </c>
      <c r="B788" t="s">
        <v>24</v>
      </c>
      <c r="C788" t="s">
        <v>11</v>
      </c>
      <c r="D788" t="s">
        <v>203</v>
      </c>
      <c r="E788" t="s">
        <v>89</v>
      </c>
      <c r="F788" t="s">
        <v>7</v>
      </c>
      <c r="G788">
        <v>9</v>
      </c>
    </row>
    <row r="789" spans="1:7" x14ac:dyDescent="0.3">
      <c r="A789">
        <v>2021</v>
      </c>
      <c r="B789" t="s">
        <v>24</v>
      </c>
      <c r="C789" t="s">
        <v>11</v>
      </c>
      <c r="D789" t="s">
        <v>203</v>
      </c>
      <c r="E789" t="s">
        <v>88</v>
      </c>
      <c r="F789" t="s">
        <v>7</v>
      </c>
      <c r="G789">
        <v>0</v>
      </c>
    </row>
    <row r="790" spans="1:7" x14ac:dyDescent="0.3">
      <c r="A790">
        <v>2021</v>
      </c>
      <c r="B790" t="s">
        <v>25</v>
      </c>
      <c r="C790" t="s">
        <v>11</v>
      </c>
      <c r="D790" t="s">
        <v>204</v>
      </c>
      <c r="E790" t="s">
        <v>94</v>
      </c>
      <c r="F790" t="s">
        <v>7</v>
      </c>
      <c r="G790">
        <v>3</v>
      </c>
    </row>
    <row r="791" spans="1:7" x14ac:dyDescent="0.3">
      <c r="A791">
        <v>2021</v>
      </c>
      <c r="B791" t="s">
        <v>25</v>
      </c>
      <c r="C791" t="s">
        <v>11</v>
      </c>
      <c r="D791" t="s">
        <v>204</v>
      </c>
      <c r="E791" t="s">
        <v>87</v>
      </c>
      <c r="F791" t="s">
        <v>7</v>
      </c>
      <c r="G791">
        <v>2</v>
      </c>
    </row>
    <row r="792" spans="1:7" x14ac:dyDescent="0.3">
      <c r="A792">
        <v>2021</v>
      </c>
      <c r="B792" t="s">
        <v>25</v>
      </c>
      <c r="C792" t="s">
        <v>11</v>
      </c>
      <c r="D792" t="s">
        <v>204</v>
      </c>
      <c r="E792" t="s">
        <v>89</v>
      </c>
      <c r="F792" t="s">
        <v>7</v>
      </c>
      <c r="G792">
        <v>4</v>
      </c>
    </row>
    <row r="793" spans="1:7" x14ac:dyDescent="0.3">
      <c r="A793">
        <v>2021</v>
      </c>
      <c r="B793" t="s">
        <v>25</v>
      </c>
      <c r="C793" t="s">
        <v>11</v>
      </c>
      <c r="D793" t="s">
        <v>204</v>
      </c>
      <c r="E793" t="s">
        <v>88</v>
      </c>
      <c r="F793" t="s">
        <v>7</v>
      </c>
      <c r="G793">
        <v>2</v>
      </c>
    </row>
    <row r="794" spans="1:7" x14ac:dyDescent="0.3">
      <c r="A794">
        <v>2021</v>
      </c>
      <c r="B794" t="s">
        <v>26</v>
      </c>
      <c r="C794" t="s">
        <v>11</v>
      </c>
      <c r="D794" t="s">
        <v>205</v>
      </c>
      <c r="E794" t="s">
        <v>94</v>
      </c>
      <c r="F794" t="s">
        <v>7</v>
      </c>
      <c r="G794">
        <v>56</v>
      </c>
    </row>
    <row r="795" spans="1:7" x14ac:dyDescent="0.3">
      <c r="A795">
        <v>2021</v>
      </c>
      <c r="B795" t="s">
        <v>26</v>
      </c>
      <c r="C795" t="s">
        <v>11</v>
      </c>
      <c r="D795" t="s">
        <v>205</v>
      </c>
      <c r="E795" t="s">
        <v>87</v>
      </c>
      <c r="F795" t="s">
        <v>7</v>
      </c>
      <c r="G795">
        <v>35</v>
      </c>
    </row>
    <row r="796" spans="1:7" x14ac:dyDescent="0.3">
      <c r="A796">
        <v>2021</v>
      </c>
      <c r="B796" t="s">
        <v>26</v>
      </c>
      <c r="C796" t="s">
        <v>11</v>
      </c>
      <c r="D796" t="s">
        <v>205</v>
      </c>
      <c r="E796" t="s">
        <v>89</v>
      </c>
      <c r="F796" t="s">
        <v>7</v>
      </c>
      <c r="G796">
        <v>14</v>
      </c>
    </row>
    <row r="797" spans="1:7" x14ac:dyDescent="0.3">
      <c r="A797">
        <v>2021</v>
      </c>
      <c r="B797" t="s">
        <v>26</v>
      </c>
      <c r="C797" t="s">
        <v>11</v>
      </c>
      <c r="D797" t="s">
        <v>205</v>
      </c>
      <c r="E797" t="s">
        <v>88</v>
      </c>
      <c r="F797" t="s">
        <v>7</v>
      </c>
      <c r="G797">
        <v>0</v>
      </c>
    </row>
    <row r="798" spans="1:7" x14ac:dyDescent="0.3">
      <c r="A798">
        <v>2021</v>
      </c>
      <c r="B798" t="s">
        <v>27</v>
      </c>
      <c r="C798" t="s">
        <v>11</v>
      </c>
      <c r="D798" t="s">
        <v>206</v>
      </c>
      <c r="E798" t="s">
        <v>94</v>
      </c>
      <c r="F798" t="s">
        <v>7</v>
      </c>
      <c r="G798">
        <v>28</v>
      </c>
    </row>
    <row r="799" spans="1:7" x14ac:dyDescent="0.3">
      <c r="A799">
        <v>2021</v>
      </c>
      <c r="B799" t="s">
        <v>27</v>
      </c>
      <c r="C799" t="s">
        <v>11</v>
      </c>
      <c r="D799" t="s">
        <v>206</v>
      </c>
      <c r="E799" t="s">
        <v>87</v>
      </c>
      <c r="F799" t="s">
        <v>7</v>
      </c>
      <c r="G799">
        <v>12</v>
      </c>
    </row>
    <row r="800" spans="1:7" x14ac:dyDescent="0.3">
      <c r="A800">
        <v>2021</v>
      </c>
      <c r="B800" t="s">
        <v>27</v>
      </c>
      <c r="C800" t="s">
        <v>11</v>
      </c>
      <c r="D800" t="s">
        <v>206</v>
      </c>
      <c r="E800" t="s">
        <v>89</v>
      </c>
      <c r="F800" t="s">
        <v>7</v>
      </c>
      <c r="G800">
        <v>4</v>
      </c>
    </row>
    <row r="801" spans="1:7" x14ac:dyDescent="0.3">
      <c r="A801">
        <v>2021</v>
      </c>
      <c r="B801" t="s">
        <v>27</v>
      </c>
      <c r="C801" t="s">
        <v>11</v>
      </c>
      <c r="D801" t="s">
        <v>206</v>
      </c>
      <c r="E801" t="s">
        <v>88</v>
      </c>
      <c r="F801" t="s">
        <v>7</v>
      </c>
      <c r="G801">
        <v>0</v>
      </c>
    </row>
    <row r="802" spans="1:7" x14ac:dyDescent="0.3">
      <c r="A802">
        <v>2021</v>
      </c>
      <c r="B802" t="s">
        <v>58</v>
      </c>
      <c r="C802" t="s">
        <v>51</v>
      </c>
      <c r="D802" t="s">
        <v>207</v>
      </c>
      <c r="E802" t="s">
        <v>94</v>
      </c>
      <c r="F802" t="s">
        <v>7</v>
      </c>
      <c r="G802">
        <v>0</v>
      </c>
    </row>
    <row r="803" spans="1:7" x14ac:dyDescent="0.3">
      <c r="A803">
        <v>2021</v>
      </c>
      <c r="B803" t="s">
        <v>58</v>
      </c>
      <c r="C803" t="s">
        <v>51</v>
      </c>
      <c r="D803" t="s">
        <v>207</v>
      </c>
      <c r="E803" t="s">
        <v>87</v>
      </c>
      <c r="F803" t="s">
        <v>7</v>
      </c>
      <c r="G803">
        <v>214</v>
      </c>
    </row>
    <row r="804" spans="1:7" x14ac:dyDescent="0.3">
      <c r="A804">
        <v>2021</v>
      </c>
      <c r="B804" t="s">
        <v>58</v>
      </c>
      <c r="C804" t="s">
        <v>51</v>
      </c>
      <c r="D804" t="s">
        <v>207</v>
      </c>
      <c r="E804" t="s">
        <v>89</v>
      </c>
      <c r="F804" t="s">
        <v>7</v>
      </c>
      <c r="G804">
        <v>51</v>
      </c>
    </row>
    <row r="805" spans="1:7" x14ac:dyDescent="0.3">
      <c r="A805">
        <v>2021</v>
      </c>
      <c r="B805" t="s">
        <v>58</v>
      </c>
      <c r="C805" t="s">
        <v>51</v>
      </c>
      <c r="D805" t="s">
        <v>207</v>
      </c>
      <c r="E805" t="s">
        <v>88</v>
      </c>
      <c r="F805" t="s">
        <v>7</v>
      </c>
      <c r="G805">
        <v>1</v>
      </c>
    </row>
    <row r="806" spans="1:7" x14ac:dyDescent="0.3">
      <c r="A806">
        <v>2021</v>
      </c>
      <c r="B806" t="s">
        <v>52</v>
      </c>
      <c r="C806" t="s">
        <v>51</v>
      </c>
      <c r="D806" t="s">
        <v>208</v>
      </c>
      <c r="E806" t="s">
        <v>94</v>
      </c>
      <c r="F806" t="s">
        <v>7</v>
      </c>
      <c r="G806">
        <v>0</v>
      </c>
    </row>
    <row r="807" spans="1:7" x14ac:dyDescent="0.3">
      <c r="A807">
        <v>2021</v>
      </c>
      <c r="B807" t="s">
        <v>52</v>
      </c>
      <c r="C807" t="s">
        <v>51</v>
      </c>
      <c r="D807" t="s">
        <v>208</v>
      </c>
      <c r="E807" t="s">
        <v>87</v>
      </c>
      <c r="F807" t="s">
        <v>7</v>
      </c>
      <c r="G807">
        <v>62</v>
      </c>
    </row>
    <row r="808" spans="1:7" x14ac:dyDescent="0.3">
      <c r="A808">
        <v>2021</v>
      </c>
      <c r="B808" t="s">
        <v>52</v>
      </c>
      <c r="C808" t="s">
        <v>51</v>
      </c>
      <c r="D808" t="s">
        <v>208</v>
      </c>
      <c r="E808" t="s">
        <v>89</v>
      </c>
      <c r="F808" t="s">
        <v>7</v>
      </c>
      <c r="G808">
        <v>5</v>
      </c>
    </row>
    <row r="809" spans="1:7" x14ac:dyDescent="0.3">
      <c r="A809">
        <v>2021</v>
      </c>
      <c r="B809" t="s">
        <v>52</v>
      </c>
      <c r="C809" t="s">
        <v>51</v>
      </c>
      <c r="D809" t="s">
        <v>208</v>
      </c>
      <c r="E809" t="s">
        <v>88</v>
      </c>
      <c r="F809" t="s">
        <v>7</v>
      </c>
      <c r="G809">
        <v>0</v>
      </c>
    </row>
    <row r="810" spans="1:7" x14ac:dyDescent="0.3">
      <c r="A810">
        <v>2021</v>
      </c>
      <c r="B810" t="s">
        <v>28</v>
      </c>
      <c r="C810" t="s">
        <v>11</v>
      </c>
      <c r="D810" t="s">
        <v>209</v>
      </c>
      <c r="E810" t="s">
        <v>94</v>
      </c>
      <c r="F810" t="s">
        <v>7</v>
      </c>
      <c r="G810">
        <v>82</v>
      </c>
    </row>
    <row r="811" spans="1:7" x14ac:dyDescent="0.3">
      <c r="A811">
        <v>2021</v>
      </c>
      <c r="B811" t="s">
        <v>28</v>
      </c>
      <c r="C811" t="s">
        <v>11</v>
      </c>
      <c r="D811" t="s">
        <v>209</v>
      </c>
      <c r="E811" t="s">
        <v>87</v>
      </c>
      <c r="F811" t="s">
        <v>7</v>
      </c>
      <c r="G811">
        <v>86</v>
      </c>
    </row>
    <row r="812" spans="1:7" x14ac:dyDescent="0.3">
      <c r="A812">
        <v>2021</v>
      </c>
      <c r="B812" t="s">
        <v>28</v>
      </c>
      <c r="C812" t="s">
        <v>11</v>
      </c>
      <c r="D812" t="s">
        <v>209</v>
      </c>
      <c r="E812" t="s">
        <v>89</v>
      </c>
      <c r="F812" t="s">
        <v>7</v>
      </c>
      <c r="G812">
        <v>61</v>
      </c>
    </row>
    <row r="813" spans="1:7" x14ac:dyDescent="0.3">
      <c r="A813">
        <v>2021</v>
      </c>
      <c r="B813" t="s">
        <v>28</v>
      </c>
      <c r="C813" t="s">
        <v>11</v>
      </c>
      <c r="D813" t="s">
        <v>209</v>
      </c>
      <c r="E813" t="s">
        <v>88</v>
      </c>
      <c r="F813" t="s">
        <v>7</v>
      </c>
      <c r="G813">
        <v>1</v>
      </c>
    </row>
    <row r="814" spans="1:7" x14ac:dyDescent="0.3">
      <c r="A814">
        <v>2021</v>
      </c>
      <c r="B814" t="s">
        <v>29</v>
      </c>
      <c r="C814" t="s">
        <v>11</v>
      </c>
      <c r="D814" t="s">
        <v>210</v>
      </c>
      <c r="E814" t="s">
        <v>94</v>
      </c>
      <c r="F814" t="s">
        <v>7</v>
      </c>
      <c r="G814">
        <v>32</v>
      </c>
    </row>
    <row r="815" spans="1:7" x14ac:dyDescent="0.3">
      <c r="A815">
        <v>2021</v>
      </c>
      <c r="B815" t="s">
        <v>29</v>
      </c>
      <c r="C815" t="s">
        <v>11</v>
      </c>
      <c r="D815" t="s">
        <v>210</v>
      </c>
      <c r="E815" t="s">
        <v>87</v>
      </c>
      <c r="F815" t="s">
        <v>7</v>
      </c>
      <c r="G815">
        <v>25</v>
      </c>
    </row>
    <row r="816" spans="1:7" x14ac:dyDescent="0.3">
      <c r="A816">
        <v>2021</v>
      </c>
      <c r="B816" t="s">
        <v>29</v>
      </c>
      <c r="C816" t="s">
        <v>11</v>
      </c>
      <c r="D816" t="s">
        <v>210</v>
      </c>
      <c r="E816" t="s">
        <v>89</v>
      </c>
      <c r="F816" t="s">
        <v>7</v>
      </c>
      <c r="G816">
        <v>7</v>
      </c>
    </row>
    <row r="817" spans="1:7" x14ac:dyDescent="0.3">
      <c r="A817">
        <v>2021</v>
      </c>
      <c r="B817" t="s">
        <v>29</v>
      </c>
      <c r="C817" t="s">
        <v>11</v>
      </c>
      <c r="D817" t="s">
        <v>210</v>
      </c>
      <c r="E817" t="s">
        <v>88</v>
      </c>
      <c r="F817" t="s">
        <v>7</v>
      </c>
      <c r="G817">
        <v>0</v>
      </c>
    </row>
    <row r="818" spans="1:7" x14ac:dyDescent="0.3">
      <c r="A818">
        <v>2021</v>
      </c>
      <c r="B818" t="s">
        <v>30</v>
      </c>
      <c r="C818" t="s">
        <v>11</v>
      </c>
      <c r="D818" t="s">
        <v>211</v>
      </c>
      <c r="E818" t="s">
        <v>94</v>
      </c>
      <c r="F818" t="s">
        <v>7</v>
      </c>
      <c r="G818">
        <v>24</v>
      </c>
    </row>
    <row r="819" spans="1:7" x14ac:dyDescent="0.3">
      <c r="A819">
        <v>2021</v>
      </c>
      <c r="B819" t="s">
        <v>30</v>
      </c>
      <c r="C819" t="s">
        <v>11</v>
      </c>
      <c r="D819" t="s">
        <v>211</v>
      </c>
      <c r="E819" t="s">
        <v>87</v>
      </c>
      <c r="F819" t="s">
        <v>7</v>
      </c>
      <c r="G819">
        <v>22</v>
      </c>
    </row>
    <row r="820" spans="1:7" x14ac:dyDescent="0.3">
      <c r="A820">
        <v>2021</v>
      </c>
      <c r="B820" t="s">
        <v>30</v>
      </c>
      <c r="C820" t="s">
        <v>11</v>
      </c>
      <c r="D820" t="s">
        <v>211</v>
      </c>
      <c r="E820" t="s">
        <v>89</v>
      </c>
      <c r="F820" t="s">
        <v>7</v>
      </c>
      <c r="G820">
        <v>15</v>
      </c>
    </row>
    <row r="821" spans="1:7" x14ac:dyDescent="0.3">
      <c r="A821">
        <v>2021</v>
      </c>
      <c r="B821" t="s">
        <v>30</v>
      </c>
      <c r="C821" t="s">
        <v>11</v>
      </c>
      <c r="D821" t="s">
        <v>211</v>
      </c>
      <c r="E821" t="s">
        <v>88</v>
      </c>
      <c r="F821" t="s">
        <v>7</v>
      </c>
      <c r="G821">
        <v>3</v>
      </c>
    </row>
    <row r="822" spans="1:7" x14ac:dyDescent="0.3">
      <c r="A822">
        <v>2021</v>
      </c>
      <c r="B822" t="s">
        <v>31</v>
      </c>
      <c r="C822" t="s">
        <v>11</v>
      </c>
      <c r="D822" t="s">
        <v>212</v>
      </c>
      <c r="E822" t="s">
        <v>94</v>
      </c>
      <c r="F822" t="s">
        <v>7</v>
      </c>
      <c r="G822">
        <v>21</v>
      </c>
    </row>
    <row r="823" spans="1:7" x14ac:dyDescent="0.3">
      <c r="A823">
        <v>2021</v>
      </c>
      <c r="B823" t="s">
        <v>31</v>
      </c>
      <c r="C823" t="s">
        <v>11</v>
      </c>
      <c r="D823" t="s">
        <v>212</v>
      </c>
      <c r="E823" t="s">
        <v>87</v>
      </c>
      <c r="F823" t="s">
        <v>7</v>
      </c>
      <c r="G823">
        <v>0</v>
      </c>
    </row>
    <row r="824" spans="1:7" x14ac:dyDescent="0.3">
      <c r="A824">
        <v>2021</v>
      </c>
      <c r="B824" t="s">
        <v>31</v>
      </c>
      <c r="C824" t="s">
        <v>11</v>
      </c>
      <c r="D824" t="s">
        <v>212</v>
      </c>
      <c r="E824" t="s">
        <v>89</v>
      </c>
      <c r="F824" t="s">
        <v>7</v>
      </c>
      <c r="G824">
        <v>2</v>
      </c>
    </row>
    <row r="825" spans="1:7" x14ac:dyDescent="0.3">
      <c r="A825">
        <v>2021</v>
      </c>
      <c r="B825" t="s">
        <v>31</v>
      </c>
      <c r="C825" t="s">
        <v>11</v>
      </c>
      <c r="D825" t="s">
        <v>212</v>
      </c>
      <c r="E825" t="s">
        <v>88</v>
      </c>
      <c r="F825" t="s">
        <v>7</v>
      </c>
      <c r="G825">
        <v>0</v>
      </c>
    </row>
    <row r="826" spans="1:7" x14ac:dyDescent="0.3">
      <c r="A826">
        <v>2021</v>
      </c>
      <c r="B826" t="s">
        <v>32</v>
      </c>
      <c r="C826" t="s">
        <v>11</v>
      </c>
      <c r="D826" t="s">
        <v>213</v>
      </c>
      <c r="E826" t="s">
        <v>94</v>
      </c>
      <c r="F826" t="s">
        <v>7</v>
      </c>
      <c r="G826">
        <v>0</v>
      </c>
    </row>
    <row r="827" spans="1:7" x14ac:dyDescent="0.3">
      <c r="A827">
        <v>2021</v>
      </c>
      <c r="B827" t="s">
        <v>32</v>
      </c>
      <c r="C827" t="s">
        <v>11</v>
      </c>
      <c r="D827" t="s">
        <v>213</v>
      </c>
      <c r="E827" t="s">
        <v>87</v>
      </c>
      <c r="F827" t="s">
        <v>7</v>
      </c>
      <c r="G827">
        <v>1</v>
      </c>
    </row>
    <row r="828" spans="1:7" x14ac:dyDescent="0.3">
      <c r="A828">
        <v>2021</v>
      </c>
      <c r="B828" t="s">
        <v>32</v>
      </c>
      <c r="C828" t="s">
        <v>11</v>
      </c>
      <c r="D828" t="s">
        <v>213</v>
      </c>
      <c r="E828" t="s">
        <v>89</v>
      </c>
      <c r="F828" t="s">
        <v>7</v>
      </c>
      <c r="G828">
        <v>0</v>
      </c>
    </row>
    <row r="829" spans="1:7" x14ac:dyDescent="0.3">
      <c r="A829">
        <v>2021</v>
      </c>
      <c r="B829" t="s">
        <v>32</v>
      </c>
      <c r="C829" t="s">
        <v>11</v>
      </c>
      <c r="D829" t="s">
        <v>213</v>
      </c>
      <c r="E829" t="s">
        <v>88</v>
      </c>
      <c r="F829" t="s">
        <v>7</v>
      </c>
      <c r="G829">
        <v>0</v>
      </c>
    </row>
    <row r="830" spans="1:7" x14ac:dyDescent="0.3">
      <c r="A830">
        <v>2021</v>
      </c>
      <c r="B830" t="s">
        <v>214</v>
      </c>
      <c r="C830" t="s">
        <v>11</v>
      </c>
      <c r="D830" t="s">
        <v>215</v>
      </c>
      <c r="E830" t="s">
        <v>94</v>
      </c>
      <c r="F830" t="s">
        <v>7</v>
      </c>
      <c r="G830">
        <v>4</v>
      </c>
    </row>
    <row r="831" spans="1:7" x14ac:dyDescent="0.3">
      <c r="A831">
        <v>2021</v>
      </c>
      <c r="B831" t="s">
        <v>214</v>
      </c>
      <c r="C831" t="s">
        <v>11</v>
      </c>
      <c r="D831" t="s">
        <v>215</v>
      </c>
      <c r="E831" t="s">
        <v>87</v>
      </c>
      <c r="F831" t="s">
        <v>7</v>
      </c>
      <c r="G831">
        <v>0</v>
      </c>
    </row>
    <row r="832" spans="1:7" x14ac:dyDescent="0.3">
      <c r="A832">
        <v>2021</v>
      </c>
      <c r="B832" t="s">
        <v>214</v>
      </c>
      <c r="C832" t="s">
        <v>11</v>
      </c>
      <c r="D832" t="s">
        <v>215</v>
      </c>
      <c r="E832" t="s">
        <v>89</v>
      </c>
      <c r="F832" t="s">
        <v>7</v>
      </c>
      <c r="G832">
        <v>0</v>
      </c>
    </row>
    <row r="833" spans="1:7" x14ac:dyDescent="0.3">
      <c r="A833">
        <v>2021</v>
      </c>
      <c r="B833" t="s">
        <v>214</v>
      </c>
      <c r="C833" t="s">
        <v>11</v>
      </c>
      <c r="D833" t="s">
        <v>215</v>
      </c>
      <c r="E833" t="s">
        <v>88</v>
      </c>
      <c r="F833" t="s">
        <v>7</v>
      </c>
      <c r="G833">
        <v>0</v>
      </c>
    </row>
    <row r="834" spans="1:7" x14ac:dyDescent="0.3">
      <c r="A834">
        <v>2021</v>
      </c>
      <c r="B834" t="s">
        <v>33</v>
      </c>
      <c r="C834" t="s">
        <v>11</v>
      </c>
      <c r="D834" t="s">
        <v>216</v>
      </c>
      <c r="E834" t="s">
        <v>94</v>
      </c>
      <c r="F834" t="s">
        <v>7</v>
      </c>
      <c r="G834">
        <v>17</v>
      </c>
    </row>
    <row r="835" spans="1:7" x14ac:dyDescent="0.3">
      <c r="A835">
        <v>2021</v>
      </c>
      <c r="B835" t="s">
        <v>33</v>
      </c>
      <c r="C835" t="s">
        <v>11</v>
      </c>
      <c r="D835" t="s">
        <v>216</v>
      </c>
      <c r="E835" t="s">
        <v>87</v>
      </c>
      <c r="F835" t="s">
        <v>7</v>
      </c>
      <c r="G835">
        <v>12</v>
      </c>
    </row>
    <row r="836" spans="1:7" x14ac:dyDescent="0.3">
      <c r="A836">
        <v>2021</v>
      </c>
      <c r="B836" t="s">
        <v>33</v>
      </c>
      <c r="C836" t="s">
        <v>11</v>
      </c>
      <c r="D836" t="s">
        <v>216</v>
      </c>
      <c r="E836" t="s">
        <v>89</v>
      </c>
      <c r="F836" t="s">
        <v>7</v>
      </c>
      <c r="G836">
        <v>21</v>
      </c>
    </row>
    <row r="837" spans="1:7" x14ac:dyDescent="0.3">
      <c r="A837">
        <v>2021</v>
      </c>
      <c r="B837" t="s">
        <v>33</v>
      </c>
      <c r="C837" t="s">
        <v>11</v>
      </c>
      <c r="D837" t="s">
        <v>216</v>
      </c>
      <c r="E837" t="s">
        <v>88</v>
      </c>
      <c r="F837" t="s">
        <v>7</v>
      </c>
      <c r="G837">
        <v>0</v>
      </c>
    </row>
    <row r="838" spans="1:7" x14ac:dyDescent="0.3">
      <c r="A838">
        <v>2021</v>
      </c>
      <c r="B838" t="s">
        <v>34</v>
      </c>
      <c r="C838" t="s">
        <v>11</v>
      </c>
      <c r="D838" t="s">
        <v>217</v>
      </c>
      <c r="E838" t="s">
        <v>94</v>
      </c>
      <c r="F838" t="s">
        <v>7</v>
      </c>
      <c r="G838">
        <v>49</v>
      </c>
    </row>
    <row r="839" spans="1:7" x14ac:dyDescent="0.3">
      <c r="A839">
        <v>2021</v>
      </c>
      <c r="B839" t="s">
        <v>34</v>
      </c>
      <c r="C839" t="s">
        <v>11</v>
      </c>
      <c r="D839" t="s">
        <v>217</v>
      </c>
      <c r="E839" t="s">
        <v>87</v>
      </c>
      <c r="F839" t="s">
        <v>7</v>
      </c>
      <c r="G839">
        <v>34</v>
      </c>
    </row>
    <row r="840" spans="1:7" x14ac:dyDescent="0.3">
      <c r="A840">
        <v>2021</v>
      </c>
      <c r="B840" t="s">
        <v>34</v>
      </c>
      <c r="C840" t="s">
        <v>11</v>
      </c>
      <c r="D840" t="s">
        <v>217</v>
      </c>
      <c r="E840" t="s">
        <v>89</v>
      </c>
      <c r="F840" t="s">
        <v>7</v>
      </c>
      <c r="G840">
        <v>12</v>
      </c>
    </row>
    <row r="841" spans="1:7" x14ac:dyDescent="0.3">
      <c r="A841">
        <v>2021</v>
      </c>
      <c r="B841" t="s">
        <v>34</v>
      </c>
      <c r="C841" t="s">
        <v>11</v>
      </c>
      <c r="D841" t="s">
        <v>217</v>
      </c>
      <c r="E841" t="s">
        <v>88</v>
      </c>
      <c r="F841" t="s">
        <v>7</v>
      </c>
      <c r="G841">
        <v>0</v>
      </c>
    </row>
    <row r="842" spans="1:7" x14ac:dyDescent="0.3">
      <c r="A842">
        <v>2021</v>
      </c>
      <c r="B842" t="s">
        <v>35</v>
      </c>
      <c r="C842" t="s">
        <v>11</v>
      </c>
      <c r="D842" t="s">
        <v>218</v>
      </c>
      <c r="E842" t="s">
        <v>94</v>
      </c>
      <c r="F842" t="s">
        <v>7</v>
      </c>
      <c r="G842">
        <v>16</v>
      </c>
    </row>
    <row r="843" spans="1:7" x14ac:dyDescent="0.3">
      <c r="A843">
        <v>2021</v>
      </c>
      <c r="B843" t="s">
        <v>35</v>
      </c>
      <c r="C843" t="s">
        <v>11</v>
      </c>
      <c r="D843" t="s">
        <v>218</v>
      </c>
      <c r="E843" t="s">
        <v>87</v>
      </c>
      <c r="F843" t="s">
        <v>7</v>
      </c>
      <c r="G843">
        <v>13</v>
      </c>
    </row>
    <row r="844" spans="1:7" x14ac:dyDescent="0.3">
      <c r="A844">
        <v>2021</v>
      </c>
      <c r="B844" t="s">
        <v>35</v>
      </c>
      <c r="C844" t="s">
        <v>11</v>
      </c>
      <c r="D844" t="s">
        <v>218</v>
      </c>
      <c r="E844" t="s">
        <v>89</v>
      </c>
      <c r="F844" t="s">
        <v>7</v>
      </c>
      <c r="G844">
        <v>6</v>
      </c>
    </row>
    <row r="845" spans="1:7" x14ac:dyDescent="0.3">
      <c r="A845">
        <v>2021</v>
      </c>
      <c r="B845" t="s">
        <v>35</v>
      </c>
      <c r="C845" t="s">
        <v>11</v>
      </c>
      <c r="D845" t="s">
        <v>218</v>
      </c>
      <c r="E845" t="s">
        <v>88</v>
      </c>
      <c r="F845" t="s">
        <v>7</v>
      </c>
      <c r="G845">
        <v>0</v>
      </c>
    </row>
    <row r="846" spans="1:7" x14ac:dyDescent="0.3">
      <c r="A846">
        <v>2021</v>
      </c>
      <c r="B846" t="s">
        <v>36</v>
      </c>
      <c r="C846" t="s">
        <v>11</v>
      </c>
      <c r="D846" t="s">
        <v>219</v>
      </c>
      <c r="E846" t="s">
        <v>94</v>
      </c>
      <c r="F846" t="s">
        <v>7</v>
      </c>
      <c r="G846">
        <v>43</v>
      </c>
    </row>
    <row r="847" spans="1:7" x14ac:dyDescent="0.3">
      <c r="A847">
        <v>2021</v>
      </c>
      <c r="B847" t="s">
        <v>36</v>
      </c>
      <c r="C847" t="s">
        <v>11</v>
      </c>
      <c r="D847" t="s">
        <v>219</v>
      </c>
      <c r="E847" t="s">
        <v>87</v>
      </c>
      <c r="F847" t="s">
        <v>7</v>
      </c>
      <c r="G847">
        <v>14</v>
      </c>
    </row>
    <row r="848" spans="1:7" x14ac:dyDescent="0.3">
      <c r="A848">
        <v>2021</v>
      </c>
      <c r="B848" t="s">
        <v>36</v>
      </c>
      <c r="C848" t="s">
        <v>11</v>
      </c>
      <c r="D848" t="s">
        <v>219</v>
      </c>
      <c r="E848" t="s">
        <v>89</v>
      </c>
      <c r="F848" t="s">
        <v>7</v>
      </c>
      <c r="G848">
        <v>8</v>
      </c>
    </row>
    <row r="849" spans="1:7" x14ac:dyDescent="0.3">
      <c r="A849">
        <v>2021</v>
      </c>
      <c r="B849" t="s">
        <v>36</v>
      </c>
      <c r="C849" t="s">
        <v>11</v>
      </c>
      <c r="D849" t="s">
        <v>219</v>
      </c>
      <c r="E849" t="s">
        <v>88</v>
      </c>
      <c r="F849" t="s">
        <v>7</v>
      </c>
      <c r="G849">
        <v>0</v>
      </c>
    </row>
    <row r="850" spans="1:7" x14ac:dyDescent="0.3">
      <c r="A850">
        <v>2021</v>
      </c>
      <c r="B850" t="s">
        <v>53</v>
      </c>
      <c r="C850" t="s">
        <v>51</v>
      </c>
      <c r="D850" t="s">
        <v>220</v>
      </c>
      <c r="E850" t="s">
        <v>94</v>
      </c>
      <c r="F850" t="s">
        <v>7</v>
      </c>
      <c r="G850">
        <v>34</v>
      </c>
    </row>
    <row r="851" spans="1:7" x14ac:dyDescent="0.3">
      <c r="A851">
        <v>2021</v>
      </c>
      <c r="B851" t="s">
        <v>53</v>
      </c>
      <c r="C851" t="s">
        <v>51</v>
      </c>
      <c r="D851" t="s">
        <v>220</v>
      </c>
      <c r="E851" t="s">
        <v>87</v>
      </c>
      <c r="F851" t="s">
        <v>7</v>
      </c>
      <c r="G851">
        <v>55</v>
      </c>
    </row>
    <row r="852" spans="1:7" x14ac:dyDescent="0.3">
      <c r="A852">
        <v>2021</v>
      </c>
      <c r="B852" t="s">
        <v>53</v>
      </c>
      <c r="C852" t="s">
        <v>51</v>
      </c>
      <c r="D852" t="s">
        <v>220</v>
      </c>
      <c r="E852" t="s">
        <v>89</v>
      </c>
      <c r="F852" t="s">
        <v>7</v>
      </c>
      <c r="G852">
        <v>3</v>
      </c>
    </row>
    <row r="853" spans="1:7" x14ac:dyDescent="0.3">
      <c r="A853">
        <v>2021</v>
      </c>
      <c r="B853" t="s">
        <v>53</v>
      </c>
      <c r="C853" t="s">
        <v>51</v>
      </c>
      <c r="D853" t="s">
        <v>220</v>
      </c>
      <c r="E853" t="s">
        <v>88</v>
      </c>
      <c r="F853" t="s">
        <v>7</v>
      </c>
      <c r="G853">
        <v>0</v>
      </c>
    </row>
    <row r="854" spans="1:7" x14ac:dyDescent="0.3">
      <c r="A854">
        <v>2021</v>
      </c>
      <c r="B854" t="s">
        <v>37</v>
      </c>
      <c r="C854" t="s">
        <v>11</v>
      </c>
      <c r="D854" t="s">
        <v>221</v>
      </c>
      <c r="E854" t="s">
        <v>94</v>
      </c>
      <c r="F854" t="s">
        <v>7</v>
      </c>
      <c r="G854">
        <v>28</v>
      </c>
    </row>
    <row r="855" spans="1:7" x14ac:dyDescent="0.3">
      <c r="A855">
        <v>2021</v>
      </c>
      <c r="B855" t="s">
        <v>37</v>
      </c>
      <c r="C855" t="s">
        <v>11</v>
      </c>
      <c r="D855" t="s">
        <v>221</v>
      </c>
      <c r="E855" t="s">
        <v>87</v>
      </c>
      <c r="F855" t="s">
        <v>7</v>
      </c>
      <c r="G855">
        <v>8</v>
      </c>
    </row>
    <row r="856" spans="1:7" x14ac:dyDescent="0.3">
      <c r="A856">
        <v>2021</v>
      </c>
      <c r="B856" t="s">
        <v>37</v>
      </c>
      <c r="C856" t="s">
        <v>11</v>
      </c>
      <c r="D856" t="s">
        <v>221</v>
      </c>
      <c r="E856" t="s">
        <v>89</v>
      </c>
      <c r="F856" t="s">
        <v>7</v>
      </c>
      <c r="G856">
        <v>1</v>
      </c>
    </row>
    <row r="857" spans="1:7" x14ac:dyDescent="0.3">
      <c r="A857">
        <v>2021</v>
      </c>
      <c r="B857" t="s">
        <v>37</v>
      </c>
      <c r="C857" t="s">
        <v>11</v>
      </c>
      <c r="D857" t="s">
        <v>221</v>
      </c>
      <c r="E857" t="s">
        <v>88</v>
      </c>
      <c r="F857" t="s">
        <v>7</v>
      </c>
      <c r="G857">
        <v>0</v>
      </c>
    </row>
    <row r="858" spans="1:7" x14ac:dyDescent="0.3">
      <c r="A858">
        <v>2021</v>
      </c>
      <c r="B858" t="s">
        <v>38</v>
      </c>
      <c r="C858" t="s">
        <v>11</v>
      </c>
      <c r="D858" t="s">
        <v>222</v>
      </c>
      <c r="E858" t="s">
        <v>94</v>
      </c>
      <c r="F858" t="s">
        <v>7</v>
      </c>
      <c r="G858">
        <v>0</v>
      </c>
    </row>
    <row r="859" spans="1:7" x14ac:dyDescent="0.3">
      <c r="A859">
        <v>2021</v>
      </c>
      <c r="B859" t="s">
        <v>38</v>
      </c>
      <c r="C859" t="s">
        <v>11</v>
      </c>
      <c r="D859" t="s">
        <v>222</v>
      </c>
      <c r="E859" t="s">
        <v>87</v>
      </c>
      <c r="F859" t="s">
        <v>7</v>
      </c>
      <c r="G859">
        <v>0</v>
      </c>
    </row>
    <row r="860" spans="1:7" x14ac:dyDescent="0.3">
      <c r="A860">
        <v>2021</v>
      </c>
      <c r="B860" t="s">
        <v>38</v>
      </c>
      <c r="C860" t="s">
        <v>11</v>
      </c>
      <c r="D860" t="s">
        <v>222</v>
      </c>
      <c r="E860" t="s">
        <v>89</v>
      </c>
      <c r="F860" t="s">
        <v>7</v>
      </c>
      <c r="G860">
        <v>0</v>
      </c>
    </row>
    <row r="861" spans="1:7" x14ac:dyDescent="0.3">
      <c r="A861">
        <v>2021</v>
      </c>
      <c r="B861" t="s">
        <v>38</v>
      </c>
      <c r="C861" t="s">
        <v>11</v>
      </c>
      <c r="D861" t="s">
        <v>222</v>
      </c>
      <c r="E861" t="s">
        <v>88</v>
      </c>
      <c r="F861" t="s">
        <v>7</v>
      </c>
      <c r="G861">
        <v>0</v>
      </c>
    </row>
    <row r="862" spans="1:7" x14ac:dyDescent="0.3">
      <c r="A862">
        <v>2021</v>
      </c>
      <c r="B862" t="s">
        <v>39</v>
      </c>
      <c r="C862" t="s">
        <v>11</v>
      </c>
      <c r="D862" t="s">
        <v>223</v>
      </c>
      <c r="E862" t="s">
        <v>94</v>
      </c>
      <c r="F862" t="s">
        <v>7</v>
      </c>
      <c r="G862">
        <v>10</v>
      </c>
    </row>
    <row r="863" spans="1:7" x14ac:dyDescent="0.3">
      <c r="A863">
        <v>2021</v>
      </c>
      <c r="B863" t="s">
        <v>39</v>
      </c>
      <c r="C863" t="s">
        <v>11</v>
      </c>
      <c r="D863" t="s">
        <v>223</v>
      </c>
      <c r="E863" t="s">
        <v>87</v>
      </c>
      <c r="F863" t="s">
        <v>7</v>
      </c>
      <c r="G863">
        <v>1</v>
      </c>
    </row>
    <row r="864" spans="1:7" x14ac:dyDescent="0.3">
      <c r="A864">
        <v>2021</v>
      </c>
      <c r="B864" t="s">
        <v>39</v>
      </c>
      <c r="C864" t="s">
        <v>11</v>
      </c>
      <c r="D864" t="s">
        <v>223</v>
      </c>
      <c r="E864" t="s">
        <v>89</v>
      </c>
      <c r="F864" t="s">
        <v>7</v>
      </c>
      <c r="G864">
        <v>0</v>
      </c>
    </row>
    <row r="865" spans="1:7" x14ac:dyDescent="0.3">
      <c r="A865">
        <v>2021</v>
      </c>
      <c r="B865" t="s">
        <v>39</v>
      </c>
      <c r="C865" t="s">
        <v>11</v>
      </c>
      <c r="D865" t="s">
        <v>223</v>
      </c>
      <c r="E865" t="s">
        <v>88</v>
      </c>
      <c r="F865" t="s">
        <v>7</v>
      </c>
      <c r="G865">
        <v>0</v>
      </c>
    </row>
    <row r="866" spans="1:7" x14ac:dyDescent="0.3">
      <c r="A866">
        <v>2021</v>
      </c>
      <c r="B866" t="s">
        <v>40</v>
      </c>
      <c r="C866" t="s">
        <v>11</v>
      </c>
      <c r="D866" t="s">
        <v>224</v>
      </c>
      <c r="E866" t="s">
        <v>94</v>
      </c>
      <c r="F866" t="s">
        <v>7</v>
      </c>
      <c r="G866">
        <v>19</v>
      </c>
    </row>
    <row r="867" spans="1:7" x14ac:dyDescent="0.3">
      <c r="A867">
        <v>2021</v>
      </c>
      <c r="B867" t="s">
        <v>40</v>
      </c>
      <c r="C867" t="s">
        <v>11</v>
      </c>
      <c r="D867" t="s">
        <v>224</v>
      </c>
      <c r="E867" t="s">
        <v>87</v>
      </c>
      <c r="F867" t="s">
        <v>7</v>
      </c>
      <c r="G867">
        <v>4</v>
      </c>
    </row>
    <row r="868" spans="1:7" x14ac:dyDescent="0.3">
      <c r="A868">
        <v>2021</v>
      </c>
      <c r="B868" t="s">
        <v>40</v>
      </c>
      <c r="C868" t="s">
        <v>11</v>
      </c>
      <c r="D868" t="s">
        <v>224</v>
      </c>
      <c r="E868" t="s">
        <v>89</v>
      </c>
      <c r="F868" t="s">
        <v>7</v>
      </c>
      <c r="G868">
        <v>7</v>
      </c>
    </row>
    <row r="869" spans="1:7" x14ac:dyDescent="0.3">
      <c r="A869">
        <v>2021</v>
      </c>
      <c r="B869" t="s">
        <v>40</v>
      </c>
      <c r="C869" t="s">
        <v>11</v>
      </c>
      <c r="D869" t="s">
        <v>224</v>
      </c>
      <c r="E869" t="s">
        <v>88</v>
      </c>
      <c r="F869" t="s">
        <v>7</v>
      </c>
      <c r="G869">
        <v>0</v>
      </c>
    </row>
    <row r="870" spans="1:7" x14ac:dyDescent="0.3">
      <c r="A870">
        <v>2021</v>
      </c>
      <c r="B870" t="s">
        <v>41</v>
      </c>
      <c r="C870" t="s">
        <v>11</v>
      </c>
      <c r="D870" t="s">
        <v>225</v>
      </c>
      <c r="E870" t="s">
        <v>94</v>
      </c>
      <c r="F870" t="s">
        <v>7</v>
      </c>
      <c r="G870">
        <v>6</v>
      </c>
    </row>
    <row r="871" spans="1:7" x14ac:dyDescent="0.3">
      <c r="A871">
        <v>2021</v>
      </c>
      <c r="B871" t="s">
        <v>41</v>
      </c>
      <c r="C871" t="s">
        <v>11</v>
      </c>
      <c r="D871" t="s">
        <v>225</v>
      </c>
      <c r="E871" t="s">
        <v>87</v>
      </c>
      <c r="F871" t="s">
        <v>7</v>
      </c>
      <c r="G871">
        <v>12</v>
      </c>
    </row>
    <row r="872" spans="1:7" x14ac:dyDescent="0.3">
      <c r="A872">
        <v>2021</v>
      </c>
      <c r="B872" t="s">
        <v>41</v>
      </c>
      <c r="C872" t="s">
        <v>11</v>
      </c>
      <c r="D872" t="s">
        <v>225</v>
      </c>
      <c r="E872" t="s">
        <v>89</v>
      </c>
      <c r="F872" t="s">
        <v>7</v>
      </c>
      <c r="G872">
        <v>4</v>
      </c>
    </row>
    <row r="873" spans="1:7" x14ac:dyDescent="0.3">
      <c r="A873">
        <v>2021</v>
      </c>
      <c r="B873" t="s">
        <v>41</v>
      </c>
      <c r="C873" t="s">
        <v>11</v>
      </c>
      <c r="D873" t="s">
        <v>225</v>
      </c>
      <c r="E873" t="s">
        <v>88</v>
      </c>
      <c r="F873" t="s">
        <v>7</v>
      </c>
      <c r="G873">
        <v>0</v>
      </c>
    </row>
    <row r="874" spans="1:7" x14ac:dyDescent="0.3">
      <c r="A874">
        <v>2021</v>
      </c>
      <c r="B874" t="s">
        <v>42</v>
      </c>
      <c r="C874" t="s">
        <v>11</v>
      </c>
      <c r="D874" t="s">
        <v>226</v>
      </c>
      <c r="E874" t="s">
        <v>94</v>
      </c>
      <c r="F874" t="s">
        <v>7</v>
      </c>
      <c r="G874">
        <v>15</v>
      </c>
    </row>
    <row r="875" spans="1:7" x14ac:dyDescent="0.3">
      <c r="A875">
        <v>2021</v>
      </c>
      <c r="B875" t="s">
        <v>42</v>
      </c>
      <c r="C875" t="s">
        <v>11</v>
      </c>
      <c r="D875" t="s">
        <v>226</v>
      </c>
      <c r="E875" t="s">
        <v>87</v>
      </c>
      <c r="F875" t="s">
        <v>7</v>
      </c>
      <c r="G875">
        <v>1</v>
      </c>
    </row>
    <row r="876" spans="1:7" x14ac:dyDescent="0.3">
      <c r="A876">
        <v>2021</v>
      </c>
      <c r="B876" t="s">
        <v>42</v>
      </c>
      <c r="C876" t="s">
        <v>11</v>
      </c>
      <c r="D876" t="s">
        <v>226</v>
      </c>
      <c r="E876" t="s">
        <v>89</v>
      </c>
      <c r="F876" t="s">
        <v>7</v>
      </c>
      <c r="G876">
        <v>14</v>
      </c>
    </row>
    <row r="877" spans="1:7" x14ac:dyDescent="0.3">
      <c r="A877">
        <v>2021</v>
      </c>
      <c r="B877" t="s">
        <v>42</v>
      </c>
      <c r="C877" t="s">
        <v>11</v>
      </c>
      <c r="D877" t="s">
        <v>226</v>
      </c>
      <c r="E877" t="s">
        <v>88</v>
      </c>
      <c r="F877" t="s">
        <v>7</v>
      </c>
      <c r="G877">
        <v>0</v>
      </c>
    </row>
    <row r="878" spans="1:7" x14ac:dyDescent="0.3">
      <c r="A878">
        <v>2021</v>
      </c>
      <c r="B878" t="s">
        <v>43</v>
      </c>
      <c r="C878" t="s">
        <v>11</v>
      </c>
      <c r="D878" t="s">
        <v>227</v>
      </c>
      <c r="E878" t="s">
        <v>94</v>
      </c>
      <c r="F878" t="s">
        <v>7</v>
      </c>
      <c r="G878">
        <v>59</v>
      </c>
    </row>
    <row r="879" spans="1:7" x14ac:dyDescent="0.3">
      <c r="A879">
        <v>2021</v>
      </c>
      <c r="B879" t="s">
        <v>43</v>
      </c>
      <c r="C879" t="s">
        <v>11</v>
      </c>
      <c r="D879" t="s">
        <v>227</v>
      </c>
      <c r="E879" t="s">
        <v>87</v>
      </c>
      <c r="F879" t="s">
        <v>7</v>
      </c>
      <c r="G879">
        <v>20</v>
      </c>
    </row>
    <row r="880" spans="1:7" x14ac:dyDescent="0.3">
      <c r="A880">
        <v>2021</v>
      </c>
      <c r="B880" t="s">
        <v>43</v>
      </c>
      <c r="C880" t="s">
        <v>11</v>
      </c>
      <c r="D880" t="s">
        <v>227</v>
      </c>
      <c r="E880" t="s">
        <v>89</v>
      </c>
      <c r="F880" t="s">
        <v>7</v>
      </c>
      <c r="G880">
        <v>6</v>
      </c>
    </row>
    <row r="881" spans="1:7" x14ac:dyDescent="0.3">
      <c r="A881">
        <v>2021</v>
      </c>
      <c r="B881" t="s">
        <v>43</v>
      </c>
      <c r="C881" t="s">
        <v>11</v>
      </c>
      <c r="D881" t="s">
        <v>227</v>
      </c>
      <c r="E881" t="s">
        <v>88</v>
      </c>
      <c r="F881" t="s">
        <v>7</v>
      </c>
      <c r="G881">
        <v>0</v>
      </c>
    </row>
    <row r="882" spans="1:7" x14ac:dyDescent="0.3">
      <c r="A882">
        <v>2021</v>
      </c>
      <c r="B882" t="s">
        <v>44</v>
      </c>
      <c r="C882" t="s">
        <v>11</v>
      </c>
      <c r="D882" t="s">
        <v>228</v>
      </c>
      <c r="E882" t="s">
        <v>94</v>
      </c>
      <c r="F882" t="s">
        <v>7</v>
      </c>
      <c r="G882">
        <v>21</v>
      </c>
    </row>
    <row r="883" spans="1:7" x14ac:dyDescent="0.3">
      <c r="A883">
        <v>2021</v>
      </c>
      <c r="B883" t="s">
        <v>44</v>
      </c>
      <c r="C883" t="s">
        <v>11</v>
      </c>
      <c r="D883" t="s">
        <v>228</v>
      </c>
      <c r="E883" t="s">
        <v>87</v>
      </c>
      <c r="F883" t="s">
        <v>7</v>
      </c>
      <c r="G883">
        <v>11</v>
      </c>
    </row>
    <row r="884" spans="1:7" x14ac:dyDescent="0.3">
      <c r="A884">
        <v>2021</v>
      </c>
      <c r="B884" t="s">
        <v>44</v>
      </c>
      <c r="C884" t="s">
        <v>11</v>
      </c>
      <c r="D884" t="s">
        <v>228</v>
      </c>
      <c r="E884" t="s">
        <v>89</v>
      </c>
      <c r="F884" t="s">
        <v>7</v>
      </c>
      <c r="G884">
        <v>3</v>
      </c>
    </row>
    <row r="885" spans="1:7" x14ac:dyDescent="0.3">
      <c r="A885">
        <v>2021</v>
      </c>
      <c r="B885" t="s">
        <v>44</v>
      </c>
      <c r="C885" t="s">
        <v>11</v>
      </c>
      <c r="D885" t="s">
        <v>228</v>
      </c>
      <c r="E885" t="s">
        <v>88</v>
      </c>
      <c r="F885" t="s">
        <v>7</v>
      </c>
      <c r="G885">
        <v>0</v>
      </c>
    </row>
    <row r="886" spans="1:7" x14ac:dyDescent="0.3">
      <c r="A886">
        <v>2021</v>
      </c>
      <c r="B886" t="s">
        <v>54</v>
      </c>
      <c r="C886" t="s">
        <v>51</v>
      </c>
      <c r="D886" t="s">
        <v>229</v>
      </c>
      <c r="E886" t="s">
        <v>94</v>
      </c>
      <c r="F886" t="s">
        <v>7</v>
      </c>
      <c r="G886">
        <v>16</v>
      </c>
    </row>
    <row r="887" spans="1:7" x14ac:dyDescent="0.3">
      <c r="A887">
        <v>2021</v>
      </c>
      <c r="B887" t="s">
        <v>54</v>
      </c>
      <c r="C887" t="s">
        <v>51</v>
      </c>
      <c r="D887" t="s">
        <v>229</v>
      </c>
      <c r="E887" t="s">
        <v>87</v>
      </c>
      <c r="F887" t="s">
        <v>7</v>
      </c>
      <c r="G887">
        <v>38</v>
      </c>
    </row>
    <row r="888" spans="1:7" x14ac:dyDescent="0.3">
      <c r="A888">
        <v>2021</v>
      </c>
      <c r="B888" t="s">
        <v>54</v>
      </c>
      <c r="C888" t="s">
        <v>51</v>
      </c>
      <c r="D888" t="s">
        <v>229</v>
      </c>
      <c r="E888" t="s">
        <v>89</v>
      </c>
      <c r="F888" t="s">
        <v>7</v>
      </c>
      <c r="G888">
        <v>5</v>
      </c>
    </row>
    <row r="889" spans="1:7" x14ac:dyDescent="0.3">
      <c r="A889">
        <v>2021</v>
      </c>
      <c r="B889" t="s">
        <v>54</v>
      </c>
      <c r="C889" t="s">
        <v>51</v>
      </c>
      <c r="D889" t="s">
        <v>229</v>
      </c>
      <c r="E889" t="s">
        <v>88</v>
      </c>
      <c r="F889" t="s">
        <v>7</v>
      </c>
      <c r="G889">
        <v>1</v>
      </c>
    </row>
    <row r="890" spans="1:7" x14ac:dyDescent="0.3">
      <c r="A890">
        <v>2021</v>
      </c>
      <c r="B890" t="s">
        <v>45</v>
      </c>
      <c r="C890" t="s">
        <v>11</v>
      </c>
      <c r="D890" t="s">
        <v>230</v>
      </c>
      <c r="E890" t="s">
        <v>94</v>
      </c>
      <c r="F890" t="s">
        <v>7</v>
      </c>
      <c r="G890">
        <v>30</v>
      </c>
    </row>
    <row r="891" spans="1:7" x14ac:dyDescent="0.3">
      <c r="A891">
        <v>2021</v>
      </c>
      <c r="B891" t="s">
        <v>45</v>
      </c>
      <c r="C891" t="s">
        <v>11</v>
      </c>
      <c r="D891" t="s">
        <v>230</v>
      </c>
      <c r="E891" t="s">
        <v>87</v>
      </c>
      <c r="F891" t="s">
        <v>7</v>
      </c>
      <c r="G891">
        <v>17</v>
      </c>
    </row>
    <row r="892" spans="1:7" x14ac:dyDescent="0.3">
      <c r="A892">
        <v>2021</v>
      </c>
      <c r="B892" t="s">
        <v>45</v>
      </c>
      <c r="C892" t="s">
        <v>11</v>
      </c>
      <c r="D892" t="s">
        <v>230</v>
      </c>
      <c r="E892" t="s">
        <v>89</v>
      </c>
      <c r="F892" t="s">
        <v>7</v>
      </c>
      <c r="G892">
        <v>0</v>
      </c>
    </row>
    <row r="893" spans="1:7" x14ac:dyDescent="0.3">
      <c r="A893">
        <v>2021</v>
      </c>
      <c r="B893" t="s">
        <v>45</v>
      </c>
      <c r="C893" t="s">
        <v>11</v>
      </c>
      <c r="D893" t="s">
        <v>230</v>
      </c>
      <c r="E893" t="s">
        <v>88</v>
      </c>
      <c r="F893" t="s">
        <v>7</v>
      </c>
      <c r="G893">
        <v>0</v>
      </c>
    </row>
    <row r="894" spans="1:7" x14ac:dyDescent="0.3">
      <c r="A894">
        <v>2021</v>
      </c>
      <c r="B894" t="s">
        <v>46</v>
      </c>
      <c r="C894" t="s">
        <v>11</v>
      </c>
      <c r="D894" t="s">
        <v>231</v>
      </c>
      <c r="E894" t="s">
        <v>94</v>
      </c>
      <c r="F894" t="s">
        <v>7</v>
      </c>
      <c r="G894">
        <v>38</v>
      </c>
    </row>
    <row r="895" spans="1:7" x14ac:dyDescent="0.3">
      <c r="A895">
        <v>2021</v>
      </c>
      <c r="B895" t="s">
        <v>46</v>
      </c>
      <c r="C895" t="s">
        <v>11</v>
      </c>
      <c r="D895" t="s">
        <v>231</v>
      </c>
      <c r="E895" t="s">
        <v>87</v>
      </c>
      <c r="F895" t="s">
        <v>7</v>
      </c>
      <c r="G895">
        <v>8</v>
      </c>
    </row>
    <row r="896" spans="1:7" x14ac:dyDescent="0.3">
      <c r="A896">
        <v>2021</v>
      </c>
      <c r="B896" t="s">
        <v>46</v>
      </c>
      <c r="C896" t="s">
        <v>11</v>
      </c>
      <c r="D896" t="s">
        <v>231</v>
      </c>
      <c r="E896" t="s">
        <v>89</v>
      </c>
      <c r="F896" t="s">
        <v>7</v>
      </c>
      <c r="G896">
        <v>8</v>
      </c>
    </row>
    <row r="897" spans="1:7" x14ac:dyDescent="0.3">
      <c r="A897">
        <v>2021</v>
      </c>
      <c r="B897" t="s">
        <v>46</v>
      </c>
      <c r="C897" t="s">
        <v>11</v>
      </c>
      <c r="D897" t="s">
        <v>231</v>
      </c>
      <c r="E897" t="s">
        <v>88</v>
      </c>
      <c r="F897" t="s">
        <v>7</v>
      </c>
      <c r="G897">
        <v>0</v>
      </c>
    </row>
    <row r="898" spans="1:7" x14ac:dyDescent="0.3">
      <c r="A898">
        <v>2021</v>
      </c>
      <c r="B898" t="s">
        <v>47</v>
      </c>
      <c r="C898" t="s">
        <v>11</v>
      </c>
      <c r="D898" t="s">
        <v>232</v>
      </c>
      <c r="E898" t="s">
        <v>94</v>
      </c>
      <c r="F898" t="s">
        <v>7</v>
      </c>
      <c r="G898">
        <v>18</v>
      </c>
    </row>
    <row r="899" spans="1:7" x14ac:dyDescent="0.3">
      <c r="A899">
        <v>2021</v>
      </c>
      <c r="B899" t="s">
        <v>47</v>
      </c>
      <c r="C899" t="s">
        <v>11</v>
      </c>
      <c r="D899" t="s">
        <v>232</v>
      </c>
      <c r="E899" t="s">
        <v>87</v>
      </c>
      <c r="F899" t="s">
        <v>7</v>
      </c>
      <c r="G899">
        <v>21</v>
      </c>
    </row>
    <row r="900" spans="1:7" x14ac:dyDescent="0.3">
      <c r="A900">
        <v>2021</v>
      </c>
      <c r="B900" t="s">
        <v>47</v>
      </c>
      <c r="C900" t="s">
        <v>11</v>
      </c>
      <c r="D900" t="s">
        <v>232</v>
      </c>
      <c r="E900" t="s">
        <v>89</v>
      </c>
      <c r="F900" t="s">
        <v>7</v>
      </c>
      <c r="G900">
        <v>9</v>
      </c>
    </row>
    <row r="901" spans="1:7" x14ac:dyDescent="0.3">
      <c r="A901">
        <v>2021</v>
      </c>
      <c r="B901" t="s">
        <v>47</v>
      </c>
      <c r="C901" t="s">
        <v>11</v>
      </c>
      <c r="D901" t="s">
        <v>232</v>
      </c>
      <c r="E901" t="s">
        <v>88</v>
      </c>
      <c r="F901" t="s">
        <v>7</v>
      </c>
      <c r="G901">
        <v>4</v>
      </c>
    </row>
    <row r="902" spans="1:7" x14ac:dyDescent="0.3">
      <c r="A902">
        <v>2021</v>
      </c>
      <c r="B902" t="s">
        <v>55</v>
      </c>
      <c r="C902" t="s">
        <v>51</v>
      </c>
      <c r="D902" t="s">
        <v>233</v>
      </c>
      <c r="E902" t="s">
        <v>94</v>
      </c>
      <c r="F902" t="s">
        <v>7</v>
      </c>
      <c r="G902">
        <v>0</v>
      </c>
    </row>
    <row r="903" spans="1:7" x14ac:dyDescent="0.3">
      <c r="A903">
        <v>2021</v>
      </c>
      <c r="B903" t="s">
        <v>55</v>
      </c>
      <c r="C903" t="s">
        <v>51</v>
      </c>
      <c r="D903" t="s">
        <v>233</v>
      </c>
      <c r="E903" t="s">
        <v>87</v>
      </c>
      <c r="F903" t="s">
        <v>7</v>
      </c>
      <c r="G903">
        <v>41</v>
      </c>
    </row>
    <row r="904" spans="1:7" x14ac:dyDescent="0.3">
      <c r="A904">
        <v>2021</v>
      </c>
      <c r="B904" t="s">
        <v>55</v>
      </c>
      <c r="C904" t="s">
        <v>51</v>
      </c>
      <c r="D904" t="s">
        <v>233</v>
      </c>
      <c r="E904" t="s">
        <v>89</v>
      </c>
      <c r="F904" t="s">
        <v>7</v>
      </c>
      <c r="G904">
        <v>16</v>
      </c>
    </row>
    <row r="905" spans="1:7" x14ac:dyDescent="0.3">
      <c r="A905">
        <v>2021</v>
      </c>
      <c r="B905" t="s">
        <v>55</v>
      </c>
      <c r="C905" t="s">
        <v>51</v>
      </c>
      <c r="D905" t="s">
        <v>233</v>
      </c>
      <c r="E905" t="s">
        <v>88</v>
      </c>
      <c r="F905" t="s">
        <v>7</v>
      </c>
      <c r="G905">
        <v>1</v>
      </c>
    </row>
    <row r="906" spans="1:7" x14ac:dyDescent="0.3">
      <c r="A906">
        <v>2021</v>
      </c>
      <c r="B906" t="s">
        <v>48</v>
      </c>
      <c r="C906" t="s">
        <v>11</v>
      </c>
      <c r="D906" t="s">
        <v>234</v>
      </c>
      <c r="E906" t="s">
        <v>94</v>
      </c>
      <c r="F906" t="s">
        <v>7</v>
      </c>
      <c r="G906">
        <v>17</v>
      </c>
    </row>
    <row r="907" spans="1:7" x14ac:dyDescent="0.3">
      <c r="A907">
        <v>2021</v>
      </c>
      <c r="B907" t="s">
        <v>48</v>
      </c>
      <c r="C907" t="s">
        <v>11</v>
      </c>
      <c r="D907" t="s">
        <v>234</v>
      </c>
      <c r="E907" t="s">
        <v>87</v>
      </c>
      <c r="F907" t="s">
        <v>7</v>
      </c>
      <c r="G907">
        <v>12</v>
      </c>
    </row>
    <row r="908" spans="1:7" x14ac:dyDescent="0.3">
      <c r="A908">
        <v>2021</v>
      </c>
      <c r="B908" t="s">
        <v>48</v>
      </c>
      <c r="C908" t="s">
        <v>11</v>
      </c>
      <c r="D908" t="s">
        <v>234</v>
      </c>
      <c r="E908" t="s">
        <v>89</v>
      </c>
      <c r="F908" t="s">
        <v>7</v>
      </c>
      <c r="G908">
        <v>7</v>
      </c>
    </row>
    <row r="909" spans="1:7" x14ac:dyDescent="0.3">
      <c r="A909">
        <v>2021</v>
      </c>
      <c r="B909" t="s">
        <v>48</v>
      </c>
      <c r="C909" t="s">
        <v>11</v>
      </c>
      <c r="D909" t="s">
        <v>234</v>
      </c>
      <c r="E909" t="s">
        <v>88</v>
      </c>
      <c r="F909" t="s">
        <v>7</v>
      </c>
      <c r="G909">
        <v>2</v>
      </c>
    </row>
    <row r="910" spans="1:7" x14ac:dyDescent="0.3">
      <c r="A910">
        <v>2021</v>
      </c>
      <c r="B910" t="s">
        <v>56</v>
      </c>
      <c r="C910" t="s">
        <v>51</v>
      </c>
      <c r="D910" t="s">
        <v>235</v>
      </c>
      <c r="E910" t="s">
        <v>94</v>
      </c>
      <c r="F910" t="s">
        <v>7</v>
      </c>
      <c r="G910">
        <v>0</v>
      </c>
    </row>
    <row r="911" spans="1:7" x14ac:dyDescent="0.3">
      <c r="A911">
        <v>2021</v>
      </c>
      <c r="B911" t="s">
        <v>56</v>
      </c>
      <c r="C911" t="s">
        <v>51</v>
      </c>
      <c r="D911" t="s">
        <v>235</v>
      </c>
      <c r="E911" t="s">
        <v>87</v>
      </c>
      <c r="F911" t="s">
        <v>7</v>
      </c>
      <c r="G911">
        <v>51</v>
      </c>
    </row>
    <row r="912" spans="1:7" x14ac:dyDescent="0.3">
      <c r="A912">
        <v>2021</v>
      </c>
      <c r="B912" t="s">
        <v>56</v>
      </c>
      <c r="C912" t="s">
        <v>51</v>
      </c>
      <c r="D912" t="s">
        <v>235</v>
      </c>
      <c r="E912" t="s">
        <v>89</v>
      </c>
      <c r="F912" t="s">
        <v>7</v>
      </c>
      <c r="G912">
        <v>16</v>
      </c>
    </row>
    <row r="913" spans="1:7" x14ac:dyDescent="0.3">
      <c r="A913">
        <v>2021</v>
      </c>
      <c r="B913" t="s">
        <v>56</v>
      </c>
      <c r="C913" t="s">
        <v>51</v>
      </c>
      <c r="D913" t="s">
        <v>235</v>
      </c>
      <c r="E913" t="s">
        <v>88</v>
      </c>
      <c r="F913" t="s">
        <v>7</v>
      </c>
      <c r="G913">
        <v>1</v>
      </c>
    </row>
    <row r="914" spans="1:7" x14ac:dyDescent="0.3">
      <c r="A914">
        <v>2021</v>
      </c>
      <c r="B914" t="s">
        <v>49</v>
      </c>
      <c r="C914" t="s">
        <v>11</v>
      </c>
      <c r="D914" t="s">
        <v>236</v>
      </c>
      <c r="E914" t="s">
        <v>94</v>
      </c>
      <c r="F914" t="s">
        <v>7</v>
      </c>
      <c r="G914">
        <v>25</v>
      </c>
    </row>
    <row r="915" spans="1:7" x14ac:dyDescent="0.3">
      <c r="A915">
        <v>2021</v>
      </c>
      <c r="B915" t="s">
        <v>49</v>
      </c>
      <c r="C915" t="s">
        <v>11</v>
      </c>
      <c r="D915" t="s">
        <v>236</v>
      </c>
      <c r="E915" t="s">
        <v>87</v>
      </c>
      <c r="F915" t="s">
        <v>7</v>
      </c>
      <c r="G915">
        <v>20</v>
      </c>
    </row>
    <row r="916" spans="1:7" x14ac:dyDescent="0.3">
      <c r="A916">
        <v>2021</v>
      </c>
      <c r="B916" t="s">
        <v>49</v>
      </c>
      <c r="C916" t="s">
        <v>11</v>
      </c>
      <c r="D916" t="s">
        <v>236</v>
      </c>
      <c r="E916" t="s">
        <v>89</v>
      </c>
      <c r="F916" t="s">
        <v>7</v>
      </c>
      <c r="G916">
        <v>16</v>
      </c>
    </row>
    <row r="917" spans="1:7" x14ac:dyDescent="0.3">
      <c r="A917">
        <v>2021</v>
      </c>
      <c r="B917" t="s">
        <v>49</v>
      </c>
      <c r="C917" t="s">
        <v>11</v>
      </c>
      <c r="D917" t="s">
        <v>236</v>
      </c>
      <c r="E917" t="s">
        <v>88</v>
      </c>
      <c r="F917" t="s">
        <v>7</v>
      </c>
      <c r="G917">
        <v>0</v>
      </c>
    </row>
    <row r="918" spans="1:7" x14ac:dyDescent="0.3">
      <c r="A918">
        <v>2021</v>
      </c>
      <c r="B918" t="s">
        <v>57</v>
      </c>
      <c r="C918" t="s">
        <v>51</v>
      </c>
      <c r="D918" t="s">
        <v>237</v>
      </c>
      <c r="E918" t="s">
        <v>94</v>
      </c>
      <c r="F918" t="s">
        <v>7</v>
      </c>
      <c r="G918">
        <v>19</v>
      </c>
    </row>
    <row r="919" spans="1:7" x14ac:dyDescent="0.3">
      <c r="A919">
        <v>2021</v>
      </c>
      <c r="B919" t="s">
        <v>57</v>
      </c>
      <c r="C919" t="s">
        <v>51</v>
      </c>
      <c r="D919" t="s">
        <v>237</v>
      </c>
      <c r="E919" t="s">
        <v>87</v>
      </c>
      <c r="F919" t="s">
        <v>7</v>
      </c>
      <c r="G919">
        <v>26</v>
      </c>
    </row>
    <row r="920" spans="1:7" x14ac:dyDescent="0.3">
      <c r="A920">
        <v>2021</v>
      </c>
      <c r="B920" t="s">
        <v>57</v>
      </c>
      <c r="C920" t="s">
        <v>51</v>
      </c>
      <c r="D920" t="s">
        <v>237</v>
      </c>
      <c r="E920" t="s">
        <v>89</v>
      </c>
      <c r="F920" t="s">
        <v>7</v>
      </c>
      <c r="G920">
        <v>15</v>
      </c>
    </row>
    <row r="921" spans="1:7" x14ac:dyDescent="0.3">
      <c r="A921">
        <v>2021</v>
      </c>
      <c r="B921" t="s">
        <v>57</v>
      </c>
      <c r="C921" t="s">
        <v>51</v>
      </c>
      <c r="D921" t="s">
        <v>237</v>
      </c>
      <c r="E921" t="s">
        <v>88</v>
      </c>
      <c r="F921" t="s">
        <v>7</v>
      </c>
      <c r="G921">
        <v>3</v>
      </c>
    </row>
    <row r="922" spans="1:7" x14ac:dyDescent="0.3">
      <c r="A922">
        <v>2021</v>
      </c>
      <c r="B922" t="s">
        <v>12</v>
      </c>
      <c r="C922" t="s">
        <v>11</v>
      </c>
      <c r="D922" t="s">
        <v>191</v>
      </c>
      <c r="E922" t="s">
        <v>94</v>
      </c>
      <c r="F922" t="s">
        <v>8</v>
      </c>
      <c r="G922">
        <v>1</v>
      </c>
    </row>
    <row r="923" spans="1:7" x14ac:dyDescent="0.3">
      <c r="A923">
        <v>2021</v>
      </c>
      <c r="B923" t="s">
        <v>12</v>
      </c>
      <c r="C923" t="s">
        <v>11</v>
      </c>
      <c r="D923" t="s">
        <v>191</v>
      </c>
      <c r="E923" t="s">
        <v>87</v>
      </c>
      <c r="F923" t="s">
        <v>8</v>
      </c>
      <c r="G923">
        <v>3</v>
      </c>
    </row>
    <row r="924" spans="1:7" x14ac:dyDescent="0.3">
      <c r="A924">
        <v>2021</v>
      </c>
      <c r="B924" t="s">
        <v>12</v>
      </c>
      <c r="C924" t="s">
        <v>11</v>
      </c>
      <c r="D924" t="s">
        <v>191</v>
      </c>
      <c r="E924" t="s">
        <v>89</v>
      </c>
      <c r="F924" t="s">
        <v>8</v>
      </c>
      <c r="G924">
        <v>9</v>
      </c>
    </row>
    <row r="925" spans="1:7" x14ac:dyDescent="0.3">
      <c r="A925">
        <v>2021</v>
      </c>
      <c r="B925" t="s">
        <v>12</v>
      </c>
      <c r="C925" t="s">
        <v>11</v>
      </c>
      <c r="D925" t="s">
        <v>191</v>
      </c>
      <c r="E925" t="s">
        <v>88</v>
      </c>
      <c r="F925" t="s">
        <v>8</v>
      </c>
      <c r="G925">
        <v>1</v>
      </c>
    </row>
    <row r="926" spans="1:7" x14ac:dyDescent="0.3">
      <c r="A926">
        <v>2021</v>
      </c>
      <c r="B926" t="s">
        <v>13</v>
      </c>
      <c r="C926" t="s">
        <v>11</v>
      </c>
      <c r="D926" t="s">
        <v>192</v>
      </c>
      <c r="E926" t="s">
        <v>94</v>
      </c>
      <c r="F926" t="s">
        <v>8</v>
      </c>
      <c r="G926">
        <v>1</v>
      </c>
    </row>
    <row r="927" spans="1:7" x14ac:dyDescent="0.3">
      <c r="A927">
        <v>2021</v>
      </c>
      <c r="B927" t="s">
        <v>13</v>
      </c>
      <c r="C927" t="s">
        <v>11</v>
      </c>
      <c r="D927" t="s">
        <v>192</v>
      </c>
      <c r="E927" t="s">
        <v>87</v>
      </c>
      <c r="F927" t="s">
        <v>8</v>
      </c>
      <c r="G927">
        <v>2</v>
      </c>
    </row>
    <row r="928" spans="1:7" x14ac:dyDescent="0.3">
      <c r="A928">
        <v>2021</v>
      </c>
      <c r="B928" t="s">
        <v>13</v>
      </c>
      <c r="C928" t="s">
        <v>11</v>
      </c>
      <c r="D928" t="s">
        <v>192</v>
      </c>
      <c r="E928" t="s">
        <v>89</v>
      </c>
      <c r="F928" t="s">
        <v>8</v>
      </c>
      <c r="G928">
        <v>10</v>
      </c>
    </row>
    <row r="929" spans="1:7" x14ac:dyDescent="0.3">
      <c r="A929">
        <v>2021</v>
      </c>
      <c r="B929" t="s">
        <v>13</v>
      </c>
      <c r="C929" t="s">
        <v>11</v>
      </c>
      <c r="D929" t="s">
        <v>192</v>
      </c>
      <c r="E929" t="s">
        <v>88</v>
      </c>
      <c r="F929" t="s">
        <v>8</v>
      </c>
      <c r="G929">
        <v>1</v>
      </c>
    </row>
    <row r="930" spans="1:7" x14ac:dyDescent="0.3">
      <c r="A930">
        <v>2021</v>
      </c>
      <c r="B930" t="s">
        <v>14</v>
      </c>
      <c r="C930" t="s">
        <v>11</v>
      </c>
      <c r="D930" t="s">
        <v>193</v>
      </c>
      <c r="E930" t="s">
        <v>94</v>
      </c>
      <c r="F930" t="s">
        <v>8</v>
      </c>
      <c r="G930">
        <v>0</v>
      </c>
    </row>
    <row r="931" spans="1:7" x14ac:dyDescent="0.3">
      <c r="A931">
        <v>2021</v>
      </c>
      <c r="B931" t="s">
        <v>14</v>
      </c>
      <c r="C931" t="s">
        <v>11</v>
      </c>
      <c r="D931" t="s">
        <v>193</v>
      </c>
      <c r="E931" t="s">
        <v>87</v>
      </c>
      <c r="F931" t="s">
        <v>8</v>
      </c>
      <c r="G931">
        <v>0</v>
      </c>
    </row>
    <row r="932" spans="1:7" x14ac:dyDescent="0.3">
      <c r="A932">
        <v>2021</v>
      </c>
      <c r="B932" t="s">
        <v>14</v>
      </c>
      <c r="C932" t="s">
        <v>11</v>
      </c>
      <c r="D932" t="s">
        <v>193</v>
      </c>
      <c r="E932" t="s">
        <v>89</v>
      </c>
      <c r="F932" t="s">
        <v>8</v>
      </c>
      <c r="G932">
        <v>15</v>
      </c>
    </row>
    <row r="933" spans="1:7" x14ac:dyDescent="0.3">
      <c r="A933">
        <v>2021</v>
      </c>
      <c r="B933" t="s">
        <v>14</v>
      </c>
      <c r="C933" t="s">
        <v>11</v>
      </c>
      <c r="D933" t="s">
        <v>193</v>
      </c>
      <c r="E933" t="s">
        <v>88</v>
      </c>
      <c r="F933" t="s">
        <v>8</v>
      </c>
      <c r="G933">
        <v>1</v>
      </c>
    </row>
    <row r="934" spans="1:7" x14ac:dyDescent="0.3">
      <c r="A934">
        <v>2021</v>
      </c>
      <c r="B934" t="s">
        <v>15</v>
      </c>
      <c r="C934" t="s">
        <v>11</v>
      </c>
      <c r="D934" t="s">
        <v>194</v>
      </c>
      <c r="E934" t="s">
        <v>94</v>
      </c>
      <c r="F934" t="s">
        <v>8</v>
      </c>
      <c r="G934">
        <v>1</v>
      </c>
    </row>
    <row r="935" spans="1:7" x14ac:dyDescent="0.3">
      <c r="A935">
        <v>2021</v>
      </c>
      <c r="B935" t="s">
        <v>15</v>
      </c>
      <c r="C935" t="s">
        <v>11</v>
      </c>
      <c r="D935" t="s">
        <v>194</v>
      </c>
      <c r="E935" t="s">
        <v>87</v>
      </c>
      <c r="F935" t="s">
        <v>8</v>
      </c>
      <c r="G935">
        <v>2</v>
      </c>
    </row>
    <row r="936" spans="1:7" x14ac:dyDescent="0.3">
      <c r="A936">
        <v>2021</v>
      </c>
      <c r="B936" t="s">
        <v>15</v>
      </c>
      <c r="C936" t="s">
        <v>11</v>
      </c>
      <c r="D936" t="s">
        <v>194</v>
      </c>
      <c r="E936" t="s">
        <v>89</v>
      </c>
      <c r="F936" t="s">
        <v>8</v>
      </c>
      <c r="G936">
        <v>9</v>
      </c>
    </row>
    <row r="937" spans="1:7" x14ac:dyDescent="0.3">
      <c r="A937">
        <v>2021</v>
      </c>
      <c r="B937" t="s">
        <v>15</v>
      </c>
      <c r="C937" t="s">
        <v>11</v>
      </c>
      <c r="D937" t="s">
        <v>194</v>
      </c>
      <c r="E937" t="s">
        <v>88</v>
      </c>
      <c r="F937" t="s">
        <v>8</v>
      </c>
      <c r="G937">
        <v>0</v>
      </c>
    </row>
    <row r="938" spans="1:7" x14ac:dyDescent="0.3">
      <c r="A938">
        <v>2021</v>
      </c>
      <c r="B938" t="s">
        <v>16</v>
      </c>
      <c r="C938" t="s">
        <v>11</v>
      </c>
      <c r="D938" t="s">
        <v>195</v>
      </c>
      <c r="E938" t="s">
        <v>94</v>
      </c>
      <c r="F938" t="s">
        <v>8</v>
      </c>
      <c r="G938">
        <v>2</v>
      </c>
    </row>
    <row r="939" spans="1:7" x14ac:dyDescent="0.3">
      <c r="A939">
        <v>2021</v>
      </c>
      <c r="B939" t="s">
        <v>16</v>
      </c>
      <c r="C939" t="s">
        <v>11</v>
      </c>
      <c r="D939" t="s">
        <v>195</v>
      </c>
      <c r="E939" t="s">
        <v>87</v>
      </c>
      <c r="F939" t="s">
        <v>8</v>
      </c>
      <c r="G939">
        <v>4</v>
      </c>
    </row>
    <row r="940" spans="1:7" x14ac:dyDescent="0.3">
      <c r="A940">
        <v>2021</v>
      </c>
      <c r="B940" t="s">
        <v>16</v>
      </c>
      <c r="C940" t="s">
        <v>11</v>
      </c>
      <c r="D940" t="s">
        <v>195</v>
      </c>
      <c r="E940" t="s">
        <v>89</v>
      </c>
      <c r="F940" t="s">
        <v>8</v>
      </c>
      <c r="G940">
        <v>16</v>
      </c>
    </row>
    <row r="941" spans="1:7" x14ac:dyDescent="0.3">
      <c r="A941">
        <v>2021</v>
      </c>
      <c r="B941" t="s">
        <v>16</v>
      </c>
      <c r="C941" t="s">
        <v>11</v>
      </c>
      <c r="D941" t="s">
        <v>195</v>
      </c>
      <c r="E941" t="s">
        <v>88</v>
      </c>
      <c r="F941" t="s">
        <v>8</v>
      </c>
      <c r="G941">
        <v>4</v>
      </c>
    </row>
    <row r="942" spans="1:7" x14ac:dyDescent="0.3">
      <c r="A942">
        <v>2021</v>
      </c>
      <c r="B942" t="s">
        <v>17</v>
      </c>
      <c r="C942" t="s">
        <v>11</v>
      </c>
      <c r="D942" t="s">
        <v>196</v>
      </c>
      <c r="E942" t="s">
        <v>94</v>
      </c>
      <c r="F942" t="s">
        <v>8</v>
      </c>
      <c r="G942">
        <v>4</v>
      </c>
    </row>
    <row r="943" spans="1:7" x14ac:dyDescent="0.3">
      <c r="A943">
        <v>2021</v>
      </c>
      <c r="B943" t="s">
        <v>17</v>
      </c>
      <c r="C943" t="s">
        <v>11</v>
      </c>
      <c r="D943" t="s">
        <v>196</v>
      </c>
      <c r="E943" t="s">
        <v>87</v>
      </c>
      <c r="F943" t="s">
        <v>8</v>
      </c>
      <c r="G943">
        <v>5</v>
      </c>
    </row>
    <row r="944" spans="1:7" x14ac:dyDescent="0.3">
      <c r="A944">
        <v>2021</v>
      </c>
      <c r="B944" t="s">
        <v>17</v>
      </c>
      <c r="C944" t="s">
        <v>11</v>
      </c>
      <c r="D944" t="s">
        <v>196</v>
      </c>
      <c r="E944" t="s">
        <v>89</v>
      </c>
      <c r="F944" t="s">
        <v>8</v>
      </c>
      <c r="G944">
        <v>3</v>
      </c>
    </row>
    <row r="945" spans="1:7" x14ac:dyDescent="0.3">
      <c r="A945">
        <v>2021</v>
      </c>
      <c r="B945" t="s">
        <v>17</v>
      </c>
      <c r="C945" t="s">
        <v>11</v>
      </c>
      <c r="D945" t="s">
        <v>196</v>
      </c>
      <c r="E945" t="s">
        <v>88</v>
      </c>
      <c r="F945" t="s">
        <v>8</v>
      </c>
      <c r="G945">
        <v>0</v>
      </c>
    </row>
    <row r="946" spans="1:7" x14ac:dyDescent="0.3">
      <c r="A946">
        <v>2021</v>
      </c>
      <c r="B946" t="s">
        <v>18</v>
      </c>
      <c r="C946" t="s">
        <v>11</v>
      </c>
      <c r="D946" t="s">
        <v>197</v>
      </c>
      <c r="E946" t="s">
        <v>94</v>
      </c>
      <c r="F946" t="s">
        <v>8</v>
      </c>
      <c r="G946">
        <v>3</v>
      </c>
    </row>
    <row r="947" spans="1:7" x14ac:dyDescent="0.3">
      <c r="A947">
        <v>2021</v>
      </c>
      <c r="B947" t="s">
        <v>18</v>
      </c>
      <c r="C947" t="s">
        <v>11</v>
      </c>
      <c r="D947" t="s">
        <v>197</v>
      </c>
      <c r="E947" t="s">
        <v>87</v>
      </c>
      <c r="F947" t="s">
        <v>8</v>
      </c>
      <c r="G947">
        <v>0</v>
      </c>
    </row>
    <row r="948" spans="1:7" x14ac:dyDescent="0.3">
      <c r="A948">
        <v>2021</v>
      </c>
      <c r="B948" t="s">
        <v>18</v>
      </c>
      <c r="C948" t="s">
        <v>11</v>
      </c>
      <c r="D948" t="s">
        <v>197</v>
      </c>
      <c r="E948" t="s">
        <v>89</v>
      </c>
      <c r="F948" t="s">
        <v>8</v>
      </c>
      <c r="G948">
        <v>7</v>
      </c>
    </row>
    <row r="949" spans="1:7" x14ac:dyDescent="0.3">
      <c r="A949">
        <v>2021</v>
      </c>
      <c r="B949" t="s">
        <v>18</v>
      </c>
      <c r="C949" t="s">
        <v>11</v>
      </c>
      <c r="D949" t="s">
        <v>197</v>
      </c>
      <c r="E949" t="s">
        <v>88</v>
      </c>
      <c r="F949" t="s">
        <v>8</v>
      </c>
      <c r="G949">
        <v>1</v>
      </c>
    </row>
    <row r="950" spans="1:7" x14ac:dyDescent="0.3">
      <c r="A950">
        <v>2021</v>
      </c>
      <c r="B950" t="s">
        <v>19</v>
      </c>
      <c r="C950" t="s">
        <v>11</v>
      </c>
      <c r="D950" t="s">
        <v>198</v>
      </c>
      <c r="E950" t="s">
        <v>94</v>
      </c>
      <c r="F950" t="s">
        <v>8</v>
      </c>
      <c r="G950">
        <v>4</v>
      </c>
    </row>
    <row r="951" spans="1:7" x14ac:dyDescent="0.3">
      <c r="A951">
        <v>2021</v>
      </c>
      <c r="B951" t="s">
        <v>19</v>
      </c>
      <c r="C951" t="s">
        <v>11</v>
      </c>
      <c r="D951" t="s">
        <v>198</v>
      </c>
      <c r="E951" t="s">
        <v>87</v>
      </c>
      <c r="F951" t="s">
        <v>8</v>
      </c>
      <c r="G951">
        <v>0</v>
      </c>
    </row>
    <row r="952" spans="1:7" x14ac:dyDescent="0.3">
      <c r="A952">
        <v>2021</v>
      </c>
      <c r="B952" t="s">
        <v>19</v>
      </c>
      <c r="C952" t="s">
        <v>11</v>
      </c>
      <c r="D952" t="s">
        <v>198</v>
      </c>
      <c r="E952" t="s">
        <v>89</v>
      </c>
      <c r="F952" t="s">
        <v>8</v>
      </c>
      <c r="G952">
        <v>0</v>
      </c>
    </row>
    <row r="953" spans="1:7" x14ac:dyDescent="0.3">
      <c r="A953">
        <v>2021</v>
      </c>
      <c r="B953" t="s">
        <v>19</v>
      </c>
      <c r="C953" t="s">
        <v>11</v>
      </c>
      <c r="D953" t="s">
        <v>198</v>
      </c>
      <c r="E953" t="s">
        <v>88</v>
      </c>
      <c r="F953" t="s">
        <v>8</v>
      </c>
      <c r="G953">
        <v>0</v>
      </c>
    </row>
    <row r="954" spans="1:7" x14ac:dyDescent="0.3">
      <c r="A954">
        <v>2021</v>
      </c>
      <c r="B954" t="s">
        <v>20</v>
      </c>
      <c r="C954" t="s">
        <v>11</v>
      </c>
      <c r="D954" t="s">
        <v>199</v>
      </c>
      <c r="E954" t="s">
        <v>94</v>
      </c>
      <c r="F954" t="s">
        <v>8</v>
      </c>
      <c r="G954">
        <v>10</v>
      </c>
    </row>
    <row r="955" spans="1:7" x14ac:dyDescent="0.3">
      <c r="A955">
        <v>2021</v>
      </c>
      <c r="B955" t="s">
        <v>20</v>
      </c>
      <c r="C955" t="s">
        <v>11</v>
      </c>
      <c r="D955" t="s">
        <v>199</v>
      </c>
      <c r="E955" t="s">
        <v>87</v>
      </c>
      <c r="F955" t="s">
        <v>8</v>
      </c>
      <c r="G955">
        <v>12</v>
      </c>
    </row>
    <row r="956" spans="1:7" x14ac:dyDescent="0.3">
      <c r="A956">
        <v>2021</v>
      </c>
      <c r="B956" t="s">
        <v>20</v>
      </c>
      <c r="C956" t="s">
        <v>11</v>
      </c>
      <c r="D956" t="s">
        <v>199</v>
      </c>
      <c r="E956" t="s">
        <v>89</v>
      </c>
      <c r="F956" t="s">
        <v>8</v>
      </c>
      <c r="G956">
        <v>0</v>
      </c>
    </row>
    <row r="957" spans="1:7" x14ac:dyDescent="0.3">
      <c r="A957">
        <v>2021</v>
      </c>
      <c r="B957" t="s">
        <v>20</v>
      </c>
      <c r="C957" t="s">
        <v>11</v>
      </c>
      <c r="D957" t="s">
        <v>199</v>
      </c>
      <c r="E957" t="s">
        <v>88</v>
      </c>
      <c r="F957" t="s">
        <v>8</v>
      </c>
      <c r="G957">
        <v>0</v>
      </c>
    </row>
    <row r="958" spans="1:7" x14ac:dyDescent="0.3">
      <c r="A958">
        <v>2021</v>
      </c>
      <c r="B958" t="s">
        <v>21</v>
      </c>
      <c r="C958" t="s">
        <v>11</v>
      </c>
      <c r="D958" t="s">
        <v>200</v>
      </c>
      <c r="E958" t="s">
        <v>94</v>
      </c>
      <c r="F958" t="s">
        <v>8</v>
      </c>
      <c r="G958">
        <v>7</v>
      </c>
    </row>
    <row r="959" spans="1:7" x14ac:dyDescent="0.3">
      <c r="A959">
        <v>2021</v>
      </c>
      <c r="B959" t="s">
        <v>21</v>
      </c>
      <c r="C959" t="s">
        <v>11</v>
      </c>
      <c r="D959" t="s">
        <v>200</v>
      </c>
      <c r="E959" t="s">
        <v>87</v>
      </c>
      <c r="F959" t="s">
        <v>8</v>
      </c>
      <c r="G959">
        <v>9</v>
      </c>
    </row>
    <row r="960" spans="1:7" x14ac:dyDescent="0.3">
      <c r="A960">
        <v>2021</v>
      </c>
      <c r="B960" t="s">
        <v>21</v>
      </c>
      <c r="C960" t="s">
        <v>11</v>
      </c>
      <c r="D960" t="s">
        <v>200</v>
      </c>
      <c r="E960" t="s">
        <v>89</v>
      </c>
      <c r="F960" t="s">
        <v>8</v>
      </c>
      <c r="G960">
        <v>15</v>
      </c>
    </row>
    <row r="961" spans="1:7" x14ac:dyDescent="0.3">
      <c r="A961">
        <v>2021</v>
      </c>
      <c r="B961" t="s">
        <v>21</v>
      </c>
      <c r="C961" t="s">
        <v>11</v>
      </c>
      <c r="D961" t="s">
        <v>200</v>
      </c>
      <c r="E961" t="s">
        <v>88</v>
      </c>
      <c r="F961" t="s">
        <v>8</v>
      </c>
      <c r="G961">
        <v>0</v>
      </c>
    </row>
    <row r="962" spans="1:7" x14ac:dyDescent="0.3">
      <c r="A962">
        <v>2021</v>
      </c>
      <c r="B962" t="s">
        <v>22</v>
      </c>
      <c r="C962" t="s">
        <v>11</v>
      </c>
      <c r="D962" t="s">
        <v>201</v>
      </c>
      <c r="E962" t="s">
        <v>94</v>
      </c>
      <c r="F962" t="s">
        <v>8</v>
      </c>
      <c r="G962">
        <v>13</v>
      </c>
    </row>
    <row r="963" spans="1:7" x14ac:dyDescent="0.3">
      <c r="A963">
        <v>2021</v>
      </c>
      <c r="B963" t="s">
        <v>22</v>
      </c>
      <c r="C963" t="s">
        <v>11</v>
      </c>
      <c r="D963" t="s">
        <v>201</v>
      </c>
      <c r="E963" t="s">
        <v>87</v>
      </c>
      <c r="F963" t="s">
        <v>8</v>
      </c>
      <c r="G963">
        <v>2</v>
      </c>
    </row>
    <row r="964" spans="1:7" x14ac:dyDescent="0.3">
      <c r="A964">
        <v>2021</v>
      </c>
      <c r="B964" t="s">
        <v>22</v>
      </c>
      <c r="C964" t="s">
        <v>11</v>
      </c>
      <c r="D964" t="s">
        <v>201</v>
      </c>
      <c r="E964" t="s">
        <v>89</v>
      </c>
      <c r="F964" t="s">
        <v>8</v>
      </c>
      <c r="G964">
        <v>5</v>
      </c>
    </row>
    <row r="965" spans="1:7" x14ac:dyDescent="0.3">
      <c r="A965">
        <v>2021</v>
      </c>
      <c r="B965" t="s">
        <v>22</v>
      </c>
      <c r="C965" t="s">
        <v>11</v>
      </c>
      <c r="D965" t="s">
        <v>201</v>
      </c>
      <c r="E965" t="s">
        <v>88</v>
      </c>
      <c r="F965" t="s">
        <v>8</v>
      </c>
      <c r="G965">
        <v>1</v>
      </c>
    </row>
    <row r="966" spans="1:7" x14ac:dyDescent="0.3">
      <c r="A966">
        <v>2021</v>
      </c>
      <c r="B966" t="s">
        <v>23</v>
      </c>
      <c r="C966" t="s">
        <v>11</v>
      </c>
      <c r="D966" t="s">
        <v>202</v>
      </c>
      <c r="E966" t="s">
        <v>94</v>
      </c>
      <c r="F966" t="s">
        <v>8</v>
      </c>
      <c r="G966">
        <v>5</v>
      </c>
    </row>
    <row r="967" spans="1:7" x14ac:dyDescent="0.3">
      <c r="A967">
        <v>2021</v>
      </c>
      <c r="B967" t="s">
        <v>23</v>
      </c>
      <c r="C967" t="s">
        <v>11</v>
      </c>
      <c r="D967" t="s">
        <v>202</v>
      </c>
      <c r="E967" t="s">
        <v>87</v>
      </c>
      <c r="F967" t="s">
        <v>8</v>
      </c>
      <c r="G967">
        <v>0</v>
      </c>
    </row>
    <row r="968" spans="1:7" x14ac:dyDescent="0.3">
      <c r="A968">
        <v>2021</v>
      </c>
      <c r="B968" t="s">
        <v>23</v>
      </c>
      <c r="C968" t="s">
        <v>11</v>
      </c>
      <c r="D968" t="s">
        <v>202</v>
      </c>
      <c r="E968" t="s">
        <v>89</v>
      </c>
      <c r="F968" t="s">
        <v>8</v>
      </c>
      <c r="G968">
        <v>33</v>
      </c>
    </row>
    <row r="969" spans="1:7" x14ac:dyDescent="0.3">
      <c r="A969">
        <v>2021</v>
      </c>
      <c r="B969" t="s">
        <v>23</v>
      </c>
      <c r="C969" t="s">
        <v>11</v>
      </c>
      <c r="D969" t="s">
        <v>202</v>
      </c>
      <c r="E969" t="s">
        <v>88</v>
      </c>
      <c r="F969" t="s">
        <v>8</v>
      </c>
      <c r="G969">
        <v>2</v>
      </c>
    </row>
    <row r="970" spans="1:7" x14ac:dyDescent="0.3">
      <c r="A970">
        <v>2021</v>
      </c>
      <c r="B970" t="s">
        <v>24</v>
      </c>
      <c r="C970" t="s">
        <v>11</v>
      </c>
      <c r="D970" t="s">
        <v>203</v>
      </c>
      <c r="E970" t="s">
        <v>94</v>
      </c>
      <c r="F970" t="s">
        <v>8</v>
      </c>
      <c r="G970">
        <v>5</v>
      </c>
    </row>
    <row r="971" spans="1:7" x14ac:dyDescent="0.3">
      <c r="A971">
        <v>2021</v>
      </c>
      <c r="B971" t="s">
        <v>24</v>
      </c>
      <c r="C971" t="s">
        <v>11</v>
      </c>
      <c r="D971" t="s">
        <v>203</v>
      </c>
      <c r="E971" t="s">
        <v>87</v>
      </c>
      <c r="F971" t="s">
        <v>8</v>
      </c>
      <c r="G971">
        <v>0</v>
      </c>
    </row>
    <row r="972" spans="1:7" x14ac:dyDescent="0.3">
      <c r="A972">
        <v>2021</v>
      </c>
      <c r="B972" t="s">
        <v>24</v>
      </c>
      <c r="C972" t="s">
        <v>11</v>
      </c>
      <c r="D972" t="s">
        <v>203</v>
      </c>
      <c r="E972" t="s">
        <v>89</v>
      </c>
      <c r="F972" t="s">
        <v>8</v>
      </c>
      <c r="G972">
        <v>7</v>
      </c>
    </row>
    <row r="973" spans="1:7" x14ac:dyDescent="0.3">
      <c r="A973">
        <v>2021</v>
      </c>
      <c r="B973" t="s">
        <v>24</v>
      </c>
      <c r="C973" t="s">
        <v>11</v>
      </c>
      <c r="D973" t="s">
        <v>203</v>
      </c>
      <c r="E973" t="s">
        <v>88</v>
      </c>
      <c r="F973" t="s">
        <v>8</v>
      </c>
      <c r="G973">
        <v>2</v>
      </c>
    </row>
    <row r="974" spans="1:7" x14ac:dyDescent="0.3">
      <c r="A974">
        <v>2021</v>
      </c>
      <c r="B974" t="s">
        <v>25</v>
      </c>
      <c r="C974" t="s">
        <v>11</v>
      </c>
      <c r="D974" t="s">
        <v>204</v>
      </c>
      <c r="E974" t="s">
        <v>94</v>
      </c>
      <c r="F974" t="s">
        <v>8</v>
      </c>
      <c r="G974">
        <v>2</v>
      </c>
    </row>
    <row r="975" spans="1:7" x14ac:dyDescent="0.3">
      <c r="A975">
        <v>2021</v>
      </c>
      <c r="B975" t="s">
        <v>25</v>
      </c>
      <c r="C975" t="s">
        <v>11</v>
      </c>
      <c r="D975" t="s">
        <v>204</v>
      </c>
      <c r="E975" t="s">
        <v>87</v>
      </c>
      <c r="F975" t="s">
        <v>8</v>
      </c>
      <c r="G975">
        <v>0</v>
      </c>
    </row>
    <row r="976" spans="1:7" x14ac:dyDescent="0.3">
      <c r="A976">
        <v>2021</v>
      </c>
      <c r="B976" t="s">
        <v>25</v>
      </c>
      <c r="C976" t="s">
        <v>11</v>
      </c>
      <c r="D976" t="s">
        <v>204</v>
      </c>
      <c r="E976" t="s">
        <v>89</v>
      </c>
      <c r="F976" t="s">
        <v>8</v>
      </c>
      <c r="G976">
        <v>7</v>
      </c>
    </row>
    <row r="977" spans="1:7" x14ac:dyDescent="0.3">
      <c r="A977">
        <v>2021</v>
      </c>
      <c r="B977" t="s">
        <v>25</v>
      </c>
      <c r="C977" t="s">
        <v>11</v>
      </c>
      <c r="D977" t="s">
        <v>204</v>
      </c>
      <c r="E977" t="s">
        <v>88</v>
      </c>
      <c r="F977" t="s">
        <v>8</v>
      </c>
      <c r="G977">
        <v>0</v>
      </c>
    </row>
    <row r="978" spans="1:7" x14ac:dyDescent="0.3">
      <c r="A978">
        <v>2021</v>
      </c>
      <c r="B978" t="s">
        <v>26</v>
      </c>
      <c r="C978" t="s">
        <v>11</v>
      </c>
      <c r="D978" t="s">
        <v>205</v>
      </c>
      <c r="E978" t="s">
        <v>94</v>
      </c>
      <c r="F978" t="s">
        <v>8</v>
      </c>
      <c r="G978">
        <v>7</v>
      </c>
    </row>
    <row r="979" spans="1:7" x14ac:dyDescent="0.3">
      <c r="A979">
        <v>2021</v>
      </c>
      <c r="B979" t="s">
        <v>26</v>
      </c>
      <c r="C979" t="s">
        <v>11</v>
      </c>
      <c r="D979" t="s">
        <v>205</v>
      </c>
      <c r="E979" t="s">
        <v>87</v>
      </c>
      <c r="F979" t="s">
        <v>8</v>
      </c>
      <c r="G979">
        <v>4</v>
      </c>
    </row>
    <row r="980" spans="1:7" x14ac:dyDescent="0.3">
      <c r="A980">
        <v>2021</v>
      </c>
      <c r="B980" t="s">
        <v>26</v>
      </c>
      <c r="C980" t="s">
        <v>11</v>
      </c>
      <c r="D980" t="s">
        <v>205</v>
      </c>
      <c r="E980" t="s">
        <v>89</v>
      </c>
      <c r="F980" t="s">
        <v>8</v>
      </c>
      <c r="G980">
        <v>20</v>
      </c>
    </row>
    <row r="981" spans="1:7" x14ac:dyDescent="0.3">
      <c r="A981">
        <v>2021</v>
      </c>
      <c r="B981" t="s">
        <v>26</v>
      </c>
      <c r="C981" t="s">
        <v>11</v>
      </c>
      <c r="D981" t="s">
        <v>205</v>
      </c>
      <c r="E981" t="s">
        <v>88</v>
      </c>
      <c r="F981" t="s">
        <v>8</v>
      </c>
      <c r="G981">
        <v>2</v>
      </c>
    </row>
    <row r="982" spans="1:7" x14ac:dyDescent="0.3">
      <c r="A982">
        <v>2021</v>
      </c>
      <c r="B982" t="s">
        <v>27</v>
      </c>
      <c r="C982" t="s">
        <v>11</v>
      </c>
      <c r="D982" t="s">
        <v>206</v>
      </c>
      <c r="E982" t="s">
        <v>94</v>
      </c>
      <c r="F982" t="s">
        <v>8</v>
      </c>
      <c r="G982">
        <v>9</v>
      </c>
    </row>
    <row r="983" spans="1:7" x14ac:dyDescent="0.3">
      <c r="A983">
        <v>2021</v>
      </c>
      <c r="B983" t="s">
        <v>27</v>
      </c>
      <c r="C983" t="s">
        <v>11</v>
      </c>
      <c r="D983" t="s">
        <v>206</v>
      </c>
      <c r="E983" t="s">
        <v>87</v>
      </c>
      <c r="F983" t="s">
        <v>8</v>
      </c>
      <c r="G983">
        <v>1</v>
      </c>
    </row>
    <row r="984" spans="1:7" x14ac:dyDescent="0.3">
      <c r="A984">
        <v>2021</v>
      </c>
      <c r="B984" t="s">
        <v>27</v>
      </c>
      <c r="C984" t="s">
        <v>11</v>
      </c>
      <c r="D984" t="s">
        <v>206</v>
      </c>
      <c r="E984" t="s">
        <v>89</v>
      </c>
      <c r="F984" t="s">
        <v>8</v>
      </c>
      <c r="G984">
        <v>1</v>
      </c>
    </row>
    <row r="985" spans="1:7" x14ac:dyDescent="0.3">
      <c r="A985">
        <v>2021</v>
      </c>
      <c r="B985" t="s">
        <v>27</v>
      </c>
      <c r="C985" t="s">
        <v>11</v>
      </c>
      <c r="D985" t="s">
        <v>206</v>
      </c>
      <c r="E985" t="s">
        <v>88</v>
      </c>
      <c r="F985" t="s">
        <v>8</v>
      </c>
      <c r="G985">
        <v>0</v>
      </c>
    </row>
    <row r="986" spans="1:7" x14ac:dyDescent="0.3">
      <c r="A986">
        <v>2021</v>
      </c>
      <c r="B986" t="s">
        <v>58</v>
      </c>
      <c r="C986" t="s">
        <v>51</v>
      </c>
      <c r="D986" t="s">
        <v>207</v>
      </c>
      <c r="E986" t="s">
        <v>94</v>
      </c>
      <c r="F986" t="s">
        <v>8</v>
      </c>
      <c r="G986">
        <v>0</v>
      </c>
    </row>
    <row r="987" spans="1:7" x14ac:dyDescent="0.3">
      <c r="A987">
        <v>2021</v>
      </c>
      <c r="B987" t="s">
        <v>58</v>
      </c>
      <c r="C987" t="s">
        <v>51</v>
      </c>
      <c r="D987" t="s">
        <v>207</v>
      </c>
      <c r="E987" t="s">
        <v>87</v>
      </c>
      <c r="F987" t="s">
        <v>8</v>
      </c>
      <c r="G987">
        <v>55</v>
      </c>
    </row>
    <row r="988" spans="1:7" x14ac:dyDescent="0.3">
      <c r="A988">
        <v>2021</v>
      </c>
      <c r="B988" t="s">
        <v>58</v>
      </c>
      <c r="C988" t="s">
        <v>51</v>
      </c>
      <c r="D988" t="s">
        <v>207</v>
      </c>
      <c r="E988" t="s">
        <v>89</v>
      </c>
      <c r="F988" t="s">
        <v>8</v>
      </c>
      <c r="G988">
        <v>50</v>
      </c>
    </row>
    <row r="989" spans="1:7" x14ac:dyDescent="0.3">
      <c r="A989">
        <v>2021</v>
      </c>
      <c r="B989" t="s">
        <v>58</v>
      </c>
      <c r="C989" t="s">
        <v>51</v>
      </c>
      <c r="D989" t="s">
        <v>207</v>
      </c>
      <c r="E989" t="s">
        <v>88</v>
      </c>
      <c r="F989" t="s">
        <v>8</v>
      </c>
      <c r="G989">
        <v>3</v>
      </c>
    </row>
    <row r="990" spans="1:7" x14ac:dyDescent="0.3">
      <c r="A990">
        <v>2021</v>
      </c>
      <c r="B990" t="s">
        <v>52</v>
      </c>
      <c r="C990" t="s">
        <v>51</v>
      </c>
      <c r="D990" t="s">
        <v>208</v>
      </c>
      <c r="E990" t="s">
        <v>94</v>
      </c>
      <c r="F990" t="s">
        <v>8</v>
      </c>
      <c r="G990">
        <v>0</v>
      </c>
    </row>
    <row r="991" spans="1:7" x14ac:dyDescent="0.3">
      <c r="A991">
        <v>2021</v>
      </c>
      <c r="B991" t="s">
        <v>52</v>
      </c>
      <c r="C991" t="s">
        <v>51</v>
      </c>
      <c r="D991" t="s">
        <v>208</v>
      </c>
      <c r="E991" t="s">
        <v>87</v>
      </c>
      <c r="F991" t="s">
        <v>8</v>
      </c>
      <c r="G991">
        <v>10</v>
      </c>
    </row>
    <row r="992" spans="1:7" x14ac:dyDescent="0.3">
      <c r="A992">
        <v>2021</v>
      </c>
      <c r="B992" t="s">
        <v>52</v>
      </c>
      <c r="C992" t="s">
        <v>51</v>
      </c>
      <c r="D992" t="s">
        <v>208</v>
      </c>
      <c r="E992" t="s">
        <v>89</v>
      </c>
      <c r="F992" t="s">
        <v>8</v>
      </c>
      <c r="G992">
        <v>6</v>
      </c>
    </row>
    <row r="993" spans="1:7" x14ac:dyDescent="0.3">
      <c r="A993">
        <v>2021</v>
      </c>
      <c r="B993" t="s">
        <v>52</v>
      </c>
      <c r="C993" t="s">
        <v>51</v>
      </c>
      <c r="D993" t="s">
        <v>208</v>
      </c>
      <c r="E993" t="s">
        <v>88</v>
      </c>
      <c r="F993" t="s">
        <v>8</v>
      </c>
      <c r="G993">
        <v>0</v>
      </c>
    </row>
    <row r="994" spans="1:7" x14ac:dyDescent="0.3">
      <c r="A994">
        <v>2021</v>
      </c>
      <c r="B994" t="s">
        <v>28</v>
      </c>
      <c r="C994" t="s">
        <v>11</v>
      </c>
      <c r="D994" t="s">
        <v>209</v>
      </c>
      <c r="E994" t="s">
        <v>94</v>
      </c>
      <c r="F994" t="s">
        <v>8</v>
      </c>
      <c r="G994">
        <v>9</v>
      </c>
    </row>
    <row r="995" spans="1:7" x14ac:dyDescent="0.3">
      <c r="A995">
        <v>2021</v>
      </c>
      <c r="B995" t="s">
        <v>28</v>
      </c>
      <c r="C995" t="s">
        <v>11</v>
      </c>
      <c r="D995" t="s">
        <v>209</v>
      </c>
      <c r="E995" t="s">
        <v>87</v>
      </c>
      <c r="F995" t="s">
        <v>8</v>
      </c>
      <c r="G995">
        <v>9</v>
      </c>
    </row>
    <row r="996" spans="1:7" x14ac:dyDescent="0.3">
      <c r="A996">
        <v>2021</v>
      </c>
      <c r="B996" t="s">
        <v>28</v>
      </c>
      <c r="C996" t="s">
        <v>11</v>
      </c>
      <c r="D996" t="s">
        <v>209</v>
      </c>
      <c r="E996" t="s">
        <v>89</v>
      </c>
      <c r="F996" t="s">
        <v>8</v>
      </c>
      <c r="G996">
        <v>68</v>
      </c>
    </row>
    <row r="997" spans="1:7" x14ac:dyDescent="0.3">
      <c r="A997">
        <v>2021</v>
      </c>
      <c r="B997" t="s">
        <v>28</v>
      </c>
      <c r="C997" t="s">
        <v>11</v>
      </c>
      <c r="D997" t="s">
        <v>209</v>
      </c>
      <c r="E997" t="s">
        <v>88</v>
      </c>
      <c r="F997" t="s">
        <v>8</v>
      </c>
      <c r="G997">
        <v>1</v>
      </c>
    </row>
    <row r="998" spans="1:7" x14ac:dyDescent="0.3">
      <c r="A998">
        <v>2021</v>
      </c>
      <c r="B998" t="s">
        <v>29</v>
      </c>
      <c r="C998" t="s">
        <v>11</v>
      </c>
      <c r="D998" t="s">
        <v>210</v>
      </c>
      <c r="E998" t="s">
        <v>94</v>
      </c>
      <c r="F998" t="s">
        <v>8</v>
      </c>
      <c r="G998">
        <v>2</v>
      </c>
    </row>
    <row r="999" spans="1:7" x14ac:dyDescent="0.3">
      <c r="A999">
        <v>2021</v>
      </c>
      <c r="B999" t="s">
        <v>29</v>
      </c>
      <c r="C999" t="s">
        <v>11</v>
      </c>
      <c r="D999" t="s">
        <v>210</v>
      </c>
      <c r="E999" t="s">
        <v>87</v>
      </c>
      <c r="F999" t="s">
        <v>8</v>
      </c>
      <c r="G999">
        <v>7</v>
      </c>
    </row>
    <row r="1000" spans="1:7" x14ac:dyDescent="0.3">
      <c r="A1000">
        <v>2021</v>
      </c>
      <c r="B1000" t="s">
        <v>29</v>
      </c>
      <c r="C1000" t="s">
        <v>11</v>
      </c>
      <c r="D1000" t="s">
        <v>210</v>
      </c>
      <c r="E1000" t="s">
        <v>89</v>
      </c>
      <c r="F1000" t="s">
        <v>8</v>
      </c>
      <c r="G1000">
        <v>8</v>
      </c>
    </row>
    <row r="1001" spans="1:7" x14ac:dyDescent="0.3">
      <c r="A1001">
        <v>2021</v>
      </c>
      <c r="B1001" t="s">
        <v>29</v>
      </c>
      <c r="C1001" t="s">
        <v>11</v>
      </c>
      <c r="D1001" t="s">
        <v>210</v>
      </c>
      <c r="E1001" t="s">
        <v>88</v>
      </c>
      <c r="F1001" t="s">
        <v>8</v>
      </c>
      <c r="G1001">
        <v>3</v>
      </c>
    </row>
    <row r="1002" spans="1:7" x14ac:dyDescent="0.3">
      <c r="A1002">
        <v>2021</v>
      </c>
      <c r="B1002" t="s">
        <v>30</v>
      </c>
      <c r="C1002" t="s">
        <v>11</v>
      </c>
      <c r="D1002" t="s">
        <v>211</v>
      </c>
      <c r="E1002" t="s">
        <v>94</v>
      </c>
      <c r="F1002" t="s">
        <v>8</v>
      </c>
      <c r="G1002">
        <v>1</v>
      </c>
    </row>
    <row r="1003" spans="1:7" x14ac:dyDescent="0.3">
      <c r="A1003">
        <v>2021</v>
      </c>
      <c r="B1003" t="s">
        <v>30</v>
      </c>
      <c r="C1003" t="s">
        <v>11</v>
      </c>
      <c r="D1003" t="s">
        <v>211</v>
      </c>
      <c r="E1003" t="s">
        <v>87</v>
      </c>
      <c r="F1003" t="s">
        <v>8</v>
      </c>
      <c r="G1003">
        <v>1</v>
      </c>
    </row>
    <row r="1004" spans="1:7" x14ac:dyDescent="0.3">
      <c r="A1004">
        <v>2021</v>
      </c>
      <c r="B1004" t="s">
        <v>30</v>
      </c>
      <c r="C1004" t="s">
        <v>11</v>
      </c>
      <c r="D1004" t="s">
        <v>211</v>
      </c>
      <c r="E1004" t="s">
        <v>89</v>
      </c>
      <c r="F1004" t="s">
        <v>8</v>
      </c>
      <c r="G1004">
        <v>17</v>
      </c>
    </row>
    <row r="1005" spans="1:7" x14ac:dyDescent="0.3">
      <c r="A1005">
        <v>2021</v>
      </c>
      <c r="B1005" t="s">
        <v>30</v>
      </c>
      <c r="C1005" t="s">
        <v>11</v>
      </c>
      <c r="D1005" t="s">
        <v>211</v>
      </c>
      <c r="E1005" t="s">
        <v>88</v>
      </c>
      <c r="F1005" t="s">
        <v>8</v>
      </c>
      <c r="G1005">
        <v>2</v>
      </c>
    </row>
    <row r="1006" spans="1:7" x14ac:dyDescent="0.3">
      <c r="A1006">
        <v>2021</v>
      </c>
      <c r="B1006" t="s">
        <v>31</v>
      </c>
      <c r="C1006" t="s">
        <v>11</v>
      </c>
      <c r="D1006" t="s">
        <v>212</v>
      </c>
      <c r="E1006" t="s">
        <v>94</v>
      </c>
      <c r="F1006" t="s">
        <v>8</v>
      </c>
      <c r="G1006">
        <v>0</v>
      </c>
    </row>
    <row r="1007" spans="1:7" x14ac:dyDescent="0.3">
      <c r="A1007">
        <v>2021</v>
      </c>
      <c r="B1007" t="s">
        <v>31</v>
      </c>
      <c r="C1007" t="s">
        <v>11</v>
      </c>
      <c r="D1007" t="s">
        <v>212</v>
      </c>
      <c r="E1007" t="s">
        <v>87</v>
      </c>
      <c r="F1007" t="s">
        <v>8</v>
      </c>
      <c r="G1007">
        <v>0</v>
      </c>
    </row>
    <row r="1008" spans="1:7" x14ac:dyDescent="0.3">
      <c r="A1008">
        <v>2021</v>
      </c>
      <c r="B1008" t="s">
        <v>31</v>
      </c>
      <c r="C1008" t="s">
        <v>11</v>
      </c>
      <c r="D1008" t="s">
        <v>212</v>
      </c>
      <c r="E1008" t="s">
        <v>89</v>
      </c>
      <c r="F1008" t="s">
        <v>8</v>
      </c>
      <c r="G1008">
        <v>10</v>
      </c>
    </row>
    <row r="1009" spans="1:7" x14ac:dyDescent="0.3">
      <c r="A1009">
        <v>2021</v>
      </c>
      <c r="B1009" t="s">
        <v>31</v>
      </c>
      <c r="C1009" t="s">
        <v>11</v>
      </c>
      <c r="D1009" t="s">
        <v>212</v>
      </c>
      <c r="E1009" t="s">
        <v>88</v>
      </c>
      <c r="F1009" t="s">
        <v>8</v>
      </c>
      <c r="G1009">
        <v>0</v>
      </c>
    </row>
    <row r="1010" spans="1:7" x14ac:dyDescent="0.3">
      <c r="A1010">
        <v>2021</v>
      </c>
      <c r="B1010" t="s">
        <v>32</v>
      </c>
      <c r="C1010" t="s">
        <v>11</v>
      </c>
      <c r="D1010" t="s">
        <v>213</v>
      </c>
      <c r="E1010" t="s">
        <v>94</v>
      </c>
      <c r="F1010" t="s">
        <v>8</v>
      </c>
      <c r="G1010">
        <v>0</v>
      </c>
    </row>
    <row r="1011" spans="1:7" x14ac:dyDescent="0.3">
      <c r="A1011">
        <v>2021</v>
      </c>
      <c r="B1011" t="s">
        <v>32</v>
      </c>
      <c r="C1011" t="s">
        <v>11</v>
      </c>
      <c r="D1011" t="s">
        <v>213</v>
      </c>
      <c r="E1011" t="s">
        <v>87</v>
      </c>
      <c r="F1011" t="s">
        <v>8</v>
      </c>
      <c r="G1011">
        <v>0</v>
      </c>
    </row>
    <row r="1012" spans="1:7" x14ac:dyDescent="0.3">
      <c r="A1012">
        <v>2021</v>
      </c>
      <c r="B1012" t="s">
        <v>32</v>
      </c>
      <c r="C1012" t="s">
        <v>11</v>
      </c>
      <c r="D1012" t="s">
        <v>213</v>
      </c>
      <c r="E1012" t="s">
        <v>89</v>
      </c>
      <c r="F1012" t="s">
        <v>8</v>
      </c>
      <c r="G1012">
        <v>1</v>
      </c>
    </row>
    <row r="1013" spans="1:7" x14ac:dyDescent="0.3">
      <c r="A1013">
        <v>2021</v>
      </c>
      <c r="B1013" t="s">
        <v>32</v>
      </c>
      <c r="C1013" t="s">
        <v>11</v>
      </c>
      <c r="D1013" t="s">
        <v>213</v>
      </c>
      <c r="E1013" t="s">
        <v>88</v>
      </c>
      <c r="F1013" t="s">
        <v>8</v>
      </c>
      <c r="G1013">
        <v>0</v>
      </c>
    </row>
    <row r="1014" spans="1:7" x14ac:dyDescent="0.3">
      <c r="A1014">
        <v>2021</v>
      </c>
      <c r="B1014" t="s">
        <v>214</v>
      </c>
      <c r="C1014" t="s">
        <v>11</v>
      </c>
      <c r="D1014" t="s">
        <v>215</v>
      </c>
      <c r="E1014" t="s">
        <v>94</v>
      </c>
      <c r="F1014" t="s">
        <v>8</v>
      </c>
      <c r="G1014">
        <v>1</v>
      </c>
    </row>
    <row r="1015" spans="1:7" x14ac:dyDescent="0.3">
      <c r="A1015">
        <v>2021</v>
      </c>
      <c r="B1015" t="s">
        <v>214</v>
      </c>
      <c r="C1015" t="s">
        <v>11</v>
      </c>
      <c r="D1015" t="s">
        <v>215</v>
      </c>
      <c r="E1015" t="s">
        <v>87</v>
      </c>
      <c r="F1015" t="s">
        <v>8</v>
      </c>
      <c r="G1015">
        <v>0</v>
      </c>
    </row>
    <row r="1016" spans="1:7" x14ac:dyDescent="0.3">
      <c r="A1016">
        <v>2021</v>
      </c>
      <c r="B1016" t="s">
        <v>214</v>
      </c>
      <c r="C1016" t="s">
        <v>11</v>
      </c>
      <c r="D1016" t="s">
        <v>215</v>
      </c>
      <c r="E1016" t="s">
        <v>89</v>
      </c>
      <c r="F1016" t="s">
        <v>8</v>
      </c>
      <c r="G1016">
        <v>0</v>
      </c>
    </row>
    <row r="1017" spans="1:7" x14ac:dyDescent="0.3">
      <c r="A1017">
        <v>2021</v>
      </c>
      <c r="B1017" t="s">
        <v>214</v>
      </c>
      <c r="C1017" t="s">
        <v>11</v>
      </c>
      <c r="D1017" t="s">
        <v>215</v>
      </c>
      <c r="E1017" t="s">
        <v>88</v>
      </c>
      <c r="F1017" t="s">
        <v>8</v>
      </c>
      <c r="G1017">
        <v>0</v>
      </c>
    </row>
    <row r="1018" spans="1:7" x14ac:dyDescent="0.3">
      <c r="A1018">
        <v>2021</v>
      </c>
      <c r="B1018" t="s">
        <v>33</v>
      </c>
      <c r="C1018" t="s">
        <v>11</v>
      </c>
      <c r="D1018" t="s">
        <v>216</v>
      </c>
      <c r="E1018" t="s">
        <v>94</v>
      </c>
      <c r="F1018" t="s">
        <v>8</v>
      </c>
      <c r="G1018">
        <v>3</v>
      </c>
    </row>
    <row r="1019" spans="1:7" x14ac:dyDescent="0.3">
      <c r="A1019">
        <v>2021</v>
      </c>
      <c r="B1019" t="s">
        <v>33</v>
      </c>
      <c r="C1019" t="s">
        <v>11</v>
      </c>
      <c r="D1019" t="s">
        <v>216</v>
      </c>
      <c r="E1019" t="s">
        <v>87</v>
      </c>
      <c r="F1019" t="s">
        <v>8</v>
      </c>
      <c r="G1019">
        <v>2</v>
      </c>
    </row>
    <row r="1020" spans="1:7" x14ac:dyDescent="0.3">
      <c r="A1020">
        <v>2021</v>
      </c>
      <c r="B1020" t="s">
        <v>33</v>
      </c>
      <c r="C1020" t="s">
        <v>11</v>
      </c>
      <c r="D1020" t="s">
        <v>216</v>
      </c>
      <c r="E1020" t="s">
        <v>89</v>
      </c>
      <c r="F1020" t="s">
        <v>8</v>
      </c>
      <c r="G1020">
        <v>27</v>
      </c>
    </row>
    <row r="1021" spans="1:7" x14ac:dyDescent="0.3">
      <c r="A1021">
        <v>2021</v>
      </c>
      <c r="B1021" t="s">
        <v>33</v>
      </c>
      <c r="C1021" t="s">
        <v>11</v>
      </c>
      <c r="D1021" t="s">
        <v>216</v>
      </c>
      <c r="E1021" t="s">
        <v>88</v>
      </c>
      <c r="F1021" t="s">
        <v>8</v>
      </c>
      <c r="G1021">
        <v>0</v>
      </c>
    </row>
    <row r="1022" spans="1:7" x14ac:dyDescent="0.3">
      <c r="A1022">
        <v>2021</v>
      </c>
      <c r="B1022" t="s">
        <v>34</v>
      </c>
      <c r="C1022" t="s">
        <v>11</v>
      </c>
      <c r="D1022" t="s">
        <v>217</v>
      </c>
      <c r="E1022" t="s">
        <v>94</v>
      </c>
      <c r="F1022" t="s">
        <v>8</v>
      </c>
      <c r="G1022">
        <v>4</v>
      </c>
    </row>
    <row r="1023" spans="1:7" x14ac:dyDescent="0.3">
      <c r="A1023">
        <v>2021</v>
      </c>
      <c r="B1023" t="s">
        <v>34</v>
      </c>
      <c r="C1023" t="s">
        <v>11</v>
      </c>
      <c r="D1023" t="s">
        <v>217</v>
      </c>
      <c r="E1023" t="s">
        <v>87</v>
      </c>
      <c r="F1023" t="s">
        <v>8</v>
      </c>
      <c r="G1023">
        <v>7</v>
      </c>
    </row>
    <row r="1024" spans="1:7" x14ac:dyDescent="0.3">
      <c r="A1024">
        <v>2021</v>
      </c>
      <c r="B1024" t="s">
        <v>34</v>
      </c>
      <c r="C1024" t="s">
        <v>11</v>
      </c>
      <c r="D1024" t="s">
        <v>217</v>
      </c>
      <c r="E1024" t="s">
        <v>89</v>
      </c>
      <c r="F1024" t="s">
        <v>8</v>
      </c>
      <c r="G1024">
        <v>11</v>
      </c>
    </row>
    <row r="1025" spans="1:7" x14ac:dyDescent="0.3">
      <c r="A1025">
        <v>2021</v>
      </c>
      <c r="B1025" t="s">
        <v>34</v>
      </c>
      <c r="C1025" t="s">
        <v>11</v>
      </c>
      <c r="D1025" t="s">
        <v>217</v>
      </c>
      <c r="E1025" t="s">
        <v>88</v>
      </c>
      <c r="F1025" t="s">
        <v>8</v>
      </c>
      <c r="G1025">
        <v>0</v>
      </c>
    </row>
    <row r="1026" spans="1:7" x14ac:dyDescent="0.3">
      <c r="A1026">
        <v>2021</v>
      </c>
      <c r="B1026" t="s">
        <v>35</v>
      </c>
      <c r="C1026" t="s">
        <v>11</v>
      </c>
      <c r="D1026" t="s">
        <v>218</v>
      </c>
      <c r="E1026" t="s">
        <v>94</v>
      </c>
      <c r="F1026" t="s">
        <v>8</v>
      </c>
      <c r="G1026">
        <v>4</v>
      </c>
    </row>
    <row r="1027" spans="1:7" x14ac:dyDescent="0.3">
      <c r="A1027">
        <v>2021</v>
      </c>
      <c r="B1027" t="s">
        <v>35</v>
      </c>
      <c r="C1027" t="s">
        <v>11</v>
      </c>
      <c r="D1027" t="s">
        <v>218</v>
      </c>
      <c r="E1027" t="s">
        <v>87</v>
      </c>
      <c r="F1027" t="s">
        <v>8</v>
      </c>
      <c r="G1027">
        <v>2</v>
      </c>
    </row>
    <row r="1028" spans="1:7" x14ac:dyDescent="0.3">
      <c r="A1028">
        <v>2021</v>
      </c>
      <c r="B1028" t="s">
        <v>35</v>
      </c>
      <c r="C1028" t="s">
        <v>11</v>
      </c>
      <c r="D1028" t="s">
        <v>218</v>
      </c>
      <c r="E1028" t="s">
        <v>89</v>
      </c>
      <c r="F1028" t="s">
        <v>8</v>
      </c>
      <c r="G1028">
        <v>12</v>
      </c>
    </row>
    <row r="1029" spans="1:7" x14ac:dyDescent="0.3">
      <c r="A1029">
        <v>2021</v>
      </c>
      <c r="B1029" t="s">
        <v>35</v>
      </c>
      <c r="C1029" t="s">
        <v>11</v>
      </c>
      <c r="D1029" t="s">
        <v>218</v>
      </c>
      <c r="E1029" t="s">
        <v>88</v>
      </c>
      <c r="F1029" t="s">
        <v>8</v>
      </c>
      <c r="G1029">
        <v>1</v>
      </c>
    </row>
    <row r="1030" spans="1:7" x14ac:dyDescent="0.3">
      <c r="A1030">
        <v>2021</v>
      </c>
      <c r="B1030" t="s">
        <v>36</v>
      </c>
      <c r="C1030" t="s">
        <v>11</v>
      </c>
      <c r="D1030" t="s">
        <v>219</v>
      </c>
      <c r="E1030" t="s">
        <v>94</v>
      </c>
      <c r="F1030" t="s">
        <v>8</v>
      </c>
      <c r="G1030">
        <v>5</v>
      </c>
    </row>
    <row r="1031" spans="1:7" x14ac:dyDescent="0.3">
      <c r="A1031">
        <v>2021</v>
      </c>
      <c r="B1031" t="s">
        <v>36</v>
      </c>
      <c r="C1031" t="s">
        <v>11</v>
      </c>
      <c r="D1031" t="s">
        <v>219</v>
      </c>
      <c r="E1031" t="s">
        <v>87</v>
      </c>
      <c r="F1031" t="s">
        <v>8</v>
      </c>
      <c r="G1031">
        <v>0</v>
      </c>
    </row>
    <row r="1032" spans="1:7" x14ac:dyDescent="0.3">
      <c r="A1032">
        <v>2021</v>
      </c>
      <c r="B1032" t="s">
        <v>36</v>
      </c>
      <c r="C1032" t="s">
        <v>11</v>
      </c>
      <c r="D1032" t="s">
        <v>219</v>
      </c>
      <c r="E1032" t="s">
        <v>89</v>
      </c>
      <c r="F1032" t="s">
        <v>8</v>
      </c>
      <c r="G1032">
        <v>5</v>
      </c>
    </row>
    <row r="1033" spans="1:7" x14ac:dyDescent="0.3">
      <c r="A1033">
        <v>2021</v>
      </c>
      <c r="B1033" t="s">
        <v>36</v>
      </c>
      <c r="C1033" t="s">
        <v>11</v>
      </c>
      <c r="D1033" t="s">
        <v>219</v>
      </c>
      <c r="E1033" t="s">
        <v>88</v>
      </c>
      <c r="F1033" t="s">
        <v>8</v>
      </c>
      <c r="G1033">
        <v>2</v>
      </c>
    </row>
    <row r="1034" spans="1:7" x14ac:dyDescent="0.3">
      <c r="A1034">
        <v>2021</v>
      </c>
      <c r="B1034" t="s">
        <v>53</v>
      </c>
      <c r="C1034" t="s">
        <v>51</v>
      </c>
      <c r="D1034" t="s">
        <v>220</v>
      </c>
      <c r="E1034" t="s">
        <v>94</v>
      </c>
      <c r="F1034" t="s">
        <v>8</v>
      </c>
      <c r="G1034">
        <v>3</v>
      </c>
    </row>
    <row r="1035" spans="1:7" x14ac:dyDescent="0.3">
      <c r="A1035">
        <v>2021</v>
      </c>
      <c r="B1035" t="s">
        <v>53</v>
      </c>
      <c r="C1035" t="s">
        <v>51</v>
      </c>
      <c r="D1035" t="s">
        <v>220</v>
      </c>
      <c r="E1035" t="s">
        <v>87</v>
      </c>
      <c r="F1035" t="s">
        <v>8</v>
      </c>
      <c r="G1035">
        <v>4</v>
      </c>
    </row>
    <row r="1036" spans="1:7" x14ac:dyDescent="0.3">
      <c r="A1036">
        <v>2021</v>
      </c>
      <c r="B1036" t="s">
        <v>53</v>
      </c>
      <c r="C1036" t="s">
        <v>51</v>
      </c>
      <c r="D1036" t="s">
        <v>220</v>
      </c>
      <c r="E1036" t="s">
        <v>89</v>
      </c>
      <c r="F1036" t="s">
        <v>8</v>
      </c>
      <c r="G1036">
        <v>5</v>
      </c>
    </row>
    <row r="1037" spans="1:7" x14ac:dyDescent="0.3">
      <c r="A1037">
        <v>2021</v>
      </c>
      <c r="B1037" t="s">
        <v>53</v>
      </c>
      <c r="C1037" t="s">
        <v>51</v>
      </c>
      <c r="D1037" t="s">
        <v>220</v>
      </c>
      <c r="E1037" t="s">
        <v>88</v>
      </c>
      <c r="F1037" t="s">
        <v>8</v>
      </c>
      <c r="G1037">
        <v>4</v>
      </c>
    </row>
    <row r="1038" spans="1:7" x14ac:dyDescent="0.3">
      <c r="A1038">
        <v>2021</v>
      </c>
      <c r="B1038" t="s">
        <v>37</v>
      </c>
      <c r="C1038" t="s">
        <v>11</v>
      </c>
      <c r="D1038" t="s">
        <v>221</v>
      </c>
      <c r="E1038" t="s">
        <v>94</v>
      </c>
      <c r="F1038" t="s">
        <v>8</v>
      </c>
      <c r="G1038">
        <v>3</v>
      </c>
    </row>
    <row r="1039" spans="1:7" x14ac:dyDescent="0.3">
      <c r="A1039">
        <v>2021</v>
      </c>
      <c r="B1039" t="s">
        <v>37</v>
      </c>
      <c r="C1039" t="s">
        <v>11</v>
      </c>
      <c r="D1039" t="s">
        <v>221</v>
      </c>
      <c r="E1039" t="s">
        <v>87</v>
      </c>
      <c r="F1039" t="s">
        <v>8</v>
      </c>
      <c r="G1039">
        <v>4</v>
      </c>
    </row>
    <row r="1040" spans="1:7" x14ac:dyDescent="0.3">
      <c r="A1040">
        <v>2021</v>
      </c>
      <c r="B1040" t="s">
        <v>37</v>
      </c>
      <c r="C1040" t="s">
        <v>11</v>
      </c>
      <c r="D1040" t="s">
        <v>221</v>
      </c>
      <c r="E1040" t="s">
        <v>89</v>
      </c>
      <c r="F1040" t="s">
        <v>8</v>
      </c>
      <c r="G1040">
        <v>1</v>
      </c>
    </row>
    <row r="1041" spans="1:7" x14ac:dyDescent="0.3">
      <c r="A1041">
        <v>2021</v>
      </c>
      <c r="B1041" t="s">
        <v>37</v>
      </c>
      <c r="C1041" t="s">
        <v>11</v>
      </c>
      <c r="D1041" t="s">
        <v>221</v>
      </c>
      <c r="E1041" t="s">
        <v>88</v>
      </c>
      <c r="F1041" t="s">
        <v>8</v>
      </c>
      <c r="G1041">
        <v>0</v>
      </c>
    </row>
    <row r="1042" spans="1:7" x14ac:dyDescent="0.3">
      <c r="A1042">
        <v>2021</v>
      </c>
      <c r="B1042" t="s">
        <v>38</v>
      </c>
      <c r="C1042" t="s">
        <v>11</v>
      </c>
      <c r="D1042" t="s">
        <v>222</v>
      </c>
      <c r="E1042" t="s">
        <v>94</v>
      </c>
      <c r="F1042" t="s">
        <v>8</v>
      </c>
      <c r="G1042">
        <v>0</v>
      </c>
    </row>
    <row r="1043" spans="1:7" x14ac:dyDescent="0.3">
      <c r="A1043">
        <v>2021</v>
      </c>
      <c r="B1043" t="s">
        <v>38</v>
      </c>
      <c r="C1043" t="s">
        <v>11</v>
      </c>
      <c r="D1043" t="s">
        <v>222</v>
      </c>
      <c r="E1043" t="s">
        <v>87</v>
      </c>
      <c r="F1043" t="s">
        <v>8</v>
      </c>
      <c r="G1043">
        <v>0</v>
      </c>
    </row>
    <row r="1044" spans="1:7" x14ac:dyDescent="0.3">
      <c r="A1044">
        <v>2021</v>
      </c>
      <c r="B1044" t="s">
        <v>38</v>
      </c>
      <c r="C1044" t="s">
        <v>11</v>
      </c>
      <c r="D1044" t="s">
        <v>222</v>
      </c>
      <c r="E1044" t="s">
        <v>89</v>
      </c>
      <c r="F1044" t="s">
        <v>8</v>
      </c>
      <c r="G1044">
        <v>0</v>
      </c>
    </row>
    <row r="1045" spans="1:7" x14ac:dyDescent="0.3">
      <c r="A1045">
        <v>2021</v>
      </c>
      <c r="B1045" t="s">
        <v>38</v>
      </c>
      <c r="C1045" t="s">
        <v>11</v>
      </c>
      <c r="D1045" t="s">
        <v>222</v>
      </c>
      <c r="E1045" t="s">
        <v>88</v>
      </c>
      <c r="F1045" t="s">
        <v>8</v>
      </c>
      <c r="G1045">
        <v>0</v>
      </c>
    </row>
    <row r="1046" spans="1:7" x14ac:dyDescent="0.3">
      <c r="A1046">
        <v>2021</v>
      </c>
      <c r="B1046" t="s">
        <v>39</v>
      </c>
      <c r="C1046" t="s">
        <v>11</v>
      </c>
      <c r="D1046" t="s">
        <v>223</v>
      </c>
      <c r="E1046" t="s">
        <v>94</v>
      </c>
      <c r="F1046" t="s">
        <v>8</v>
      </c>
      <c r="G1046">
        <v>1</v>
      </c>
    </row>
    <row r="1047" spans="1:7" x14ac:dyDescent="0.3">
      <c r="A1047">
        <v>2021</v>
      </c>
      <c r="B1047" t="s">
        <v>39</v>
      </c>
      <c r="C1047" t="s">
        <v>11</v>
      </c>
      <c r="D1047" t="s">
        <v>223</v>
      </c>
      <c r="E1047" t="s">
        <v>87</v>
      </c>
      <c r="F1047" t="s">
        <v>8</v>
      </c>
      <c r="G1047">
        <v>0</v>
      </c>
    </row>
    <row r="1048" spans="1:7" x14ac:dyDescent="0.3">
      <c r="A1048">
        <v>2021</v>
      </c>
      <c r="B1048" t="s">
        <v>39</v>
      </c>
      <c r="C1048" t="s">
        <v>11</v>
      </c>
      <c r="D1048" t="s">
        <v>223</v>
      </c>
      <c r="E1048" t="s">
        <v>89</v>
      </c>
      <c r="F1048" t="s">
        <v>8</v>
      </c>
      <c r="G1048">
        <v>0</v>
      </c>
    </row>
    <row r="1049" spans="1:7" x14ac:dyDescent="0.3">
      <c r="A1049">
        <v>2021</v>
      </c>
      <c r="B1049" t="s">
        <v>39</v>
      </c>
      <c r="C1049" t="s">
        <v>11</v>
      </c>
      <c r="D1049" t="s">
        <v>223</v>
      </c>
      <c r="E1049" t="s">
        <v>88</v>
      </c>
      <c r="F1049" t="s">
        <v>8</v>
      </c>
      <c r="G1049">
        <v>0</v>
      </c>
    </row>
    <row r="1050" spans="1:7" x14ac:dyDescent="0.3">
      <c r="A1050">
        <v>2021</v>
      </c>
      <c r="B1050" t="s">
        <v>40</v>
      </c>
      <c r="C1050" t="s">
        <v>11</v>
      </c>
      <c r="D1050" t="s">
        <v>224</v>
      </c>
      <c r="E1050" t="s">
        <v>94</v>
      </c>
      <c r="F1050" t="s">
        <v>8</v>
      </c>
      <c r="G1050">
        <v>4</v>
      </c>
    </row>
    <row r="1051" spans="1:7" x14ac:dyDescent="0.3">
      <c r="A1051">
        <v>2021</v>
      </c>
      <c r="B1051" t="s">
        <v>40</v>
      </c>
      <c r="C1051" t="s">
        <v>11</v>
      </c>
      <c r="D1051" t="s">
        <v>224</v>
      </c>
      <c r="E1051" t="s">
        <v>87</v>
      </c>
      <c r="F1051" t="s">
        <v>8</v>
      </c>
      <c r="G1051">
        <v>0</v>
      </c>
    </row>
    <row r="1052" spans="1:7" x14ac:dyDescent="0.3">
      <c r="A1052">
        <v>2021</v>
      </c>
      <c r="B1052" t="s">
        <v>40</v>
      </c>
      <c r="C1052" t="s">
        <v>11</v>
      </c>
      <c r="D1052" t="s">
        <v>224</v>
      </c>
      <c r="E1052" t="s">
        <v>89</v>
      </c>
      <c r="F1052" t="s">
        <v>8</v>
      </c>
      <c r="G1052">
        <v>1</v>
      </c>
    </row>
    <row r="1053" spans="1:7" x14ac:dyDescent="0.3">
      <c r="A1053">
        <v>2021</v>
      </c>
      <c r="B1053" t="s">
        <v>40</v>
      </c>
      <c r="C1053" t="s">
        <v>11</v>
      </c>
      <c r="D1053" t="s">
        <v>224</v>
      </c>
      <c r="E1053" t="s">
        <v>88</v>
      </c>
      <c r="F1053" t="s">
        <v>8</v>
      </c>
      <c r="G1053">
        <v>0</v>
      </c>
    </row>
    <row r="1054" spans="1:7" x14ac:dyDescent="0.3">
      <c r="A1054">
        <v>2021</v>
      </c>
      <c r="B1054" t="s">
        <v>41</v>
      </c>
      <c r="C1054" t="s">
        <v>11</v>
      </c>
      <c r="D1054" t="s">
        <v>225</v>
      </c>
      <c r="E1054" t="s">
        <v>94</v>
      </c>
      <c r="F1054" t="s">
        <v>8</v>
      </c>
      <c r="G1054">
        <v>0</v>
      </c>
    </row>
    <row r="1055" spans="1:7" x14ac:dyDescent="0.3">
      <c r="A1055">
        <v>2021</v>
      </c>
      <c r="B1055" t="s">
        <v>41</v>
      </c>
      <c r="C1055" t="s">
        <v>11</v>
      </c>
      <c r="D1055" t="s">
        <v>225</v>
      </c>
      <c r="E1055" t="s">
        <v>87</v>
      </c>
      <c r="F1055" t="s">
        <v>8</v>
      </c>
      <c r="G1055">
        <v>0</v>
      </c>
    </row>
    <row r="1056" spans="1:7" x14ac:dyDescent="0.3">
      <c r="A1056">
        <v>2021</v>
      </c>
      <c r="B1056" t="s">
        <v>41</v>
      </c>
      <c r="C1056" t="s">
        <v>11</v>
      </c>
      <c r="D1056" t="s">
        <v>225</v>
      </c>
      <c r="E1056" t="s">
        <v>89</v>
      </c>
      <c r="F1056" t="s">
        <v>8</v>
      </c>
      <c r="G1056">
        <v>2</v>
      </c>
    </row>
    <row r="1057" spans="1:7" x14ac:dyDescent="0.3">
      <c r="A1057">
        <v>2021</v>
      </c>
      <c r="B1057" t="s">
        <v>41</v>
      </c>
      <c r="C1057" t="s">
        <v>11</v>
      </c>
      <c r="D1057" t="s">
        <v>225</v>
      </c>
      <c r="E1057" t="s">
        <v>88</v>
      </c>
      <c r="F1057" t="s">
        <v>8</v>
      </c>
      <c r="G1057">
        <v>3</v>
      </c>
    </row>
    <row r="1058" spans="1:7" x14ac:dyDescent="0.3">
      <c r="A1058">
        <v>2021</v>
      </c>
      <c r="B1058" t="s">
        <v>42</v>
      </c>
      <c r="C1058" t="s">
        <v>11</v>
      </c>
      <c r="D1058" t="s">
        <v>226</v>
      </c>
      <c r="E1058" t="s">
        <v>94</v>
      </c>
      <c r="F1058" t="s">
        <v>8</v>
      </c>
      <c r="G1058">
        <v>3</v>
      </c>
    </row>
    <row r="1059" spans="1:7" x14ac:dyDescent="0.3">
      <c r="A1059">
        <v>2021</v>
      </c>
      <c r="B1059" t="s">
        <v>42</v>
      </c>
      <c r="C1059" t="s">
        <v>11</v>
      </c>
      <c r="D1059" t="s">
        <v>226</v>
      </c>
      <c r="E1059" t="s">
        <v>87</v>
      </c>
      <c r="F1059" t="s">
        <v>8</v>
      </c>
      <c r="G1059">
        <v>2</v>
      </c>
    </row>
    <row r="1060" spans="1:7" x14ac:dyDescent="0.3">
      <c r="A1060">
        <v>2021</v>
      </c>
      <c r="B1060" t="s">
        <v>42</v>
      </c>
      <c r="C1060" t="s">
        <v>11</v>
      </c>
      <c r="D1060" t="s">
        <v>226</v>
      </c>
      <c r="E1060" t="s">
        <v>89</v>
      </c>
      <c r="F1060" t="s">
        <v>8</v>
      </c>
      <c r="G1060">
        <v>10</v>
      </c>
    </row>
    <row r="1061" spans="1:7" x14ac:dyDescent="0.3">
      <c r="A1061">
        <v>2021</v>
      </c>
      <c r="B1061" t="s">
        <v>42</v>
      </c>
      <c r="C1061" t="s">
        <v>11</v>
      </c>
      <c r="D1061" t="s">
        <v>226</v>
      </c>
      <c r="E1061" t="s">
        <v>88</v>
      </c>
      <c r="F1061" t="s">
        <v>8</v>
      </c>
      <c r="G1061">
        <v>0</v>
      </c>
    </row>
    <row r="1062" spans="1:7" x14ac:dyDescent="0.3">
      <c r="A1062">
        <v>2021</v>
      </c>
      <c r="B1062" t="s">
        <v>43</v>
      </c>
      <c r="C1062" t="s">
        <v>11</v>
      </c>
      <c r="D1062" t="s">
        <v>227</v>
      </c>
      <c r="E1062" t="s">
        <v>94</v>
      </c>
      <c r="F1062" t="s">
        <v>8</v>
      </c>
      <c r="G1062">
        <v>10</v>
      </c>
    </row>
    <row r="1063" spans="1:7" x14ac:dyDescent="0.3">
      <c r="A1063">
        <v>2021</v>
      </c>
      <c r="B1063" t="s">
        <v>43</v>
      </c>
      <c r="C1063" t="s">
        <v>11</v>
      </c>
      <c r="D1063" t="s">
        <v>227</v>
      </c>
      <c r="E1063" t="s">
        <v>87</v>
      </c>
      <c r="F1063" t="s">
        <v>8</v>
      </c>
      <c r="G1063">
        <v>4</v>
      </c>
    </row>
    <row r="1064" spans="1:7" x14ac:dyDescent="0.3">
      <c r="A1064">
        <v>2021</v>
      </c>
      <c r="B1064" t="s">
        <v>43</v>
      </c>
      <c r="C1064" t="s">
        <v>11</v>
      </c>
      <c r="D1064" t="s">
        <v>227</v>
      </c>
      <c r="E1064" t="s">
        <v>89</v>
      </c>
      <c r="F1064" t="s">
        <v>8</v>
      </c>
      <c r="G1064">
        <v>1</v>
      </c>
    </row>
    <row r="1065" spans="1:7" x14ac:dyDescent="0.3">
      <c r="A1065">
        <v>2021</v>
      </c>
      <c r="B1065" t="s">
        <v>43</v>
      </c>
      <c r="C1065" t="s">
        <v>11</v>
      </c>
      <c r="D1065" t="s">
        <v>227</v>
      </c>
      <c r="E1065" t="s">
        <v>88</v>
      </c>
      <c r="F1065" t="s">
        <v>8</v>
      </c>
      <c r="G1065">
        <v>0</v>
      </c>
    </row>
    <row r="1066" spans="1:7" x14ac:dyDescent="0.3">
      <c r="A1066">
        <v>2021</v>
      </c>
      <c r="B1066" t="s">
        <v>44</v>
      </c>
      <c r="C1066" t="s">
        <v>11</v>
      </c>
      <c r="D1066" t="s">
        <v>228</v>
      </c>
      <c r="E1066" t="s">
        <v>94</v>
      </c>
      <c r="F1066" t="s">
        <v>8</v>
      </c>
      <c r="G1066">
        <v>1</v>
      </c>
    </row>
    <row r="1067" spans="1:7" x14ac:dyDescent="0.3">
      <c r="A1067">
        <v>2021</v>
      </c>
      <c r="B1067" t="s">
        <v>44</v>
      </c>
      <c r="C1067" t="s">
        <v>11</v>
      </c>
      <c r="D1067" t="s">
        <v>228</v>
      </c>
      <c r="E1067" t="s">
        <v>87</v>
      </c>
      <c r="F1067" t="s">
        <v>8</v>
      </c>
      <c r="G1067">
        <v>0</v>
      </c>
    </row>
    <row r="1068" spans="1:7" x14ac:dyDescent="0.3">
      <c r="A1068">
        <v>2021</v>
      </c>
      <c r="B1068" t="s">
        <v>44</v>
      </c>
      <c r="C1068" t="s">
        <v>11</v>
      </c>
      <c r="D1068" t="s">
        <v>228</v>
      </c>
      <c r="E1068" t="s">
        <v>89</v>
      </c>
      <c r="F1068" t="s">
        <v>8</v>
      </c>
      <c r="G1068">
        <v>2</v>
      </c>
    </row>
    <row r="1069" spans="1:7" x14ac:dyDescent="0.3">
      <c r="A1069">
        <v>2021</v>
      </c>
      <c r="B1069" t="s">
        <v>44</v>
      </c>
      <c r="C1069" t="s">
        <v>11</v>
      </c>
      <c r="D1069" t="s">
        <v>228</v>
      </c>
      <c r="E1069" t="s">
        <v>88</v>
      </c>
      <c r="F1069" t="s">
        <v>8</v>
      </c>
      <c r="G1069">
        <v>0</v>
      </c>
    </row>
    <row r="1070" spans="1:7" x14ac:dyDescent="0.3">
      <c r="A1070">
        <v>2021</v>
      </c>
      <c r="B1070" t="s">
        <v>54</v>
      </c>
      <c r="C1070" t="s">
        <v>51</v>
      </c>
      <c r="D1070" t="s">
        <v>229</v>
      </c>
      <c r="E1070" t="s">
        <v>94</v>
      </c>
      <c r="F1070" t="s">
        <v>8</v>
      </c>
      <c r="G1070">
        <v>3</v>
      </c>
    </row>
    <row r="1071" spans="1:7" x14ac:dyDescent="0.3">
      <c r="A1071">
        <v>2021</v>
      </c>
      <c r="B1071" t="s">
        <v>54</v>
      </c>
      <c r="C1071" t="s">
        <v>51</v>
      </c>
      <c r="D1071" t="s">
        <v>229</v>
      </c>
      <c r="E1071" t="s">
        <v>87</v>
      </c>
      <c r="F1071" t="s">
        <v>8</v>
      </c>
      <c r="G1071">
        <v>2</v>
      </c>
    </row>
    <row r="1072" spans="1:7" x14ac:dyDescent="0.3">
      <c r="A1072">
        <v>2021</v>
      </c>
      <c r="B1072" t="s">
        <v>54</v>
      </c>
      <c r="C1072" t="s">
        <v>51</v>
      </c>
      <c r="D1072" t="s">
        <v>229</v>
      </c>
      <c r="E1072" t="s">
        <v>89</v>
      </c>
      <c r="F1072" t="s">
        <v>8</v>
      </c>
      <c r="G1072">
        <v>5</v>
      </c>
    </row>
    <row r="1073" spans="1:7" x14ac:dyDescent="0.3">
      <c r="A1073">
        <v>2021</v>
      </c>
      <c r="B1073" t="s">
        <v>54</v>
      </c>
      <c r="C1073" t="s">
        <v>51</v>
      </c>
      <c r="D1073" t="s">
        <v>229</v>
      </c>
      <c r="E1073" t="s">
        <v>88</v>
      </c>
      <c r="F1073" t="s">
        <v>8</v>
      </c>
      <c r="G1073">
        <v>0</v>
      </c>
    </row>
    <row r="1074" spans="1:7" x14ac:dyDescent="0.3">
      <c r="A1074">
        <v>2021</v>
      </c>
      <c r="B1074" t="s">
        <v>45</v>
      </c>
      <c r="C1074" t="s">
        <v>11</v>
      </c>
      <c r="D1074" t="s">
        <v>230</v>
      </c>
      <c r="E1074" t="s">
        <v>94</v>
      </c>
      <c r="F1074" t="s">
        <v>8</v>
      </c>
      <c r="G1074">
        <v>2</v>
      </c>
    </row>
    <row r="1075" spans="1:7" x14ac:dyDescent="0.3">
      <c r="A1075">
        <v>2021</v>
      </c>
      <c r="B1075" t="s">
        <v>45</v>
      </c>
      <c r="C1075" t="s">
        <v>11</v>
      </c>
      <c r="D1075" t="s">
        <v>230</v>
      </c>
      <c r="E1075" t="s">
        <v>87</v>
      </c>
      <c r="F1075" t="s">
        <v>8</v>
      </c>
      <c r="G1075">
        <v>1</v>
      </c>
    </row>
    <row r="1076" spans="1:7" x14ac:dyDescent="0.3">
      <c r="A1076">
        <v>2021</v>
      </c>
      <c r="B1076" t="s">
        <v>45</v>
      </c>
      <c r="C1076" t="s">
        <v>11</v>
      </c>
      <c r="D1076" t="s">
        <v>230</v>
      </c>
      <c r="E1076" t="s">
        <v>89</v>
      </c>
      <c r="F1076" t="s">
        <v>8</v>
      </c>
      <c r="G1076">
        <v>7</v>
      </c>
    </row>
    <row r="1077" spans="1:7" x14ac:dyDescent="0.3">
      <c r="A1077">
        <v>2021</v>
      </c>
      <c r="B1077" t="s">
        <v>45</v>
      </c>
      <c r="C1077" t="s">
        <v>11</v>
      </c>
      <c r="D1077" t="s">
        <v>230</v>
      </c>
      <c r="E1077" t="s">
        <v>88</v>
      </c>
      <c r="F1077" t="s">
        <v>8</v>
      </c>
      <c r="G1077">
        <v>0</v>
      </c>
    </row>
    <row r="1078" spans="1:7" x14ac:dyDescent="0.3">
      <c r="A1078">
        <v>2021</v>
      </c>
      <c r="B1078" t="s">
        <v>46</v>
      </c>
      <c r="C1078" t="s">
        <v>11</v>
      </c>
      <c r="D1078" t="s">
        <v>231</v>
      </c>
      <c r="E1078" t="s">
        <v>94</v>
      </c>
      <c r="F1078" t="s">
        <v>8</v>
      </c>
      <c r="G1078">
        <v>4</v>
      </c>
    </row>
    <row r="1079" spans="1:7" x14ac:dyDescent="0.3">
      <c r="A1079">
        <v>2021</v>
      </c>
      <c r="B1079" t="s">
        <v>46</v>
      </c>
      <c r="C1079" t="s">
        <v>11</v>
      </c>
      <c r="D1079" t="s">
        <v>231</v>
      </c>
      <c r="E1079" t="s">
        <v>87</v>
      </c>
      <c r="F1079" t="s">
        <v>8</v>
      </c>
      <c r="G1079">
        <v>0</v>
      </c>
    </row>
    <row r="1080" spans="1:7" x14ac:dyDescent="0.3">
      <c r="A1080">
        <v>2021</v>
      </c>
      <c r="B1080" t="s">
        <v>46</v>
      </c>
      <c r="C1080" t="s">
        <v>11</v>
      </c>
      <c r="D1080" t="s">
        <v>231</v>
      </c>
      <c r="E1080" t="s">
        <v>89</v>
      </c>
      <c r="F1080" t="s">
        <v>8</v>
      </c>
      <c r="G1080">
        <v>9</v>
      </c>
    </row>
    <row r="1081" spans="1:7" x14ac:dyDescent="0.3">
      <c r="A1081">
        <v>2021</v>
      </c>
      <c r="B1081" t="s">
        <v>46</v>
      </c>
      <c r="C1081" t="s">
        <v>11</v>
      </c>
      <c r="D1081" t="s">
        <v>231</v>
      </c>
      <c r="E1081" t="s">
        <v>88</v>
      </c>
      <c r="F1081" t="s">
        <v>8</v>
      </c>
      <c r="G1081">
        <v>0</v>
      </c>
    </row>
    <row r="1082" spans="1:7" x14ac:dyDescent="0.3">
      <c r="A1082">
        <v>2021</v>
      </c>
      <c r="B1082" t="s">
        <v>47</v>
      </c>
      <c r="C1082" t="s">
        <v>11</v>
      </c>
      <c r="D1082" t="s">
        <v>232</v>
      </c>
      <c r="E1082" t="s">
        <v>94</v>
      </c>
      <c r="F1082" t="s">
        <v>8</v>
      </c>
      <c r="G1082">
        <v>0</v>
      </c>
    </row>
    <row r="1083" spans="1:7" x14ac:dyDescent="0.3">
      <c r="A1083">
        <v>2021</v>
      </c>
      <c r="B1083" t="s">
        <v>47</v>
      </c>
      <c r="C1083" t="s">
        <v>11</v>
      </c>
      <c r="D1083" t="s">
        <v>232</v>
      </c>
      <c r="E1083" t="s">
        <v>87</v>
      </c>
      <c r="F1083" t="s">
        <v>8</v>
      </c>
      <c r="G1083">
        <v>2</v>
      </c>
    </row>
    <row r="1084" spans="1:7" x14ac:dyDescent="0.3">
      <c r="A1084">
        <v>2021</v>
      </c>
      <c r="B1084" t="s">
        <v>47</v>
      </c>
      <c r="C1084" t="s">
        <v>11</v>
      </c>
      <c r="D1084" t="s">
        <v>232</v>
      </c>
      <c r="E1084" t="s">
        <v>89</v>
      </c>
      <c r="F1084" t="s">
        <v>8</v>
      </c>
      <c r="G1084">
        <v>16</v>
      </c>
    </row>
    <row r="1085" spans="1:7" x14ac:dyDescent="0.3">
      <c r="A1085">
        <v>2021</v>
      </c>
      <c r="B1085" t="s">
        <v>47</v>
      </c>
      <c r="C1085" t="s">
        <v>11</v>
      </c>
      <c r="D1085" t="s">
        <v>232</v>
      </c>
      <c r="E1085" t="s">
        <v>88</v>
      </c>
      <c r="F1085" t="s">
        <v>8</v>
      </c>
      <c r="G1085">
        <v>5</v>
      </c>
    </row>
    <row r="1086" spans="1:7" x14ac:dyDescent="0.3">
      <c r="A1086">
        <v>2021</v>
      </c>
      <c r="B1086" t="s">
        <v>55</v>
      </c>
      <c r="C1086" t="s">
        <v>51</v>
      </c>
      <c r="D1086" t="s">
        <v>233</v>
      </c>
      <c r="E1086" t="s">
        <v>94</v>
      </c>
      <c r="F1086" t="s">
        <v>8</v>
      </c>
      <c r="G1086">
        <v>0</v>
      </c>
    </row>
    <row r="1087" spans="1:7" x14ac:dyDescent="0.3">
      <c r="A1087">
        <v>2021</v>
      </c>
      <c r="B1087" t="s">
        <v>55</v>
      </c>
      <c r="C1087" t="s">
        <v>51</v>
      </c>
      <c r="D1087" t="s">
        <v>233</v>
      </c>
      <c r="E1087" t="s">
        <v>87</v>
      </c>
      <c r="F1087" t="s">
        <v>8</v>
      </c>
      <c r="G1087">
        <v>4</v>
      </c>
    </row>
    <row r="1088" spans="1:7" x14ac:dyDescent="0.3">
      <c r="A1088">
        <v>2021</v>
      </c>
      <c r="B1088" t="s">
        <v>55</v>
      </c>
      <c r="C1088" t="s">
        <v>51</v>
      </c>
      <c r="D1088" t="s">
        <v>233</v>
      </c>
      <c r="E1088" t="s">
        <v>89</v>
      </c>
      <c r="F1088" t="s">
        <v>8</v>
      </c>
      <c r="G1088">
        <v>7</v>
      </c>
    </row>
    <row r="1089" spans="1:7" x14ac:dyDescent="0.3">
      <c r="A1089">
        <v>2021</v>
      </c>
      <c r="B1089" t="s">
        <v>55</v>
      </c>
      <c r="C1089" t="s">
        <v>51</v>
      </c>
      <c r="D1089" t="s">
        <v>233</v>
      </c>
      <c r="E1089" t="s">
        <v>88</v>
      </c>
      <c r="F1089" t="s">
        <v>8</v>
      </c>
      <c r="G1089">
        <v>2</v>
      </c>
    </row>
    <row r="1090" spans="1:7" x14ac:dyDescent="0.3">
      <c r="A1090">
        <v>2021</v>
      </c>
      <c r="B1090" t="s">
        <v>48</v>
      </c>
      <c r="C1090" t="s">
        <v>11</v>
      </c>
      <c r="D1090" t="s">
        <v>234</v>
      </c>
      <c r="E1090" t="s">
        <v>94</v>
      </c>
      <c r="F1090" t="s">
        <v>8</v>
      </c>
      <c r="G1090">
        <v>1</v>
      </c>
    </row>
    <row r="1091" spans="1:7" x14ac:dyDescent="0.3">
      <c r="A1091">
        <v>2021</v>
      </c>
      <c r="B1091" t="s">
        <v>48</v>
      </c>
      <c r="C1091" t="s">
        <v>11</v>
      </c>
      <c r="D1091" t="s">
        <v>234</v>
      </c>
      <c r="E1091" t="s">
        <v>87</v>
      </c>
      <c r="F1091" t="s">
        <v>8</v>
      </c>
      <c r="G1091">
        <v>4</v>
      </c>
    </row>
    <row r="1092" spans="1:7" x14ac:dyDescent="0.3">
      <c r="A1092">
        <v>2021</v>
      </c>
      <c r="B1092" t="s">
        <v>48</v>
      </c>
      <c r="C1092" t="s">
        <v>11</v>
      </c>
      <c r="D1092" t="s">
        <v>234</v>
      </c>
      <c r="E1092" t="s">
        <v>89</v>
      </c>
      <c r="F1092" t="s">
        <v>8</v>
      </c>
      <c r="G1092">
        <v>8</v>
      </c>
    </row>
    <row r="1093" spans="1:7" x14ac:dyDescent="0.3">
      <c r="A1093">
        <v>2021</v>
      </c>
      <c r="B1093" t="s">
        <v>48</v>
      </c>
      <c r="C1093" t="s">
        <v>11</v>
      </c>
      <c r="D1093" t="s">
        <v>234</v>
      </c>
      <c r="E1093" t="s">
        <v>88</v>
      </c>
      <c r="F1093" t="s">
        <v>8</v>
      </c>
      <c r="G1093">
        <v>0</v>
      </c>
    </row>
    <row r="1094" spans="1:7" x14ac:dyDescent="0.3">
      <c r="A1094">
        <v>2021</v>
      </c>
      <c r="B1094" t="s">
        <v>56</v>
      </c>
      <c r="C1094" t="s">
        <v>51</v>
      </c>
      <c r="D1094" t="s">
        <v>235</v>
      </c>
      <c r="E1094" t="s">
        <v>94</v>
      </c>
      <c r="F1094" t="s">
        <v>8</v>
      </c>
      <c r="G1094">
        <v>0</v>
      </c>
    </row>
    <row r="1095" spans="1:7" x14ac:dyDescent="0.3">
      <c r="A1095">
        <v>2021</v>
      </c>
      <c r="B1095" t="s">
        <v>56</v>
      </c>
      <c r="C1095" t="s">
        <v>51</v>
      </c>
      <c r="D1095" t="s">
        <v>235</v>
      </c>
      <c r="E1095" t="s">
        <v>87</v>
      </c>
      <c r="F1095" t="s">
        <v>8</v>
      </c>
      <c r="G1095">
        <v>17</v>
      </c>
    </row>
    <row r="1096" spans="1:7" x14ac:dyDescent="0.3">
      <c r="A1096">
        <v>2021</v>
      </c>
      <c r="B1096" t="s">
        <v>56</v>
      </c>
      <c r="C1096" t="s">
        <v>51</v>
      </c>
      <c r="D1096" t="s">
        <v>235</v>
      </c>
      <c r="E1096" t="s">
        <v>89</v>
      </c>
      <c r="F1096" t="s">
        <v>8</v>
      </c>
      <c r="G1096">
        <v>16</v>
      </c>
    </row>
    <row r="1097" spans="1:7" x14ac:dyDescent="0.3">
      <c r="A1097">
        <v>2021</v>
      </c>
      <c r="B1097" t="s">
        <v>56</v>
      </c>
      <c r="C1097" t="s">
        <v>51</v>
      </c>
      <c r="D1097" t="s">
        <v>235</v>
      </c>
      <c r="E1097" t="s">
        <v>88</v>
      </c>
      <c r="F1097" t="s">
        <v>8</v>
      </c>
      <c r="G1097">
        <v>7</v>
      </c>
    </row>
    <row r="1098" spans="1:7" x14ac:dyDescent="0.3">
      <c r="A1098">
        <v>2021</v>
      </c>
      <c r="B1098" t="s">
        <v>49</v>
      </c>
      <c r="C1098" t="s">
        <v>11</v>
      </c>
      <c r="D1098" t="s">
        <v>236</v>
      </c>
      <c r="E1098" t="s">
        <v>94</v>
      </c>
      <c r="F1098" t="s">
        <v>8</v>
      </c>
      <c r="G1098">
        <v>2</v>
      </c>
    </row>
    <row r="1099" spans="1:7" x14ac:dyDescent="0.3">
      <c r="A1099">
        <v>2021</v>
      </c>
      <c r="B1099" t="s">
        <v>49</v>
      </c>
      <c r="C1099" t="s">
        <v>11</v>
      </c>
      <c r="D1099" t="s">
        <v>236</v>
      </c>
      <c r="E1099" t="s">
        <v>87</v>
      </c>
      <c r="F1099" t="s">
        <v>8</v>
      </c>
      <c r="G1099">
        <v>2</v>
      </c>
    </row>
    <row r="1100" spans="1:7" x14ac:dyDescent="0.3">
      <c r="A1100">
        <v>2021</v>
      </c>
      <c r="B1100" t="s">
        <v>49</v>
      </c>
      <c r="C1100" t="s">
        <v>11</v>
      </c>
      <c r="D1100" t="s">
        <v>236</v>
      </c>
      <c r="E1100" t="s">
        <v>89</v>
      </c>
      <c r="F1100" t="s">
        <v>8</v>
      </c>
      <c r="G1100">
        <v>11</v>
      </c>
    </row>
    <row r="1101" spans="1:7" x14ac:dyDescent="0.3">
      <c r="A1101">
        <v>2021</v>
      </c>
      <c r="B1101" t="s">
        <v>49</v>
      </c>
      <c r="C1101" t="s">
        <v>11</v>
      </c>
      <c r="D1101" t="s">
        <v>236</v>
      </c>
      <c r="E1101" t="s">
        <v>88</v>
      </c>
      <c r="F1101" t="s">
        <v>8</v>
      </c>
      <c r="G1101">
        <v>0</v>
      </c>
    </row>
    <row r="1102" spans="1:7" x14ac:dyDescent="0.3">
      <c r="A1102">
        <v>2021</v>
      </c>
      <c r="B1102" t="s">
        <v>57</v>
      </c>
      <c r="C1102" t="s">
        <v>51</v>
      </c>
      <c r="D1102" t="s">
        <v>237</v>
      </c>
      <c r="E1102" t="s">
        <v>94</v>
      </c>
      <c r="F1102" t="s">
        <v>8</v>
      </c>
      <c r="G1102">
        <v>4</v>
      </c>
    </row>
    <row r="1103" spans="1:7" x14ac:dyDescent="0.3">
      <c r="A1103">
        <v>2021</v>
      </c>
      <c r="B1103" t="s">
        <v>57</v>
      </c>
      <c r="C1103" t="s">
        <v>51</v>
      </c>
      <c r="D1103" t="s">
        <v>237</v>
      </c>
      <c r="E1103" t="s">
        <v>87</v>
      </c>
      <c r="F1103" t="s">
        <v>8</v>
      </c>
      <c r="G1103">
        <v>1</v>
      </c>
    </row>
    <row r="1104" spans="1:7" x14ac:dyDescent="0.3">
      <c r="A1104">
        <v>2021</v>
      </c>
      <c r="B1104" t="s">
        <v>57</v>
      </c>
      <c r="C1104" t="s">
        <v>51</v>
      </c>
      <c r="D1104" t="s">
        <v>237</v>
      </c>
      <c r="E1104" t="s">
        <v>89</v>
      </c>
      <c r="F1104" t="s">
        <v>8</v>
      </c>
      <c r="G1104">
        <v>10</v>
      </c>
    </row>
    <row r="1105" spans="1:7" x14ac:dyDescent="0.3">
      <c r="A1105">
        <v>2021</v>
      </c>
      <c r="B1105" t="s">
        <v>57</v>
      </c>
      <c r="C1105" t="s">
        <v>51</v>
      </c>
      <c r="D1105" t="s">
        <v>237</v>
      </c>
      <c r="E1105" t="s">
        <v>88</v>
      </c>
      <c r="F1105" t="s">
        <v>8</v>
      </c>
      <c r="G1105">
        <v>2</v>
      </c>
    </row>
    <row r="1106" spans="1:7" x14ac:dyDescent="0.3">
      <c r="A1106">
        <v>2021</v>
      </c>
      <c r="B1106" t="s">
        <v>12</v>
      </c>
      <c r="C1106" t="s">
        <v>11</v>
      </c>
      <c r="D1106" t="s">
        <v>191</v>
      </c>
      <c r="E1106" t="s">
        <v>94</v>
      </c>
      <c r="F1106" t="s">
        <v>182</v>
      </c>
      <c r="G1106">
        <v>0</v>
      </c>
    </row>
    <row r="1107" spans="1:7" x14ac:dyDescent="0.3">
      <c r="A1107">
        <v>2021</v>
      </c>
      <c r="B1107" t="s">
        <v>12</v>
      </c>
      <c r="C1107" t="s">
        <v>11</v>
      </c>
      <c r="D1107" t="s">
        <v>191</v>
      </c>
      <c r="E1107" t="s">
        <v>87</v>
      </c>
      <c r="F1107" t="s">
        <v>182</v>
      </c>
      <c r="G1107">
        <v>0</v>
      </c>
    </row>
    <row r="1108" spans="1:7" x14ac:dyDescent="0.3">
      <c r="A1108">
        <v>2021</v>
      </c>
      <c r="B1108" t="s">
        <v>12</v>
      </c>
      <c r="C1108" t="s">
        <v>11</v>
      </c>
      <c r="D1108" t="s">
        <v>191</v>
      </c>
      <c r="E1108" t="s">
        <v>89</v>
      </c>
      <c r="F1108" t="s">
        <v>182</v>
      </c>
      <c r="G1108">
        <v>0</v>
      </c>
    </row>
    <row r="1109" spans="1:7" x14ac:dyDescent="0.3">
      <c r="A1109">
        <v>2021</v>
      </c>
      <c r="B1109" t="s">
        <v>12</v>
      </c>
      <c r="C1109" t="s">
        <v>11</v>
      </c>
      <c r="D1109" t="s">
        <v>191</v>
      </c>
      <c r="E1109" t="s">
        <v>88</v>
      </c>
      <c r="F1109" t="s">
        <v>182</v>
      </c>
      <c r="G1109">
        <v>0</v>
      </c>
    </row>
    <row r="1110" spans="1:7" x14ac:dyDescent="0.3">
      <c r="A1110">
        <v>2021</v>
      </c>
      <c r="B1110" t="s">
        <v>13</v>
      </c>
      <c r="C1110" t="s">
        <v>11</v>
      </c>
      <c r="D1110" t="s">
        <v>192</v>
      </c>
      <c r="E1110" t="s">
        <v>94</v>
      </c>
      <c r="F1110" t="s">
        <v>182</v>
      </c>
      <c r="G1110">
        <v>0</v>
      </c>
    </row>
    <row r="1111" spans="1:7" x14ac:dyDescent="0.3">
      <c r="A1111">
        <v>2021</v>
      </c>
      <c r="B1111" t="s">
        <v>13</v>
      </c>
      <c r="C1111" t="s">
        <v>11</v>
      </c>
      <c r="D1111" t="s">
        <v>192</v>
      </c>
      <c r="E1111" t="s">
        <v>87</v>
      </c>
      <c r="F1111" t="s">
        <v>182</v>
      </c>
      <c r="G1111">
        <v>0</v>
      </c>
    </row>
    <row r="1112" spans="1:7" x14ac:dyDescent="0.3">
      <c r="A1112">
        <v>2021</v>
      </c>
      <c r="B1112" t="s">
        <v>13</v>
      </c>
      <c r="C1112" t="s">
        <v>11</v>
      </c>
      <c r="D1112" t="s">
        <v>192</v>
      </c>
      <c r="E1112" t="s">
        <v>89</v>
      </c>
      <c r="F1112" t="s">
        <v>182</v>
      </c>
      <c r="G1112">
        <v>0</v>
      </c>
    </row>
    <row r="1113" spans="1:7" x14ac:dyDescent="0.3">
      <c r="A1113">
        <v>2021</v>
      </c>
      <c r="B1113" t="s">
        <v>13</v>
      </c>
      <c r="C1113" t="s">
        <v>11</v>
      </c>
      <c r="D1113" t="s">
        <v>192</v>
      </c>
      <c r="E1113" t="s">
        <v>88</v>
      </c>
      <c r="F1113" t="s">
        <v>182</v>
      </c>
      <c r="G1113">
        <v>0</v>
      </c>
    </row>
    <row r="1114" spans="1:7" x14ac:dyDescent="0.3">
      <c r="A1114">
        <v>2021</v>
      </c>
      <c r="B1114" t="s">
        <v>14</v>
      </c>
      <c r="C1114" t="s">
        <v>11</v>
      </c>
      <c r="D1114" t="s">
        <v>193</v>
      </c>
      <c r="E1114" t="s">
        <v>94</v>
      </c>
      <c r="F1114" t="s">
        <v>182</v>
      </c>
      <c r="G1114">
        <v>0</v>
      </c>
    </row>
    <row r="1115" spans="1:7" x14ac:dyDescent="0.3">
      <c r="A1115">
        <v>2021</v>
      </c>
      <c r="B1115" t="s">
        <v>14</v>
      </c>
      <c r="C1115" t="s">
        <v>11</v>
      </c>
      <c r="D1115" t="s">
        <v>193</v>
      </c>
      <c r="E1115" t="s">
        <v>87</v>
      </c>
      <c r="F1115" t="s">
        <v>182</v>
      </c>
      <c r="G1115">
        <v>0</v>
      </c>
    </row>
    <row r="1116" spans="1:7" x14ac:dyDescent="0.3">
      <c r="A1116">
        <v>2021</v>
      </c>
      <c r="B1116" t="s">
        <v>14</v>
      </c>
      <c r="C1116" t="s">
        <v>11</v>
      </c>
      <c r="D1116" t="s">
        <v>193</v>
      </c>
      <c r="E1116" t="s">
        <v>89</v>
      </c>
      <c r="F1116" t="s">
        <v>182</v>
      </c>
      <c r="G1116">
        <v>1</v>
      </c>
    </row>
    <row r="1117" spans="1:7" x14ac:dyDescent="0.3">
      <c r="A1117">
        <v>2021</v>
      </c>
      <c r="B1117" t="s">
        <v>14</v>
      </c>
      <c r="C1117" t="s">
        <v>11</v>
      </c>
      <c r="D1117" t="s">
        <v>193</v>
      </c>
      <c r="E1117" t="s">
        <v>88</v>
      </c>
      <c r="F1117" t="s">
        <v>182</v>
      </c>
      <c r="G1117">
        <v>0</v>
      </c>
    </row>
    <row r="1118" spans="1:7" x14ac:dyDescent="0.3">
      <c r="A1118">
        <v>2021</v>
      </c>
      <c r="B1118" t="s">
        <v>15</v>
      </c>
      <c r="C1118" t="s">
        <v>11</v>
      </c>
      <c r="D1118" t="s">
        <v>194</v>
      </c>
      <c r="E1118" t="s">
        <v>94</v>
      </c>
      <c r="F1118" t="s">
        <v>182</v>
      </c>
      <c r="G1118">
        <v>0</v>
      </c>
    </row>
    <row r="1119" spans="1:7" x14ac:dyDescent="0.3">
      <c r="A1119">
        <v>2021</v>
      </c>
      <c r="B1119" t="s">
        <v>15</v>
      </c>
      <c r="C1119" t="s">
        <v>11</v>
      </c>
      <c r="D1119" t="s">
        <v>194</v>
      </c>
      <c r="E1119" t="s">
        <v>87</v>
      </c>
      <c r="F1119" t="s">
        <v>182</v>
      </c>
      <c r="G1119">
        <v>0</v>
      </c>
    </row>
    <row r="1120" spans="1:7" x14ac:dyDescent="0.3">
      <c r="A1120">
        <v>2021</v>
      </c>
      <c r="B1120" t="s">
        <v>15</v>
      </c>
      <c r="C1120" t="s">
        <v>11</v>
      </c>
      <c r="D1120" t="s">
        <v>194</v>
      </c>
      <c r="E1120" t="s">
        <v>89</v>
      </c>
      <c r="F1120" t="s">
        <v>182</v>
      </c>
      <c r="G1120">
        <v>0</v>
      </c>
    </row>
    <row r="1121" spans="1:7" x14ac:dyDescent="0.3">
      <c r="A1121">
        <v>2021</v>
      </c>
      <c r="B1121" t="s">
        <v>15</v>
      </c>
      <c r="C1121" t="s">
        <v>11</v>
      </c>
      <c r="D1121" t="s">
        <v>194</v>
      </c>
      <c r="E1121" t="s">
        <v>88</v>
      </c>
      <c r="F1121" t="s">
        <v>182</v>
      </c>
      <c r="G1121">
        <v>0</v>
      </c>
    </row>
    <row r="1122" spans="1:7" x14ac:dyDescent="0.3">
      <c r="A1122">
        <v>2021</v>
      </c>
      <c r="B1122" t="s">
        <v>16</v>
      </c>
      <c r="C1122" t="s">
        <v>11</v>
      </c>
      <c r="D1122" t="s">
        <v>195</v>
      </c>
      <c r="E1122" t="s">
        <v>94</v>
      </c>
      <c r="F1122" t="s">
        <v>182</v>
      </c>
      <c r="G1122">
        <v>0</v>
      </c>
    </row>
    <row r="1123" spans="1:7" x14ac:dyDescent="0.3">
      <c r="A1123">
        <v>2021</v>
      </c>
      <c r="B1123" t="s">
        <v>16</v>
      </c>
      <c r="C1123" t="s">
        <v>11</v>
      </c>
      <c r="D1123" t="s">
        <v>195</v>
      </c>
      <c r="E1123" t="s">
        <v>87</v>
      </c>
      <c r="F1123" t="s">
        <v>182</v>
      </c>
      <c r="G1123">
        <v>0</v>
      </c>
    </row>
    <row r="1124" spans="1:7" x14ac:dyDescent="0.3">
      <c r="A1124">
        <v>2021</v>
      </c>
      <c r="B1124" t="s">
        <v>16</v>
      </c>
      <c r="C1124" t="s">
        <v>11</v>
      </c>
      <c r="D1124" t="s">
        <v>195</v>
      </c>
      <c r="E1124" t="s">
        <v>89</v>
      </c>
      <c r="F1124" t="s">
        <v>182</v>
      </c>
      <c r="G1124">
        <v>0</v>
      </c>
    </row>
    <row r="1125" spans="1:7" x14ac:dyDescent="0.3">
      <c r="A1125">
        <v>2021</v>
      </c>
      <c r="B1125" t="s">
        <v>16</v>
      </c>
      <c r="C1125" t="s">
        <v>11</v>
      </c>
      <c r="D1125" t="s">
        <v>195</v>
      </c>
      <c r="E1125" t="s">
        <v>88</v>
      </c>
      <c r="F1125" t="s">
        <v>182</v>
      </c>
      <c r="G1125">
        <v>0</v>
      </c>
    </row>
    <row r="1126" spans="1:7" x14ac:dyDescent="0.3">
      <c r="A1126">
        <v>2021</v>
      </c>
      <c r="B1126" t="s">
        <v>17</v>
      </c>
      <c r="C1126" t="s">
        <v>11</v>
      </c>
      <c r="D1126" t="s">
        <v>196</v>
      </c>
      <c r="E1126" t="s">
        <v>94</v>
      </c>
      <c r="F1126" t="s">
        <v>182</v>
      </c>
      <c r="G1126">
        <v>0</v>
      </c>
    </row>
    <row r="1127" spans="1:7" x14ac:dyDescent="0.3">
      <c r="A1127">
        <v>2021</v>
      </c>
      <c r="B1127" t="s">
        <v>17</v>
      </c>
      <c r="C1127" t="s">
        <v>11</v>
      </c>
      <c r="D1127" t="s">
        <v>196</v>
      </c>
      <c r="E1127" t="s">
        <v>87</v>
      </c>
      <c r="F1127" t="s">
        <v>182</v>
      </c>
      <c r="G1127">
        <v>0</v>
      </c>
    </row>
    <row r="1128" spans="1:7" x14ac:dyDescent="0.3">
      <c r="A1128">
        <v>2021</v>
      </c>
      <c r="B1128" t="s">
        <v>17</v>
      </c>
      <c r="C1128" t="s">
        <v>11</v>
      </c>
      <c r="D1128" t="s">
        <v>196</v>
      </c>
      <c r="E1128" t="s">
        <v>89</v>
      </c>
      <c r="F1128" t="s">
        <v>182</v>
      </c>
      <c r="G1128">
        <v>0</v>
      </c>
    </row>
    <row r="1129" spans="1:7" x14ac:dyDescent="0.3">
      <c r="A1129">
        <v>2021</v>
      </c>
      <c r="B1129" t="s">
        <v>17</v>
      </c>
      <c r="C1129" t="s">
        <v>11</v>
      </c>
      <c r="D1129" t="s">
        <v>196</v>
      </c>
      <c r="E1129" t="s">
        <v>88</v>
      </c>
      <c r="F1129" t="s">
        <v>182</v>
      </c>
      <c r="G1129">
        <v>0</v>
      </c>
    </row>
    <row r="1130" spans="1:7" x14ac:dyDescent="0.3">
      <c r="A1130">
        <v>2021</v>
      </c>
      <c r="B1130" t="s">
        <v>18</v>
      </c>
      <c r="C1130" t="s">
        <v>11</v>
      </c>
      <c r="D1130" t="s">
        <v>197</v>
      </c>
      <c r="E1130" t="s">
        <v>94</v>
      </c>
      <c r="F1130" t="s">
        <v>182</v>
      </c>
      <c r="G1130">
        <v>0</v>
      </c>
    </row>
    <row r="1131" spans="1:7" x14ac:dyDescent="0.3">
      <c r="A1131">
        <v>2021</v>
      </c>
      <c r="B1131" t="s">
        <v>18</v>
      </c>
      <c r="C1131" t="s">
        <v>11</v>
      </c>
      <c r="D1131" t="s">
        <v>197</v>
      </c>
      <c r="E1131" t="s">
        <v>87</v>
      </c>
      <c r="F1131" t="s">
        <v>182</v>
      </c>
      <c r="G1131">
        <v>0</v>
      </c>
    </row>
    <row r="1132" spans="1:7" x14ac:dyDescent="0.3">
      <c r="A1132">
        <v>2021</v>
      </c>
      <c r="B1132" t="s">
        <v>18</v>
      </c>
      <c r="C1132" t="s">
        <v>11</v>
      </c>
      <c r="D1132" t="s">
        <v>197</v>
      </c>
      <c r="E1132" t="s">
        <v>89</v>
      </c>
      <c r="F1132" t="s">
        <v>182</v>
      </c>
      <c r="G1132">
        <v>0</v>
      </c>
    </row>
    <row r="1133" spans="1:7" x14ac:dyDescent="0.3">
      <c r="A1133">
        <v>2021</v>
      </c>
      <c r="B1133" t="s">
        <v>18</v>
      </c>
      <c r="C1133" t="s">
        <v>11</v>
      </c>
      <c r="D1133" t="s">
        <v>197</v>
      </c>
      <c r="E1133" t="s">
        <v>88</v>
      </c>
      <c r="F1133" t="s">
        <v>182</v>
      </c>
      <c r="G1133">
        <v>0</v>
      </c>
    </row>
    <row r="1134" spans="1:7" x14ac:dyDescent="0.3">
      <c r="A1134">
        <v>2021</v>
      </c>
      <c r="B1134" t="s">
        <v>19</v>
      </c>
      <c r="C1134" t="s">
        <v>11</v>
      </c>
      <c r="D1134" t="s">
        <v>198</v>
      </c>
      <c r="E1134" t="s">
        <v>94</v>
      </c>
      <c r="F1134" t="s">
        <v>182</v>
      </c>
      <c r="G1134">
        <v>0</v>
      </c>
    </row>
    <row r="1135" spans="1:7" x14ac:dyDescent="0.3">
      <c r="A1135">
        <v>2021</v>
      </c>
      <c r="B1135" t="s">
        <v>19</v>
      </c>
      <c r="C1135" t="s">
        <v>11</v>
      </c>
      <c r="D1135" t="s">
        <v>198</v>
      </c>
      <c r="E1135" t="s">
        <v>87</v>
      </c>
      <c r="F1135" t="s">
        <v>182</v>
      </c>
      <c r="G1135">
        <v>0</v>
      </c>
    </row>
    <row r="1136" spans="1:7" x14ac:dyDescent="0.3">
      <c r="A1136">
        <v>2021</v>
      </c>
      <c r="B1136" t="s">
        <v>19</v>
      </c>
      <c r="C1136" t="s">
        <v>11</v>
      </c>
      <c r="D1136" t="s">
        <v>198</v>
      </c>
      <c r="E1136" t="s">
        <v>89</v>
      </c>
      <c r="F1136" t="s">
        <v>182</v>
      </c>
      <c r="G1136">
        <v>0</v>
      </c>
    </row>
    <row r="1137" spans="1:7" x14ac:dyDescent="0.3">
      <c r="A1137">
        <v>2021</v>
      </c>
      <c r="B1137" t="s">
        <v>19</v>
      </c>
      <c r="C1137" t="s">
        <v>11</v>
      </c>
      <c r="D1137" t="s">
        <v>198</v>
      </c>
      <c r="E1137" t="s">
        <v>88</v>
      </c>
      <c r="F1137" t="s">
        <v>182</v>
      </c>
      <c r="G1137">
        <v>0</v>
      </c>
    </row>
    <row r="1138" spans="1:7" x14ac:dyDescent="0.3">
      <c r="A1138">
        <v>2021</v>
      </c>
      <c r="B1138" t="s">
        <v>20</v>
      </c>
      <c r="C1138" t="s">
        <v>11</v>
      </c>
      <c r="D1138" t="s">
        <v>199</v>
      </c>
      <c r="E1138" t="s">
        <v>94</v>
      </c>
      <c r="F1138" t="s">
        <v>182</v>
      </c>
      <c r="G1138">
        <v>0</v>
      </c>
    </row>
    <row r="1139" spans="1:7" x14ac:dyDescent="0.3">
      <c r="A1139">
        <v>2021</v>
      </c>
      <c r="B1139" t="s">
        <v>20</v>
      </c>
      <c r="C1139" t="s">
        <v>11</v>
      </c>
      <c r="D1139" t="s">
        <v>199</v>
      </c>
      <c r="E1139" t="s">
        <v>87</v>
      </c>
      <c r="F1139" t="s">
        <v>182</v>
      </c>
      <c r="G1139">
        <v>1</v>
      </c>
    </row>
    <row r="1140" spans="1:7" x14ac:dyDescent="0.3">
      <c r="A1140">
        <v>2021</v>
      </c>
      <c r="B1140" t="s">
        <v>20</v>
      </c>
      <c r="C1140" t="s">
        <v>11</v>
      </c>
      <c r="D1140" t="s">
        <v>199</v>
      </c>
      <c r="E1140" t="s">
        <v>89</v>
      </c>
      <c r="F1140" t="s">
        <v>182</v>
      </c>
      <c r="G1140">
        <v>0</v>
      </c>
    </row>
    <row r="1141" spans="1:7" x14ac:dyDescent="0.3">
      <c r="A1141">
        <v>2021</v>
      </c>
      <c r="B1141" t="s">
        <v>20</v>
      </c>
      <c r="C1141" t="s">
        <v>11</v>
      </c>
      <c r="D1141" t="s">
        <v>199</v>
      </c>
      <c r="E1141" t="s">
        <v>88</v>
      </c>
      <c r="F1141" t="s">
        <v>182</v>
      </c>
      <c r="G1141">
        <v>0</v>
      </c>
    </row>
    <row r="1142" spans="1:7" x14ac:dyDescent="0.3">
      <c r="A1142">
        <v>2021</v>
      </c>
      <c r="B1142" t="s">
        <v>21</v>
      </c>
      <c r="C1142" t="s">
        <v>11</v>
      </c>
      <c r="D1142" t="s">
        <v>200</v>
      </c>
      <c r="E1142" t="s">
        <v>94</v>
      </c>
      <c r="F1142" t="s">
        <v>182</v>
      </c>
      <c r="G1142">
        <v>0</v>
      </c>
    </row>
    <row r="1143" spans="1:7" x14ac:dyDescent="0.3">
      <c r="A1143">
        <v>2021</v>
      </c>
      <c r="B1143" t="s">
        <v>21</v>
      </c>
      <c r="C1143" t="s">
        <v>11</v>
      </c>
      <c r="D1143" t="s">
        <v>200</v>
      </c>
      <c r="E1143" t="s">
        <v>87</v>
      </c>
      <c r="F1143" t="s">
        <v>182</v>
      </c>
      <c r="G1143">
        <v>0</v>
      </c>
    </row>
    <row r="1144" spans="1:7" x14ac:dyDescent="0.3">
      <c r="A1144">
        <v>2021</v>
      </c>
      <c r="B1144" t="s">
        <v>21</v>
      </c>
      <c r="C1144" t="s">
        <v>11</v>
      </c>
      <c r="D1144" t="s">
        <v>200</v>
      </c>
      <c r="E1144" t="s">
        <v>89</v>
      </c>
      <c r="F1144" t="s">
        <v>182</v>
      </c>
      <c r="G1144">
        <v>0</v>
      </c>
    </row>
    <row r="1145" spans="1:7" x14ac:dyDescent="0.3">
      <c r="A1145">
        <v>2021</v>
      </c>
      <c r="B1145" t="s">
        <v>21</v>
      </c>
      <c r="C1145" t="s">
        <v>11</v>
      </c>
      <c r="D1145" t="s">
        <v>200</v>
      </c>
      <c r="E1145" t="s">
        <v>88</v>
      </c>
      <c r="F1145" t="s">
        <v>182</v>
      </c>
      <c r="G1145">
        <v>0</v>
      </c>
    </row>
    <row r="1146" spans="1:7" x14ac:dyDescent="0.3">
      <c r="A1146">
        <v>2021</v>
      </c>
      <c r="B1146" t="s">
        <v>22</v>
      </c>
      <c r="C1146" t="s">
        <v>11</v>
      </c>
      <c r="D1146" t="s">
        <v>201</v>
      </c>
      <c r="E1146" t="s">
        <v>94</v>
      </c>
      <c r="F1146" t="s">
        <v>182</v>
      </c>
      <c r="G1146">
        <v>1</v>
      </c>
    </row>
    <row r="1147" spans="1:7" x14ac:dyDescent="0.3">
      <c r="A1147">
        <v>2021</v>
      </c>
      <c r="B1147" t="s">
        <v>22</v>
      </c>
      <c r="C1147" t="s">
        <v>11</v>
      </c>
      <c r="D1147" t="s">
        <v>201</v>
      </c>
      <c r="E1147" t="s">
        <v>87</v>
      </c>
      <c r="F1147" t="s">
        <v>182</v>
      </c>
      <c r="G1147">
        <v>0</v>
      </c>
    </row>
    <row r="1148" spans="1:7" x14ac:dyDescent="0.3">
      <c r="A1148">
        <v>2021</v>
      </c>
      <c r="B1148" t="s">
        <v>22</v>
      </c>
      <c r="C1148" t="s">
        <v>11</v>
      </c>
      <c r="D1148" t="s">
        <v>201</v>
      </c>
      <c r="E1148" t="s">
        <v>89</v>
      </c>
      <c r="F1148" t="s">
        <v>182</v>
      </c>
      <c r="G1148">
        <v>0</v>
      </c>
    </row>
    <row r="1149" spans="1:7" x14ac:dyDescent="0.3">
      <c r="A1149">
        <v>2021</v>
      </c>
      <c r="B1149" t="s">
        <v>22</v>
      </c>
      <c r="C1149" t="s">
        <v>11</v>
      </c>
      <c r="D1149" t="s">
        <v>201</v>
      </c>
      <c r="E1149" t="s">
        <v>88</v>
      </c>
      <c r="F1149" t="s">
        <v>182</v>
      </c>
      <c r="G1149">
        <v>0</v>
      </c>
    </row>
    <row r="1150" spans="1:7" x14ac:dyDescent="0.3">
      <c r="A1150">
        <v>2021</v>
      </c>
      <c r="B1150" t="s">
        <v>23</v>
      </c>
      <c r="C1150" t="s">
        <v>11</v>
      </c>
      <c r="D1150" t="s">
        <v>202</v>
      </c>
      <c r="E1150" t="s">
        <v>94</v>
      </c>
      <c r="F1150" t="s">
        <v>182</v>
      </c>
      <c r="G1150">
        <v>0</v>
      </c>
    </row>
    <row r="1151" spans="1:7" x14ac:dyDescent="0.3">
      <c r="A1151">
        <v>2021</v>
      </c>
      <c r="B1151" t="s">
        <v>23</v>
      </c>
      <c r="C1151" t="s">
        <v>11</v>
      </c>
      <c r="D1151" t="s">
        <v>202</v>
      </c>
      <c r="E1151" t="s">
        <v>87</v>
      </c>
      <c r="F1151" t="s">
        <v>182</v>
      </c>
      <c r="G1151">
        <v>0</v>
      </c>
    </row>
    <row r="1152" spans="1:7" x14ac:dyDescent="0.3">
      <c r="A1152">
        <v>2021</v>
      </c>
      <c r="B1152" t="s">
        <v>23</v>
      </c>
      <c r="C1152" t="s">
        <v>11</v>
      </c>
      <c r="D1152" t="s">
        <v>202</v>
      </c>
      <c r="E1152" t="s">
        <v>89</v>
      </c>
      <c r="F1152" t="s">
        <v>182</v>
      </c>
      <c r="G1152">
        <v>0</v>
      </c>
    </row>
    <row r="1153" spans="1:7" x14ac:dyDescent="0.3">
      <c r="A1153">
        <v>2021</v>
      </c>
      <c r="B1153" t="s">
        <v>23</v>
      </c>
      <c r="C1153" t="s">
        <v>11</v>
      </c>
      <c r="D1153" t="s">
        <v>202</v>
      </c>
      <c r="E1153" t="s">
        <v>88</v>
      </c>
      <c r="F1153" t="s">
        <v>182</v>
      </c>
      <c r="G1153">
        <v>0</v>
      </c>
    </row>
    <row r="1154" spans="1:7" x14ac:dyDescent="0.3">
      <c r="A1154">
        <v>2021</v>
      </c>
      <c r="B1154" t="s">
        <v>24</v>
      </c>
      <c r="C1154" t="s">
        <v>11</v>
      </c>
      <c r="D1154" t="s">
        <v>203</v>
      </c>
      <c r="E1154" t="s">
        <v>94</v>
      </c>
      <c r="F1154" t="s">
        <v>182</v>
      </c>
      <c r="G1154">
        <v>0</v>
      </c>
    </row>
    <row r="1155" spans="1:7" x14ac:dyDescent="0.3">
      <c r="A1155">
        <v>2021</v>
      </c>
      <c r="B1155" t="s">
        <v>24</v>
      </c>
      <c r="C1155" t="s">
        <v>11</v>
      </c>
      <c r="D1155" t="s">
        <v>203</v>
      </c>
      <c r="E1155" t="s">
        <v>87</v>
      </c>
      <c r="F1155" t="s">
        <v>182</v>
      </c>
      <c r="G1155">
        <v>0</v>
      </c>
    </row>
    <row r="1156" spans="1:7" x14ac:dyDescent="0.3">
      <c r="A1156">
        <v>2021</v>
      </c>
      <c r="B1156" t="s">
        <v>24</v>
      </c>
      <c r="C1156" t="s">
        <v>11</v>
      </c>
      <c r="D1156" t="s">
        <v>203</v>
      </c>
      <c r="E1156" t="s">
        <v>89</v>
      </c>
      <c r="F1156" t="s">
        <v>182</v>
      </c>
      <c r="G1156">
        <v>0</v>
      </c>
    </row>
    <row r="1157" spans="1:7" x14ac:dyDescent="0.3">
      <c r="A1157">
        <v>2021</v>
      </c>
      <c r="B1157" t="s">
        <v>24</v>
      </c>
      <c r="C1157" t="s">
        <v>11</v>
      </c>
      <c r="D1157" t="s">
        <v>203</v>
      </c>
      <c r="E1157" t="s">
        <v>88</v>
      </c>
      <c r="F1157" t="s">
        <v>182</v>
      </c>
      <c r="G1157">
        <v>0</v>
      </c>
    </row>
    <row r="1158" spans="1:7" x14ac:dyDescent="0.3">
      <c r="A1158">
        <v>2021</v>
      </c>
      <c r="B1158" t="s">
        <v>25</v>
      </c>
      <c r="C1158" t="s">
        <v>11</v>
      </c>
      <c r="D1158" t="s">
        <v>204</v>
      </c>
      <c r="E1158" t="s">
        <v>94</v>
      </c>
      <c r="F1158" t="s">
        <v>182</v>
      </c>
      <c r="G1158">
        <v>0</v>
      </c>
    </row>
    <row r="1159" spans="1:7" x14ac:dyDescent="0.3">
      <c r="A1159">
        <v>2021</v>
      </c>
      <c r="B1159" t="s">
        <v>25</v>
      </c>
      <c r="C1159" t="s">
        <v>11</v>
      </c>
      <c r="D1159" t="s">
        <v>204</v>
      </c>
      <c r="E1159" t="s">
        <v>87</v>
      </c>
      <c r="F1159" t="s">
        <v>182</v>
      </c>
      <c r="G1159">
        <v>0</v>
      </c>
    </row>
    <row r="1160" spans="1:7" x14ac:dyDescent="0.3">
      <c r="A1160">
        <v>2021</v>
      </c>
      <c r="B1160" t="s">
        <v>25</v>
      </c>
      <c r="C1160" t="s">
        <v>11</v>
      </c>
      <c r="D1160" t="s">
        <v>204</v>
      </c>
      <c r="E1160" t="s">
        <v>89</v>
      </c>
      <c r="F1160" t="s">
        <v>182</v>
      </c>
      <c r="G1160">
        <v>0</v>
      </c>
    </row>
    <row r="1161" spans="1:7" x14ac:dyDescent="0.3">
      <c r="A1161">
        <v>2021</v>
      </c>
      <c r="B1161" t="s">
        <v>25</v>
      </c>
      <c r="C1161" t="s">
        <v>11</v>
      </c>
      <c r="D1161" t="s">
        <v>204</v>
      </c>
      <c r="E1161" t="s">
        <v>88</v>
      </c>
      <c r="F1161" t="s">
        <v>182</v>
      </c>
      <c r="G1161">
        <v>0</v>
      </c>
    </row>
    <row r="1162" spans="1:7" x14ac:dyDescent="0.3">
      <c r="A1162">
        <v>2021</v>
      </c>
      <c r="B1162" t="s">
        <v>26</v>
      </c>
      <c r="C1162" t="s">
        <v>11</v>
      </c>
      <c r="D1162" t="s">
        <v>205</v>
      </c>
      <c r="E1162" t="s">
        <v>94</v>
      </c>
      <c r="F1162" t="s">
        <v>182</v>
      </c>
      <c r="G1162">
        <v>3</v>
      </c>
    </row>
    <row r="1163" spans="1:7" x14ac:dyDescent="0.3">
      <c r="A1163">
        <v>2021</v>
      </c>
      <c r="B1163" t="s">
        <v>26</v>
      </c>
      <c r="C1163" t="s">
        <v>11</v>
      </c>
      <c r="D1163" t="s">
        <v>205</v>
      </c>
      <c r="E1163" t="s">
        <v>87</v>
      </c>
      <c r="F1163" t="s">
        <v>182</v>
      </c>
      <c r="G1163">
        <v>1</v>
      </c>
    </row>
    <row r="1164" spans="1:7" x14ac:dyDescent="0.3">
      <c r="A1164">
        <v>2021</v>
      </c>
      <c r="B1164" t="s">
        <v>26</v>
      </c>
      <c r="C1164" t="s">
        <v>11</v>
      </c>
      <c r="D1164" t="s">
        <v>205</v>
      </c>
      <c r="E1164" t="s">
        <v>89</v>
      </c>
      <c r="F1164" t="s">
        <v>182</v>
      </c>
      <c r="G1164">
        <v>1</v>
      </c>
    </row>
    <row r="1165" spans="1:7" x14ac:dyDescent="0.3">
      <c r="A1165">
        <v>2021</v>
      </c>
      <c r="B1165" t="s">
        <v>26</v>
      </c>
      <c r="C1165" t="s">
        <v>11</v>
      </c>
      <c r="D1165" t="s">
        <v>205</v>
      </c>
      <c r="E1165" t="s">
        <v>88</v>
      </c>
      <c r="F1165" t="s">
        <v>182</v>
      </c>
      <c r="G1165">
        <v>0</v>
      </c>
    </row>
    <row r="1166" spans="1:7" x14ac:dyDescent="0.3">
      <c r="A1166">
        <v>2021</v>
      </c>
      <c r="B1166" t="s">
        <v>27</v>
      </c>
      <c r="C1166" t="s">
        <v>11</v>
      </c>
      <c r="D1166" t="s">
        <v>206</v>
      </c>
      <c r="E1166" t="s">
        <v>94</v>
      </c>
      <c r="F1166" t="s">
        <v>182</v>
      </c>
      <c r="G1166">
        <v>0</v>
      </c>
    </row>
    <row r="1167" spans="1:7" x14ac:dyDescent="0.3">
      <c r="A1167">
        <v>2021</v>
      </c>
      <c r="B1167" t="s">
        <v>27</v>
      </c>
      <c r="C1167" t="s">
        <v>11</v>
      </c>
      <c r="D1167" t="s">
        <v>206</v>
      </c>
      <c r="E1167" t="s">
        <v>87</v>
      </c>
      <c r="F1167" t="s">
        <v>182</v>
      </c>
      <c r="G1167">
        <v>0</v>
      </c>
    </row>
    <row r="1168" spans="1:7" x14ac:dyDescent="0.3">
      <c r="A1168">
        <v>2021</v>
      </c>
      <c r="B1168" t="s">
        <v>27</v>
      </c>
      <c r="C1168" t="s">
        <v>11</v>
      </c>
      <c r="D1168" t="s">
        <v>206</v>
      </c>
      <c r="E1168" t="s">
        <v>89</v>
      </c>
      <c r="F1168" t="s">
        <v>182</v>
      </c>
      <c r="G1168">
        <v>0</v>
      </c>
    </row>
    <row r="1169" spans="1:7" x14ac:dyDescent="0.3">
      <c r="A1169">
        <v>2021</v>
      </c>
      <c r="B1169" t="s">
        <v>27</v>
      </c>
      <c r="C1169" t="s">
        <v>11</v>
      </c>
      <c r="D1169" t="s">
        <v>206</v>
      </c>
      <c r="E1169" t="s">
        <v>88</v>
      </c>
      <c r="F1169" t="s">
        <v>182</v>
      </c>
      <c r="G1169">
        <v>0</v>
      </c>
    </row>
    <row r="1170" spans="1:7" x14ac:dyDescent="0.3">
      <c r="A1170">
        <v>2021</v>
      </c>
      <c r="B1170" t="s">
        <v>58</v>
      </c>
      <c r="C1170" t="s">
        <v>51</v>
      </c>
      <c r="D1170" t="s">
        <v>207</v>
      </c>
      <c r="E1170" t="s">
        <v>94</v>
      </c>
      <c r="F1170" t="s">
        <v>182</v>
      </c>
      <c r="G1170">
        <v>0</v>
      </c>
    </row>
    <row r="1171" spans="1:7" x14ac:dyDescent="0.3">
      <c r="A1171">
        <v>2021</v>
      </c>
      <c r="B1171" t="s">
        <v>58</v>
      </c>
      <c r="C1171" t="s">
        <v>51</v>
      </c>
      <c r="D1171" t="s">
        <v>207</v>
      </c>
      <c r="E1171" t="s">
        <v>87</v>
      </c>
      <c r="F1171" t="s">
        <v>182</v>
      </c>
      <c r="G1171">
        <v>0</v>
      </c>
    </row>
    <row r="1172" spans="1:7" x14ac:dyDescent="0.3">
      <c r="A1172">
        <v>2021</v>
      </c>
      <c r="B1172" t="s">
        <v>58</v>
      </c>
      <c r="C1172" t="s">
        <v>51</v>
      </c>
      <c r="D1172" t="s">
        <v>207</v>
      </c>
      <c r="E1172" t="s">
        <v>89</v>
      </c>
      <c r="F1172" t="s">
        <v>182</v>
      </c>
      <c r="G1172">
        <v>0</v>
      </c>
    </row>
    <row r="1173" spans="1:7" x14ac:dyDescent="0.3">
      <c r="A1173">
        <v>2021</v>
      </c>
      <c r="B1173" t="s">
        <v>58</v>
      </c>
      <c r="C1173" t="s">
        <v>51</v>
      </c>
      <c r="D1173" t="s">
        <v>207</v>
      </c>
      <c r="E1173" t="s">
        <v>88</v>
      </c>
      <c r="F1173" t="s">
        <v>182</v>
      </c>
      <c r="G1173">
        <v>0</v>
      </c>
    </row>
    <row r="1174" spans="1:7" x14ac:dyDescent="0.3">
      <c r="A1174">
        <v>2021</v>
      </c>
      <c r="B1174" t="s">
        <v>52</v>
      </c>
      <c r="C1174" t="s">
        <v>51</v>
      </c>
      <c r="D1174" t="s">
        <v>208</v>
      </c>
      <c r="E1174" t="s">
        <v>94</v>
      </c>
      <c r="F1174" t="s">
        <v>182</v>
      </c>
      <c r="G1174">
        <v>0</v>
      </c>
    </row>
    <row r="1175" spans="1:7" x14ac:dyDescent="0.3">
      <c r="A1175">
        <v>2021</v>
      </c>
      <c r="B1175" t="s">
        <v>52</v>
      </c>
      <c r="C1175" t="s">
        <v>51</v>
      </c>
      <c r="D1175" t="s">
        <v>208</v>
      </c>
      <c r="E1175" t="s">
        <v>87</v>
      </c>
      <c r="F1175" t="s">
        <v>182</v>
      </c>
      <c r="G1175">
        <v>0</v>
      </c>
    </row>
    <row r="1176" spans="1:7" x14ac:dyDescent="0.3">
      <c r="A1176">
        <v>2021</v>
      </c>
      <c r="B1176" t="s">
        <v>52</v>
      </c>
      <c r="C1176" t="s">
        <v>51</v>
      </c>
      <c r="D1176" t="s">
        <v>208</v>
      </c>
      <c r="E1176" t="s">
        <v>89</v>
      </c>
      <c r="F1176" t="s">
        <v>182</v>
      </c>
      <c r="G1176">
        <v>0</v>
      </c>
    </row>
    <row r="1177" spans="1:7" x14ac:dyDescent="0.3">
      <c r="A1177">
        <v>2021</v>
      </c>
      <c r="B1177" t="s">
        <v>52</v>
      </c>
      <c r="C1177" t="s">
        <v>51</v>
      </c>
      <c r="D1177" t="s">
        <v>208</v>
      </c>
      <c r="E1177" t="s">
        <v>88</v>
      </c>
      <c r="F1177" t="s">
        <v>182</v>
      </c>
      <c r="G1177">
        <v>0</v>
      </c>
    </row>
    <row r="1178" spans="1:7" x14ac:dyDescent="0.3">
      <c r="A1178">
        <v>2021</v>
      </c>
      <c r="B1178" t="s">
        <v>28</v>
      </c>
      <c r="C1178" t="s">
        <v>11</v>
      </c>
      <c r="D1178" t="s">
        <v>209</v>
      </c>
      <c r="E1178" t="s">
        <v>94</v>
      </c>
      <c r="F1178" t="s">
        <v>182</v>
      </c>
      <c r="G1178">
        <v>0</v>
      </c>
    </row>
    <row r="1179" spans="1:7" x14ac:dyDescent="0.3">
      <c r="A1179">
        <v>2021</v>
      </c>
      <c r="B1179" t="s">
        <v>28</v>
      </c>
      <c r="C1179" t="s">
        <v>11</v>
      </c>
      <c r="D1179" t="s">
        <v>209</v>
      </c>
      <c r="E1179" t="s">
        <v>87</v>
      </c>
      <c r="F1179" t="s">
        <v>182</v>
      </c>
      <c r="G1179">
        <v>0</v>
      </c>
    </row>
    <row r="1180" spans="1:7" x14ac:dyDescent="0.3">
      <c r="A1180">
        <v>2021</v>
      </c>
      <c r="B1180" t="s">
        <v>28</v>
      </c>
      <c r="C1180" t="s">
        <v>11</v>
      </c>
      <c r="D1180" t="s">
        <v>209</v>
      </c>
      <c r="E1180" t="s">
        <v>89</v>
      </c>
      <c r="F1180" t="s">
        <v>182</v>
      </c>
      <c r="G1180">
        <v>0</v>
      </c>
    </row>
    <row r="1181" spans="1:7" x14ac:dyDescent="0.3">
      <c r="A1181">
        <v>2021</v>
      </c>
      <c r="B1181" t="s">
        <v>28</v>
      </c>
      <c r="C1181" t="s">
        <v>11</v>
      </c>
      <c r="D1181" t="s">
        <v>209</v>
      </c>
      <c r="E1181" t="s">
        <v>88</v>
      </c>
      <c r="F1181" t="s">
        <v>182</v>
      </c>
      <c r="G1181">
        <v>0</v>
      </c>
    </row>
    <row r="1182" spans="1:7" x14ac:dyDescent="0.3">
      <c r="A1182">
        <v>2021</v>
      </c>
      <c r="B1182" t="s">
        <v>29</v>
      </c>
      <c r="C1182" t="s">
        <v>11</v>
      </c>
      <c r="D1182" t="s">
        <v>210</v>
      </c>
      <c r="E1182" t="s">
        <v>94</v>
      </c>
      <c r="F1182" t="s">
        <v>182</v>
      </c>
      <c r="G1182">
        <v>0</v>
      </c>
    </row>
    <row r="1183" spans="1:7" x14ac:dyDescent="0.3">
      <c r="A1183">
        <v>2021</v>
      </c>
      <c r="B1183" t="s">
        <v>29</v>
      </c>
      <c r="C1183" t="s">
        <v>11</v>
      </c>
      <c r="D1183" t="s">
        <v>210</v>
      </c>
      <c r="E1183" t="s">
        <v>87</v>
      </c>
      <c r="F1183" t="s">
        <v>182</v>
      </c>
      <c r="G1183">
        <v>0</v>
      </c>
    </row>
    <row r="1184" spans="1:7" x14ac:dyDescent="0.3">
      <c r="A1184">
        <v>2021</v>
      </c>
      <c r="B1184" t="s">
        <v>29</v>
      </c>
      <c r="C1184" t="s">
        <v>11</v>
      </c>
      <c r="D1184" t="s">
        <v>210</v>
      </c>
      <c r="E1184" t="s">
        <v>89</v>
      </c>
      <c r="F1184" t="s">
        <v>182</v>
      </c>
      <c r="G1184">
        <v>0</v>
      </c>
    </row>
    <row r="1185" spans="1:7" x14ac:dyDescent="0.3">
      <c r="A1185">
        <v>2021</v>
      </c>
      <c r="B1185" t="s">
        <v>29</v>
      </c>
      <c r="C1185" t="s">
        <v>11</v>
      </c>
      <c r="D1185" t="s">
        <v>210</v>
      </c>
      <c r="E1185" t="s">
        <v>88</v>
      </c>
      <c r="F1185" t="s">
        <v>182</v>
      </c>
      <c r="G1185">
        <v>0</v>
      </c>
    </row>
    <row r="1186" spans="1:7" x14ac:dyDescent="0.3">
      <c r="A1186">
        <v>2021</v>
      </c>
      <c r="B1186" t="s">
        <v>30</v>
      </c>
      <c r="C1186" t="s">
        <v>11</v>
      </c>
      <c r="D1186" t="s">
        <v>211</v>
      </c>
      <c r="E1186" t="s">
        <v>94</v>
      </c>
      <c r="F1186" t="s">
        <v>182</v>
      </c>
      <c r="G1186">
        <v>0</v>
      </c>
    </row>
    <row r="1187" spans="1:7" x14ac:dyDescent="0.3">
      <c r="A1187">
        <v>2021</v>
      </c>
      <c r="B1187" t="s">
        <v>30</v>
      </c>
      <c r="C1187" t="s">
        <v>11</v>
      </c>
      <c r="D1187" t="s">
        <v>211</v>
      </c>
      <c r="E1187" t="s">
        <v>87</v>
      </c>
      <c r="F1187" t="s">
        <v>182</v>
      </c>
      <c r="G1187">
        <v>0</v>
      </c>
    </row>
    <row r="1188" spans="1:7" x14ac:dyDescent="0.3">
      <c r="A1188">
        <v>2021</v>
      </c>
      <c r="B1188" t="s">
        <v>30</v>
      </c>
      <c r="C1188" t="s">
        <v>11</v>
      </c>
      <c r="D1188" t="s">
        <v>211</v>
      </c>
      <c r="E1188" t="s">
        <v>89</v>
      </c>
      <c r="F1188" t="s">
        <v>182</v>
      </c>
      <c r="G1188">
        <v>0</v>
      </c>
    </row>
    <row r="1189" spans="1:7" x14ac:dyDescent="0.3">
      <c r="A1189">
        <v>2021</v>
      </c>
      <c r="B1189" t="s">
        <v>30</v>
      </c>
      <c r="C1189" t="s">
        <v>11</v>
      </c>
      <c r="D1189" t="s">
        <v>211</v>
      </c>
      <c r="E1189" t="s">
        <v>88</v>
      </c>
      <c r="F1189" t="s">
        <v>182</v>
      </c>
      <c r="G1189">
        <v>0</v>
      </c>
    </row>
    <row r="1190" spans="1:7" x14ac:dyDescent="0.3">
      <c r="A1190">
        <v>2021</v>
      </c>
      <c r="B1190" t="s">
        <v>31</v>
      </c>
      <c r="C1190" t="s">
        <v>11</v>
      </c>
      <c r="D1190" t="s">
        <v>212</v>
      </c>
      <c r="E1190" t="s">
        <v>94</v>
      </c>
      <c r="F1190" t="s">
        <v>182</v>
      </c>
      <c r="G1190">
        <v>0</v>
      </c>
    </row>
    <row r="1191" spans="1:7" x14ac:dyDescent="0.3">
      <c r="A1191">
        <v>2021</v>
      </c>
      <c r="B1191" t="s">
        <v>31</v>
      </c>
      <c r="C1191" t="s">
        <v>11</v>
      </c>
      <c r="D1191" t="s">
        <v>212</v>
      </c>
      <c r="E1191" t="s">
        <v>87</v>
      </c>
      <c r="F1191" t="s">
        <v>182</v>
      </c>
      <c r="G1191">
        <v>0</v>
      </c>
    </row>
    <row r="1192" spans="1:7" x14ac:dyDescent="0.3">
      <c r="A1192">
        <v>2021</v>
      </c>
      <c r="B1192" t="s">
        <v>31</v>
      </c>
      <c r="C1192" t="s">
        <v>11</v>
      </c>
      <c r="D1192" t="s">
        <v>212</v>
      </c>
      <c r="E1192" t="s">
        <v>89</v>
      </c>
      <c r="F1192" t="s">
        <v>182</v>
      </c>
      <c r="G1192">
        <v>0</v>
      </c>
    </row>
    <row r="1193" spans="1:7" x14ac:dyDescent="0.3">
      <c r="A1193">
        <v>2021</v>
      </c>
      <c r="B1193" t="s">
        <v>31</v>
      </c>
      <c r="C1193" t="s">
        <v>11</v>
      </c>
      <c r="D1193" t="s">
        <v>212</v>
      </c>
      <c r="E1193" t="s">
        <v>88</v>
      </c>
      <c r="F1193" t="s">
        <v>182</v>
      </c>
      <c r="G1193">
        <v>0</v>
      </c>
    </row>
    <row r="1194" spans="1:7" x14ac:dyDescent="0.3">
      <c r="A1194">
        <v>2021</v>
      </c>
      <c r="B1194" t="s">
        <v>32</v>
      </c>
      <c r="C1194" t="s">
        <v>11</v>
      </c>
      <c r="D1194" t="s">
        <v>213</v>
      </c>
      <c r="E1194" t="s">
        <v>94</v>
      </c>
      <c r="F1194" t="s">
        <v>182</v>
      </c>
      <c r="G1194">
        <v>0</v>
      </c>
    </row>
    <row r="1195" spans="1:7" x14ac:dyDescent="0.3">
      <c r="A1195">
        <v>2021</v>
      </c>
      <c r="B1195" t="s">
        <v>32</v>
      </c>
      <c r="C1195" t="s">
        <v>11</v>
      </c>
      <c r="D1195" t="s">
        <v>213</v>
      </c>
      <c r="E1195" t="s">
        <v>87</v>
      </c>
      <c r="F1195" t="s">
        <v>182</v>
      </c>
      <c r="G1195">
        <v>0</v>
      </c>
    </row>
    <row r="1196" spans="1:7" x14ac:dyDescent="0.3">
      <c r="A1196">
        <v>2021</v>
      </c>
      <c r="B1196" t="s">
        <v>32</v>
      </c>
      <c r="C1196" t="s">
        <v>11</v>
      </c>
      <c r="D1196" t="s">
        <v>213</v>
      </c>
      <c r="E1196" t="s">
        <v>89</v>
      </c>
      <c r="F1196" t="s">
        <v>182</v>
      </c>
      <c r="G1196">
        <v>0</v>
      </c>
    </row>
    <row r="1197" spans="1:7" x14ac:dyDescent="0.3">
      <c r="A1197">
        <v>2021</v>
      </c>
      <c r="B1197" t="s">
        <v>32</v>
      </c>
      <c r="C1197" t="s">
        <v>11</v>
      </c>
      <c r="D1197" t="s">
        <v>213</v>
      </c>
      <c r="E1197" t="s">
        <v>88</v>
      </c>
      <c r="F1197" t="s">
        <v>182</v>
      </c>
      <c r="G1197">
        <v>0</v>
      </c>
    </row>
    <row r="1198" spans="1:7" x14ac:dyDescent="0.3">
      <c r="A1198">
        <v>2021</v>
      </c>
      <c r="B1198" t="s">
        <v>214</v>
      </c>
      <c r="C1198" t="s">
        <v>11</v>
      </c>
      <c r="D1198" t="s">
        <v>215</v>
      </c>
      <c r="E1198" t="s">
        <v>94</v>
      </c>
      <c r="F1198" t="s">
        <v>182</v>
      </c>
      <c r="G1198">
        <v>0</v>
      </c>
    </row>
    <row r="1199" spans="1:7" x14ac:dyDescent="0.3">
      <c r="A1199">
        <v>2021</v>
      </c>
      <c r="B1199" t="s">
        <v>214</v>
      </c>
      <c r="C1199" t="s">
        <v>11</v>
      </c>
      <c r="D1199" t="s">
        <v>215</v>
      </c>
      <c r="E1199" t="s">
        <v>87</v>
      </c>
      <c r="F1199" t="s">
        <v>182</v>
      </c>
      <c r="G1199">
        <v>0</v>
      </c>
    </row>
    <row r="1200" spans="1:7" x14ac:dyDescent="0.3">
      <c r="A1200">
        <v>2021</v>
      </c>
      <c r="B1200" t="s">
        <v>214</v>
      </c>
      <c r="C1200" t="s">
        <v>11</v>
      </c>
      <c r="D1200" t="s">
        <v>215</v>
      </c>
      <c r="E1200" t="s">
        <v>89</v>
      </c>
      <c r="F1200" t="s">
        <v>182</v>
      </c>
      <c r="G1200">
        <v>0</v>
      </c>
    </row>
    <row r="1201" spans="1:7" x14ac:dyDescent="0.3">
      <c r="A1201">
        <v>2021</v>
      </c>
      <c r="B1201" t="s">
        <v>214</v>
      </c>
      <c r="C1201" t="s">
        <v>11</v>
      </c>
      <c r="D1201" t="s">
        <v>215</v>
      </c>
      <c r="E1201" t="s">
        <v>88</v>
      </c>
      <c r="F1201" t="s">
        <v>182</v>
      </c>
      <c r="G1201">
        <v>0</v>
      </c>
    </row>
    <row r="1202" spans="1:7" x14ac:dyDescent="0.3">
      <c r="A1202">
        <v>2021</v>
      </c>
      <c r="B1202" t="s">
        <v>33</v>
      </c>
      <c r="C1202" t="s">
        <v>11</v>
      </c>
      <c r="D1202" t="s">
        <v>216</v>
      </c>
      <c r="E1202" t="s">
        <v>94</v>
      </c>
      <c r="F1202" t="s">
        <v>182</v>
      </c>
      <c r="G1202">
        <v>0</v>
      </c>
    </row>
    <row r="1203" spans="1:7" x14ac:dyDescent="0.3">
      <c r="A1203">
        <v>2021</v>
      </c>
      <c r="B1203" t="s">
        <v>33</v>
      </c>
      <c r="C1203" t="s">
        <v>11</v>
      </c>
      <c r="D1203" t="s">
        <v>216</v>
      </c>
      <c r="E1203" t="s">
        <v>87</v>
      </c>
      <c r="F1203" t="s">
        <v>182</v>
      </c>
      <c r="G1203">
        <v>0</v>
      </c>
    </row>
    <row r="1204" spans="1:7" x14ac:dyDescent="0.3">
      <c r="A1204">
        <v>2021</v>
      </c>
      <c r="B1204" t="s">
        <v>33</v>
      </c>
      <c r="C1204" t="s">
        <v>11</v>
      </c>
      <c r="D1204" t="s">
        <v>216</v>
      </c>
      <c r="E1204" t="s">
        <v>89</v>
      </c>
      <c r="F1204" t="s">
        <v>182</v>
      </c>
      <c r="G1204">
        <v>0</v>
      </c>
    </row>
    <row r="1205" spans="1:7" x14ac:dyDescent="0.3">
      <c r="A1205">
        <v>2021</v>
      </c>
      <c r="B1205" t="s">
        <v>33</v>
      </c>
      <c r="C1205" t="s">
        <v>11</v>
      </c>
      <c r="D1205" t="s">
        <v>216</v>
      </c>
      <c r="E1205" t="s">
        <v>88</v>
      </c>
      <c r="F1205" t="s">
        <v>182</v>
      </c>
      <c r="G1205">
        <v>0</v>
      </c>
    </row>
    <row r="1206" spans="1:7" x14ac:dyDescent="0.3">
      <c r="A1206">
        <v>2021</v>
      </c>
      <c r="B1206" t="s">
        <v>34</v>
      </c>
      <c r="C1206" t="s">
        <v>11</v>
      </c>
      <c r="D1206" t="s">
        <v>217</v>
      </c>
      <c r="E1206" t="s">
        <v>94</v>
      </c>
      <c r="F1206" t="s">
        <v>182</v>
      </c>
      <c r="G1206">
        <v>0</v>
      </c>
    </row>
    <row r="1207" spans="1:7" x14ac:dyDescent="0.3">
      <c r="A1207">
        <v>2021</v>
      </c>
      <c r="B1207" t="s">
        <v>34</v>
      </c>
      <c r="C1207" t="s">
        <v>11</v>
      </c>
      <c r="D1207" t="s">
        <v>217</v>
      </c>
      <c r="E1207" t="s">
        <v>87</v>
      </c>
      <c r="F1207" t="s">
        <v>182</v>
      </c>
      <c r="G1207">
        <v>0</v>
      </c>
    </row>
    <row r="1208" spans="1:7" x14ac:dyDescent="0.3">
      <c r="A1208">
        <v>2021</v>
      </c>
      <c r="B1208" t="s">
        <v>34</v>
      </c>
      <c r="C1208" t="s">
        <v>11</v>
      </c>
      <c r="D1208" t="s">
        <v>217</v>
      </c>
      <c r="E1208" t="s">
        <v>89</v>
      </c>
      <c r="F1208" t="s">
        <v>182</v>
      </c>
      <c r="G1208">
        <v>0</v>
      </c>
    </row>
    <row r="1209" spans="1:7" x14ac:dyDescent="0.3">
      <c r="A1209">
        <v>2021</v>
      </c>
      <c r="B1209" t="s">
        <v>34</v>
      </c>
      <c r="C1209" t="s">
        <v>11</v>
      </c>
      <c r="D1209" t="s">
        <v>217</v>
      </c>
      <c r="E1209" t="s">
        <v>88</v>
      </c>
      <c r="F1209" t="s">
        <v>182</v>
      </c>
      <c r="G1209">
        <v>0</v>
      </c>
    </row>
    <row r="1210" spans="1:7" x14ac:dyDescent="0.3">
      <c r="A1210">
        <v>2021</v>
      </c>
      <c r="B1210" t="s">
        <v>35</v>
      </c>
      <c r="C1210" t="s">
        <v>11</v>
      </c>
      <c r="D1210" t="s">
        <v>218</v>
      </c>
      <c r="E1210" t="s">
        <v>94</v>
      </c>
      <c r="F1210" t="s">
        <v>182</v>
      </c>
      <c r="G1210">
        <v>0</v>
      </c>
    </row>
    <row r="1211" spans="1:7" x14ac:dyDescent="0.3">
      <c r="A1211">
        <v>2021</v>
      </c>
      <c r="B1211" t="s">
        <v>35</v>
      </c>
      <c r="C1211" t="s">
        <v>11</v>
      </c>
      <c r="D1211" t="s">
        <v>218</v>
      </c>
      <c r="E1211" t="s">
        <v>87</v>
      </c>
      <c r="F1211" t="s">
        <v>182</v>
      </c>
      <c r="G1211">
        <v>0</v>
      </c>
    </row>
    <row r="1212" spans="1:7" x14ac:dyDescent="0.3">
      <c r="A1212">
        <v>2021</v>
      </c>
      <c r="B1212" t="s">
        <v>35</v>
      </c>
      <c r="C1212" t="s">
        <v>11</v>
      </c>
      <c r="D1212" t="s">
        <v>218</v>
      </c>
      <c r="E1212" t="s">
        <v>89</v>
      </c>
      <c r="F1212" t="s">
        <v>182</v>
      </c>
      <c r="G1212">
        <v>0</v>
      </c>
    </row>
    <row r="1213" spans="1:7" x14ac:dyDescent="0.3">
      <c r="A1213">
        <v>2021</v>
      </c>
      <c r="B1213" t="s">
        <v>35</v>
      </c>
      <c r="C1213" t="s">
        <v>11</v>
      </c>
      <c r="D1213" t="s">
        <v>218</v>
      </c>
      <c r="E1213" t="s">
        <v>88</v>
      </c>
      <c r="F1213" t="s">
        <v>182</v>
      </c>
      <c r="G1213">
        <v>0</v>
      </c>
    </row>
    <row r="1214" spans="1:7" x14ac:dyDescent="0.3">
      <c r="A1214">
        <v>2021</v>
      </c>
      <c r="B1214" t="s">
        <v>36</v>
      </c>
      <c r="C1214" t="s">
        <v>11</v>
      </c>
      <c r="D1214" t="s">
        <v>219</v>
      </c>
      <c r="E1214" t="s">
        <v>94</v>
      </c>
      <c r="F1214" t="s">
        <v>182</v>
      </c>
      <c r="G1214">
        <v>0</v>
      </c>
    </row>
    <row r="1215" spans="1:7" x14ac:dyDescent="0.3">
      <c r="A1215">
        <v>2021</v>
      </c>
      <c r="B1215" t="s">
        <v>36</v>
      </c>
      <c r="C1215" t="s">
        <v>11</v>
      </c>
      <c r="D1215" t="s">
        <v>219</v>
      </c>
      <c r="E1215" t="s">
        <v>87</v>
      </c>
      <c r="F1215" t="s">
        <v>182</v>
      </c>
      <c r="G1215">
        <v>0</v>
      </c>
    </row>
    <row r="1216" spans="1:7" x14ac:dyDescent="0.3">
      <c r="A1216">
        <v>2021</v>
      </c>
      <c r="B1216" t="s">
        <v>36</v>
      </c>
      <c r="C1216" t="s">
        <v>11</v>
      </c>
      <c r="D1216" t="s">
        <v>219</v>
      </c>
      <c r="E1216" t="s">
        <v>89</v>
      </c>
      <c r="F1216" t="s">
        <v>182</v>
      </c>
      <c r="G1216">
        <v>0</v>
      </c>
    </row>
    <row r="1217" spans="1:7" x14ac:dyDescent="0.3">
      <c r="A1217">
        <v>2021</v>
      </c>
      <c r="B1217" t="s">
        <v>36</v>
      </c>
      <c r="C1217" t="s">
        <v>11</v>
      </c>
      <c r="D1217" t="s">
        <v>219</v>
      </c>
      <c r="E1217" t="s">
        <v>88</v>
      </c>
      <c r="F1217" t="s">
        <v>182</v>
      </c>
      <c r="G1217">
        <v>0</v>
      </c>
    </row>
    <row r="1218" spans="1:7" x14ac:dyDescent="0.3">
      <c r="A1218">
        <v>2021</v>
      </c>
      <c r="B1218" t="s">
        <v>53</v>
      </c>
      <c r="C1218" t="s">
        <v>51</v>
      </c>
      <c r="D1218" t="s">
        <v>220</v>
      </c>
      <c r="E1218" t="s">
        <v>94</v>
      </c>
      <c r="F1218" t="s">
        <v>182</v>
      </c>
      <c r="G1218">
        <v>0</v>
      </c>
    </row>
    <row r="1219" spans="1:7" x14ac:dyDescent="0.3">
      <c r="A1219">
        <v>2021</v>
      </c>
      <c r="B1219" t="s">
        <v>53</v>
      </c>
      <c r="C1219" t="s">
        <v>51</v>
      </c>
      <c r="D1219" t="s">
        <v>220</v>
      </c>
      <c r="E1219" t="s">
        <v>87</v>
      </c>
      <c r="F1219" t="s">
        <v>182</v>
      </c>
      <c r="G1219">
        <v>0</v>
      </c>
    </row>
    <row r="1220" spans="1:7" x14ac:dyDescent="0.3">
      <c r="A1220">
        <v>2021</v>
      </c>
      <c r="B1220" t="s">
        <v>53</v>
      </c>
      <c r="C1220" t="s">
        <v>51</v>
      </c>
      <c r="D1220" t="s">
        <v>220</v>
      </c>
      <c r="E1220" t="s">
        <v>89</v>
      </c>
      <c r="F1220" t="s">
        <v>182</v>
      </c>
      <c r="G1220">
        <v>0</v>
      </c>
    </row>
    <row r="1221" spans="1:7" x14ac:dyDescent="0.3">
      <c r="A1221">
        <v>2021</v>
      </c>
      <c r="B1221" t="s">
        <v>53</v>
      </c>
      <c r="C1221" t="s">
        <v>51</v>
      </c>
      <c r="D1221" t="s">
        <v>220</v>
      </c>
      <c r="E1221" t="s">
        <v>88</v>
      </c>
      <c r="F1221" t="s">
        <v>182</v>
      </c>
      <c r="G1221">
        <v>0</v>
      </c>
    </row>
    <row r="1222" spans="1:7" x14ac:dyDescent="0.3">
      <c r="A1222">
        <v>2021</v>
      </c>
      <c r="B1222" t="s">
        <v>37</v>
      </c>
      <c r="C1222" t="s">
        <v>11</v>
      </c>
      <c r="D1222" t="s">
        <v>221</v>
      </c>
      <c r="E1222" t="s">
        <v>94</v>
      </c>
      <c r="F1222" t="s">
        <v>182</v>
      </c>
      <c r="G1222">
        <v>0</v>
      </c>
    </row>
    <row r="1223" spans="1:7" x14ac:dyDescent="0.3">
      <c r="A1223">
        <v>2021</v>
      </c>
      <c r="B1223" t="s">
        <v>37</v>
      </c>
      <c r="C1223" t="s">
        <v>11</v>
      </c>
      <c r="D1223" t="s">
        <v>221</v>
      </c>
      <c r="E1223" t="s">
        <v>87</v>
      </c>
      <c r="F1223" t="s">
        <v>182</v>
      </c>
      <c r="G1223">
        <v>0</v>
      </c>
    </row>
    <row r="1224" spans="1:7" x14ac:dyDescent="0.3">
      <c r="A1224">
        <v>2021</v>
      </c>
      <c r="B1224" t="s">
        <v>37</v>
      </c>
      <c r="C1224" t="s">
        <v>11</v>
      </c>
      <c r="D1224" t="s">
        <v>221</v>
      </c>
      <c r="E1224" t="s">
        <v>89</v>
      </c>
      <c r="F1224" t="s">
        <v>182</v>
      </c>
      <c r="G1224">
        <v>0</v>
      </c>
    </row>
    <row r="1225" spans="1:7" x14ac:dyDescent="0.3">
      <c r="A1225">
        <v>2021</v>
      </c>
      <c r="B1225" t="s">
        <v>37</v>
      </c>
      <c r="C1225" t="s">
        <v>11</v>
      </c>
      <c r="D1225" t="s">
        <v>221</v>
      </c>
      <c r="E1225" t="s">
        <v>88</v>
      </c>
      <c r="F1225" t="s">
        <v>182</v>
      </c>
      <c r="G1225">
        <v>0</v>
      </c>
    </row>
    <row r="1226" spans="1:7" x14ac:dyDescent="0.3">
      <c r="A1226">
        <v>2021</v>
      </c>
      <c r="B1226" t="s">
        <v>38</v>
      </c>
      <c r="C1226" t="s">
        <v>11</v>
      </c>
      <c r="D1226" t="s">
        <v>222</v>
      </c>
      <c r="E1226" t="s">
        <v>94</v>
      </c>
      <c r="F1226" t="s">
        <v>182</v>
      </c>
      <c r="G1226">
        <v>0</v>
      </c>
    </row>
    <row r="1227" spans="1:7" x14ac:dyDescent="0.3">
      <c r="A1227">
        <v>2021</v>
      </c>
      <c r="B1227" t="s">
        <v>38</v>
      </c>
      <c r="C1227" t="s">
        <v>11</v>
      </c>
      <c r="D1227" t="s">
        <v>222</v>
      </c>
      <c r="E1227" t="s">
        <v>87</v>
      </c>
      <c r="F1227" t="s">
        <v>182</v>
      </c>
      <c r="G1227">
        <v>0</v>
      </c>
    </row>
    <row r="1228" spans="1:7" x14ac:dyDescent="0.3">
      <c r="A1228">
        <v>2021</v>
      </c>
      <c r="B1228" t="s">
        <v>38</v>
      </c>
      <c r="C1228" t="s">
        <v>11</v>
      </c>
      <c r="D1228" t="s">
        <v>222</v>
      </c>
      <c r="E1228" t="s">
        <v>89</v>
      </c>
      <c r="F1228" t="s">
        <v>182</v>
      </c>
      <c r="G1228">
        <v>0</v>
      </c>
    </row>
    <row r="1229" spans="1:7" x14ac:dyDescent="0.3">
      <c r="A1229">
        <v>2021</v>
      </c>
      <c r="B1229" t="s">
        <v>38</v>
      </c>
      <c r="C1229" t="s">
        <v>11</v>
      </c>
      <c r="D1229" t="s">
        <v>222</v>
      </c>
      <c r="E1229" t="s">
        <v>88</v>
      </c>
      <c r="F1229" t="s">
        <v>182</v>
      </c>
      <c r="G1229">
        <v>0</v>
      </c>
    </row>
    <row r="1230" spans="1:7" x14ac:dyDescent="0.3">
      <c r="A1230">
        <v>2021</v>
      </c>
      <c r="B1230" t="s">
        <v>39</v>
      </c>
      <c r="C1230" t="s">
        <v>11</v>
      </c>
      <c r="D1230" t="s">
        <v>223</v>
      </c>
      <c r="E1230" t="s">
        <v>94</v>
      </c>
      <c r="F1230" t="s">
        <v>182</v>
      </c>
      <c r="G1230">
        <v>0</v>
      </c>
    </row>
    <row r="1231" spans="1:7" x14ac:dyDescent="0.3">
      <c r="A1231">
        <v>2021</v>
      </c>
      <c r="B1231" t="s">
        <v>39</v>
      </c>
      <c r="C1231" t="s">
        <v>11</v>
      </c>
      <c r="D1231" t="s">
        <v>223</v>
      </c>
      <c r="E1231" t="s">
        <v>87</v>
      </c>
      <c r="F1231" t="s">
        <v>182</v>
      </c>
      <c r="G1231">
        <v>0</v>
      </c>
    </row>
    <row r="1232" spans="1:7" x14ac:dyDescent="0.3">
      <c r="A1232">
        <v>2021</v>
      </c>
      <c r="B1232" t="s">
        <v>39</v>
      </c>
      <c r="C1232" t="s">
        <v>11</v>
      </c>
      <c r="D1232" t="s">
        <v>223</v>
      </c>
      <c r="E1232" t="s">
        <v>89</v>
      </c>
      <c r="F1232" t="s">
        <v>182</v>
      </c>
      <c r="G1232">
        <v>0</v>
      </c>
    </row>
    <row r="1233" spans="1:7" x14ac:dyDescent="0.3">
      <c r="A1233">
        <v>2021</v>
      </c>
      <c r="B1233" t="s">
        <v>39</v>
      </c>
      <c r="C1233" t="s">
        <v>11</v>
      </c>
      <c r="D1233" t="s">
        <v>223</v>
      </c>
      <c r="E1233" t="s">
        <v>88</v>
      </c>
      <c r="F1233" t="s">
        <v>182</v>
      </c>
      <c r="G1233">
        <v>0</v>
      </c>
    </row>
    <row r="1234" spans="1:7" x14ac:dyDescent="0.3">
      <c r="A1234">
        <v>2021</v>
      </c>
      <c r="B1234" t="s">
        <v>40</v>
      </c>
      <c r="C1234" t="s">
        <v>11</v>
      </c>
      <c r="D1234" t="s">
        <v>224</v>
      </c>
      <c r="E1234" t="s">
        <v>94</v>
      </c>
      <c r="F1234" t="s">
        <v>182</v>
      </c>
      <c r="G1234">
        <v>0</v>
      </c>
    </row>
    <row r="1235" spans="1:7" x14ac:dyDescent="0.3">
      <c r="A1235">
        <v>2021</v>
      </c>
      <c r="B1235" t="s">
        <v>40</v>
      </c>
      <c r="C1235" t="s">
        <v>11</v>
      </c>
      <c r="D1235" t="s">
        <v>224</v>
      </c>
      <c r="E1235" t="s">
        <v>87</v>
      </c>
      <c r="F1235" t="s">
        <v>182</v>
      </c>
      <c r="G1235">
        <v>0</v>
      </c>
    </row>
    <row r="1236" spans="1:7" x14ac:dyDescent="0.3">
      <c r="A1236">
        <v>2021</v>
      </c>
      <c r="B1236" t="s">
        <v>40</v>
      </c>
      <c r="C1236" t="s">
        <v>11</v>
      </c>
      <c r="D1236" t="s">
        <v>224</v>
      </c>
      <c r="E1236" t="s">
        <v>89</v>
      </c>
      <c r="F1236" t="s">
        <v>182</v>
      </c>
      <c r="G1236">
        <v>0</v>
      </c>
    </row>
    <row r="1237" spans="1:7" x14ac:dyDescent="0.3">
      <c r="A1237">
        <v>2021</v>
      </c>
      <c r="B1237" t="s">
        <v>40</v>
      </c>
      <c r="C1237" t="s">
        <v>11</v>
      </c>
      <c r="D1237" t="s">
        <v>224</v>
      </c>
      <c r="E1237" t="s">
        <v>88</v>
      </c>
      <c r="F1237" t="s">
        <v>182</v>
      </c>
      <c r="G1237">
        <v>0</v>
      </c>
    </row>
    <row r="1238" spans="1:7" x14ac:dyDescent="0.3">
      <c r="A1238">
        <v>2021</v>
      </c>
      <c r="B1238" t="s">
        <v>41</v>
      </c>
      <c r="C1238" t="s">
        <v>11</v>
      </c>
      <c r="D1238" t="s">
        <v>225</v>
      </c>
      <c r="E1238" t="s">
        <v>94</v>
      </c>
      <c r="F1238" t="s">
        <v>182</v>
      </c>
      <c r="G1238">
        <v>0</v>
      </c>
    </row>
    <row r="1239" spans="1:7" x14ac:dyDescent="0.3">
      <c r="A1239">
        <v>2021</v>
      </c>
      <c r="B1239" t="s">
        <v>41</v>
      </c>
      <c r="C1239" t="s">
        <v>11</v>
      </c>
      <c r="D1239" t="s">
        <v>225</v>
      </c>
      <c r="E1239" t="s">
        <v>87</v>
      </c>
      <c r="F1239" t="s">
        <v>182</v>
      </c>
      <c r="G1239">
        <v>0</v>
      </c>
    </row>
    <row r="1240" spans="1:7" x14ac:dyDescent="0.3">
      <c r="A1240">
        <v>2021</v>
      </c>
      <c r="B1240" t="s">
        <v>41</v>
      </c>
      <c r="C1240" t="s">
        <v>11</v>
      </c>
      <c r="D1240" t="s">
        <v>225</v>
      </c>
      <c r="E1240" t="s">
        <v>89</v>
      </c>
      <c r="F1240" t="s">
        <v>182</v>
      </c>
      <c r="G1240">
        <v>0</v>
      </c>
    </row>
    <row r="1241" spans="1:7" x14ac:dyDescent="0.3">
      <c r="A1241">
        <v>2021</v>
      </c>
      <c r="B1241" t="s">
        <v>41</v>
      </c>
      <c r="C1241" t="s">
        <v>11</v>
      </c>
      <c r="D1241" t="s">
        <v>225</v>
      </c>
      <c r="E1241" t="s">
        <v>88</v>
      </c>
      <c r="F1241" t="s">
        <v>182</v>
      </c>
      <c r="G1241">
        <v>0</v>
      </c>
    </row>
    <row r="1242" spans="1:7" x14ac:dyDescent="0.3">
      <c r="A1242">
        <v>2021</v>
      </c>
      <c r="B1242" t="s">
        <v>42</v>
      </c>
      <c r="C1242" t="s">
        <v>11</v>
      </c>
      <c r="D1242" t="s">
        <v>226</v>
      </c>
      <c r="E1242" t="s">
        <v>94</v>
      </c>
      <c r="F1242" t="s">
        <v>182</v>
      </c>
      <c r="G1242">
        <v>0</v>
      </c>
    </row>
    <row r="1243" spans="1:7" x14ac:dyDescent="0.3">
      <c r="A1243">
        <v>2021</v>
      </c>
      <c r="B1243" t="s">
        <v>42</v>
      </c>
      <c r="C1243" t="s">
        <v>11</v>
      </c>
      <c r="D1243" t="s">
        <v>226</v>
      </c>
      <c r="E1243" t="s">
        <v>87</v>
      </c>
      <c r="F1243" t="s">
        <v>182</v>
      </c>
      <c r="G1243">
        <v>0</v>
      </c>
    </row>
    <row r="1244" spans="1:7" x14ac:dyDescent="0.3">
      <c r="A1244">
        <v>2021</v>
      </c>
      <c r="B1244" t="s">
        <v>42</v>
      </c>
      <c r="C1244" t="s">
        <v>11</v>
      </c>
      <c r="D1244" t="s">
        <v>226</v>
      </c>
      <c r="E1244" t="s">
        <v>89</v>
      </c>
      <c r="F1244" t="s">
        <v>182</v>
      </c>
      <c r="G1244">
        <v>0</v>
      </c>
    </row>
    <row r="1245" spans="1:7" x14ac:dyDescent="0.3">
      <c r="A1245">
        <v>2021</v>
      </c>
      <c r="B1245" t="s">
        <v>42</v>
      </c>
      <c r="C1245" t="s">
        <v>11</v>
      </c>
      <c r="D1245" t="s">
        <v>226</v>
      </c>
      <c r="E1245" t="s">
        <v>88</v>
      </c>
      <c r="F1245" t="s">
        <v>182</v>
      </c>
      <c r="G1245">
        <v>0</v>
      </c>
    </row>
    <row r="1246" spans="1:7" x14ac:dyDescent="0.3">
      <c r="A1246">
        <v>2021</v>
      </c>
      <c r="B1246" t="s">
        <v>43</v>
      </c>
      <c r="C1246" t="s">
        <v>11</v>
      </c>
      <c r="D1246" t="s">
        <v>227</v>
      </c>
      <c r="E1246" t="s">
        <v>94</v>
      </c>
      <c r="F1246" t="s">
        <v>182</v>
      </c>
      <c r="G1246">
        <v>0</v>
      </c>
    </row>
    <row r="1247" spans="1:7" x14ac:dyDescent="0.3">
      <c r="A1247">
        <v>2021</v>
      </c>
      <c r="B1247" t="s">
        <v>43</v>
      </c>
      <c r="C1247" t="s">
        <v>11</v>
      </c>
      <c r="D1247" t="s">
        <v>227</v>
      </c>
      <c r="E1247" t="s">
        <v>87</v>
      </c>
      <c r="F1247" t="s">
        <v>182</v>
      </c>
      <c r="G1247">
        <v>0</v>
      </c>
    </row>
    <row r="1248" spans="1:7" x14ac:dyDescent="0.3">
      <c r="A1248">
        <v>2021</v>
      </c>
      <c r="B1248" t="s">
        <v>43</v>
      </c>
      <c r="C1248" t="s">
        <v>11</v>
      </c>
      <c r="D1248" t="s">
        <v>227</v>
      </c>
      <c r="E1248" t="s">
        <v>89</v>
      </c>
      <c r="F1248" t="s">
        <v>182</v>
      </c>
      <c r="G1248">
        <v>0</v>
      </c>
    </row>
    <row r="1249" spans="1:7" x14ac:dyDescent="0.3">
      <c r="A1249">
        <v>2021</v>
      </c>
      <c r="B1249" t="s">
        <v>43</v>
      </c>
      <c r="C1249" t="s">
        <v>11</v>
      </c>
      <c r="D1249" t="s">
        <v>227</v>
      </c>
      <c r="E1249" t="s">
        <v>88</v>
      </c>
      <c r="F1249" t="s">
        <v>182</v>
      </c>
      <c r="G1249">
        <v>0</v>
      </c>
    </row>
    <row r="1250" spans="1:7" x14ac:dyDescent="0.3">
      <c r="A1250">
        <v>2021</v>
      </c>
      <c r="B1250" t="s">
        <v>44</v>
      </c>
      <c r="C1250" t="s">
        <v>11</v>
      </c>
      <c r="D1250" t="s">
        <v>228</v>
      </c>
      <c r="E1250" t="s">
        <v>94</v>
      </c>
      <c r="F1250" t="s">
        <v>182</v>
      </c>
      <c r="G1250">
        <v>0</v>
      </c>
    </row>
    <row r="1251" spans="1:7" x14ac:dyDescent="0.3">
      <c r="A1251">
        <v>2021</v>
      </c>
      <c r="B1251" t="s">
        <v>44</v>
      </c>
      <c r="C1251" t="s">
        <v>11</v>
      </c>
      <c r="D1251" t="s">
        <v>228</v>
      </c>
      <c r="E1251" t="s">
        <v>87</v>
      </c>
      <c r="F1251" t="s">
        <v>182</v>
      </c>
      <c r="G1251">
        <v>0</v>
      </c>
    </row>
    <row r="1252" spans="1:7" x14ac:dyDescent="0.3">
      <c r="A1252">
        <v>2021</v>
      </c>
      <c r="B1252" t="s">
        <v>44</v>
      </c>
      <c r="C1252" t="s">
        <v>11</v>
      </c>
      <c r="D1252" t="s">
        <v>228</v>
      </c>
      <c r="E1252" t="s">
        <v>89</v>
      </c>
      <c r="F1252" t="s">
        <v>182</v>
      </c>
      <c r="G1252">
        <v>0</v>
      </c>
    </row>
    <row r="1253" spans="1:7" x14ac:dyDescent="0.3">
      <c r="A1253">
        <v>2021</v>
      </c>
      <c r="B1253" t="s">
        <v>44</v>
      </c>
      <c r="C1253" t="s">
        <v>11</v>
      </c>
      <c r="D1253" t="s">
        <v>228</v>
      </c>
      <c r="E1253" t="s">
        <v>88</v>
      </c>
      <c r="F1253" t="s">
        <v>182</v>
      </c>
      <c r="G1253">
        <v>0</v>
      </c>
    </row>
    <row r="1254" spans="1:7" x14ac:dyDescent="0.3">
      <c r="A1254">
        <v>2021</v>
      </c>
      <c r="B1254" t="s">
        <v>54</v>
      </c>
      <c r="C1254" t="s">
        <v>51</v>
      </c>
      <c r="D1254" t="s">
        <v>229</v>
      </c>
      <c r="E1254" t="s">
        <v>94</v>
      </c>
      <c r="F1254" t="s">
        <v>182</v>
      </c>
      <c r="G1254">
        <v>0</v>
      </c>
    </row>
    <row r="1255" spans="1:7" x14ac:dyDescent="0.3">
      <c r="A1255">
        <v>2021</v>
      </c>
      <c r="B1255" t="s">
        <v>54</v>
      </c>
      <c r="C1255" t="s">
        <v>51</v>
      </c>
      <c r="D1255" t="s">
        <v>229</v>
      </c>
      <c r="E1255" t="s">
        <v>87</v>
      </c>
      <c r="F1255" t="s">
        <v>182</v>
      </c>
      <c r="G1255">
        <v>0</v>
      </c>
    </row>
    <row r="1256" spans="1:7" x14ac:dyDescent="0.3">
      <c r="A1256">
        <v>2021</v>
      </c>
      <c r="B1256" t="s">
        <v>54</v>
      </c>
      <c r="C1256" t="s">
        <v>51</v>
      </c>
      <c r="D1256" t="s">
        <v>229</v>
      </c>
      <c r="E1256" t="s">
        <v>89</v>
      </c>
      <c r="F1256" t="s">
        <v>182</v>
      </c>
      <c r="G1256">
        <v>0</v>
      </c>
    </row>
    <row r="1257" spans="1:7" x14ac:dyDescent="0.3">
      <c r="A1257">
        <v>2021</v>
      </c>
      <c r="B1257" t="s">
        <v>54</v>
      </c>
      <c r="C1257" t="s">
        <v>51</v>
      </c>
      <c r="D1257" t="s">
        <v>229</v>
      </c>
      <c r="E1257" t="s">
        <v>88</v>
      </c>
      <c r="F1257" t="s">
        <v>182</v>
      </c>
      <c r="G1257">
        <v>0</v>
      </c>
    </row>
    <row r="1258" spans="1:7" x14ac:dyDescent="0.3">
      <c r="A1258">
        <v>2021</v>
      </c>
      <c r="B1258" t="s">
        <v>45</v>
      </c>
      <c r="C1258" t="s">
        <v>11</v>
      </c>
      <c r="D1258" t="s">
        <v>230</v>
      </c>
      <c r="E1258" t="s">
        <v>94</v>
      </c>
      <c r="F1258" t="s">
        <v>182</v>
      </c>
      <c r="G1258">
        <v>2</v>
      </c>
    </row>
    <row r="1259" spans="1:7" x14ac:dyDescent="0.3">
      <c r="A1259">
        <v>2021</v>
      </c>
      <c r="B1259" t="s">
        <v>45</v>
      </c>
      <c r="C1259" t="s">
        <v>11</v>
      </c>
      <c r="D1259" t="s">
        <v>230</v>
      </c>
      <c r="E1259" t="s">
        <v>87</v>
      </c>
      <c r="F1259" t="s">
        <v>182</v>
      </c>
      <c r="G1259">
        <v>0</v>
      </c>
    </row>
    <row r="1260" spans="1:7" x14ac:dyDescent="0.3">
      <c r="A1260">
        <v>2021</v>
      </c>
      <c r="B1260" t="s">
        <v>45</v>
      </c>
      <c r="C1260" t="s">
        <v>11</v>
      </c>
      <c r="D1260" t="s">
        <v>230</v>
      </c>
      <c r="E1260" t="s">
        <v>89</v>
      </c>
      <c r="F1260" t="s">
        <v>182</v>
      </c>
      <c r="G1260">
        <v>0</v>
      </c>
    </row>
    <row r="1261" spans="1:7" x14ac:dyDescent="0.3">
      <c r="A1261">
        <v>2021</v>
      </c>
      <c r="B1261" t="s">
        <v>45</v>
      </c>
      <c r="C1261" t="s">
        <v>11</v>
      </c>
      <c r="D1261" t="s">
        <v>230</v>
      </c>
      <c r="E1261" t="s">
        <v>88</v>
      </c>
      <c r="F1261" t="s">
        <v>182</v>
      </c>
      <c r="G1261">
        <v>0</v>
      </c>
    </row>
    <row r="1262" spans="1:7" x14ac:dyDescent="0.3">
      <c r="A1262">
        <v>2021</v>
      </c>
      <c r="B1262" t="s">
        <v>46</v>
      </c>
      <c r="C1262" t="s">
        <v>11</v>
      </c>
      <c r="D1262" t="s">
        <v>231</v>
      </c>
      <c r="E1262" t="s">
        <v>94</v>
      </c>
      <c r="F1262" t="s">
        <v>182</v>
      </c>
      <c r="G1262">
        <v>0</v>
      </c>
    </row>
    <row r="1263" spans="1:7" x14ac:dyDescent="0.3">
      <c r="A1263">
        <v>2021</v>
      </c>
      <c r="B1263" t="s">
        <v>46</v>
      </c>
      <c r="C1263" t="s">
        <v>11</v>
      </c>
      <c r="D1263" t="s">
        <v>231</v>
      </c>
      <c r="E1263" t="s">
        <v>87</v>
      </c>
      <c r="F1263" t="s">
        <v>182</v>
      </c>
      <c r="G1263">
        <v>0</v>
      </c>
    </row>
    <row r="1264" spans="1:7" x14ac:dyDescent="0.3">
      <c r="A1264">
        <v>2021</v>
      </c>
      <c r="B1264" t="s">
        <v>46</v>
      </c>
      <c r="C1264" t="s">
        <v>11</v>
      </c>
      <c r="D1264" t="s">
        <v>231</v>
      </c>
      <c r="E1264" t="s">
        <v>89</v>
      </c>
      <c r="F1264" t="s">
        <v>182</v>
      </c>
      <c r="G1264">
        <v>0</v>
      </c>
    </row>
    <row r="1265" spans="1:7" x14ac:dyDescent="0.3">
      <c r="A1265">
        <v>2021</v>
      </c>
      <c r="B1265" t="s">
        <v>46</v>
      </c>
      <c r="C1265" t="s">
        <v>11</v>
      </c>
      <c r="D1265" t="s">
        <v>231</v>
      </c>
      <c r="E1265" t="s">
        <v>88</v>
      </c>
      <c r="F1265" t="s">
        <v>182</v>
      </c>
      <c r="G1265">
        <v>0</v>
      </c>
    </row>
    <row r="1266" spans="1:7" x14ac:dyDescent="0.3">
      <c r="A1266">
        <v>2021</v>
      </c>
      <c r="B1266" t="s">
        <v>47</v>
      </c>
      <c r="C1266" t="s">
        <v>11</v>
      </c>
      <c r="D1266" t="s">
        <v>232</v>
      </c>
      <c r="E1266" t="s">
        <v>94</v>
      </c>
      <c r="F1266" t="s">
        <v>182</v>
      </c>
      <c r="G1266">
        <v>0</v>
      </c>
    </row>
    <row r="1267" spans="1:7" x14ac:dyDescent="0.3">
      <c r="A1267">
        <v>2021</v>
      </c>
      <c r="B1267" t="s">
        <v>47</v>
      </c>
      <c r="C1267" t="s">
        <v>11</v>
      </c>
      <c r="D1267" t="s">
        <v>232</v>
      </c>
      <c r="E1267" t="s">
        <v>87</v>
      </c>
      <c r="F1267" t="s">
        <v>182</v>
      </c>
      <c r="G1267">
        <v>0</v>
      </c>
    </row>
    <row r="1268" spans="1:7" x14ac:dyDescent="0.3">
      <c r="A1268">
        <v>2021</v>
      </c>
      <c r="B1268" t="s">
        <v>47</v>
      </c>
      <c r="C1268" t="s">
        <v>11</v>
      </c>
      <c r="D1268" t="s">
        <v>232</v>
      </c>
      <c r="E1268" t="s">
        <v>89</v>
      </c>
      <c r="F1268" t="s">
        <v>182</v>
      </c>
      <c r="G1268">
        <v>0</v>
      </c>
    </row>
    <row r="1269" spans="1:7" x14ac:dyDescent="0.3">
      <c r="A1269">
        <v>2021</v>
      </c>
      <c r="B1269" t="s">
        <v>47</v>
      </c>
      <c r="C1269" t="s">
        <v>11</v>
      </c>
      <c r="D1269" t="s">
        <v>232</v>
      </c>
      <c r="E1269" t="s">
        <v>88</v>
      </c>
      <c r="F1269" t="s">
        <v>182</v>
      </c>
      <c r="G1269">
        <v>0</v>
      </c>
    </row>
    <row r="1270" spans="1:7" x14ac:dyDescent="0.3">
      <c r="A1270">
        <v>2021</v>
      </c>
      <c r="B1270" t="s">
        <v>55</v>
      </c>
      <c r="C1270" t="s">
        <v>51</v>
      </c>
      <c r="D1270" t="s">
        <v>233</v>
      </c>
      <c r="E1270" t="s">
        <v>94</v>
      </c>
      <c r="F1270" t="s">
        <v>182</v>
      </c>
      <c r="G1270">
        <v>0</v>
      </c>
    </row>
    <row r="1271" spans="1:7" x14ac:dyDescent="0.3">
      <c r="A1271">
        <v>2021</v>
      </c>
      <c r="B1271" t="s">
        <v>55</v>
      </c>
      <c r="C1271" t="s">
        <v>51</v>
      </c>
      <c r="D1271" t="s">
        <v>233</v>
      </c>
      <c r="E1271" t="s">
        <v>87</v>
      </c>
      <c r="F1271" t="s">
        <v>182</v>
      </c>
      <c r="G1271">
        <v>0</v>
      </c>
    </row>
    <row r="1272" spans="1:7" x14ac:dyDescent="0.3">
      <c r="A1272">
        <v>2021</v>
      </c>
      <c r="B1272" t="s">
        <v>55</v>
      </c>
      <c r="C1272" t="s">
        <v>51</v>
      </c>
      <c r="D1272" t="s">
        <v>233</v>
      </c>
      <c r="E1272" t="s">
        <v>89</v>
      </c>
      <c r="F1272" t="s">
        <v>182</v>
      </c>
      <c r="G1272">
        <v>0</v>
      </c>
    </row>
    <row r="1273" spans="1:7" x14ac:dyDescent="0.3">
      <c r="A1273">
        <v>2021</v>
      </c>
      <c r="B1273" t="s">
        <v>55</v>
      </c>
      <c r="C1273" t="s">
        <v>51</v>
      </c>
      <c r="D1273" t="s">
        <v>233</v>
      </c>
      <c r="E1273" t="s">
        <v>88</v>
      </c>
      <c r="F1273" t="s">
        <v>182</v>
      </c>
      <c r="G1273">
        <v>0</v>
      </c>
    </row>
    <row r="1274" spans="1:7" x14ac:dyDescent="0.3">
      <c r="A1274">
        <v>2021</v>
      </c>
      <c r="B1274" t="s">
        <v>48</v>
      </c>
      <c r="C1274" t="s">
        <v>11</v>
      </c>
      <c r="D1274" t="s">
        <v>234</v>
      </c>
      <c r="E1274" t="s">
        <v>94</v>
      </c>
      <c r="F1274" t="s">
        <v>182</v>
      </c>
      <c r="G1274">
        <v>0</v>
      </c>
    </row>
    <row r="1275" spans="1:7" x14ac:dyDescent="0.3">
      <c r="A1275">
        <v>2021</v>
      </c>
      <c r="B1275" t="s">
        <v>48</v>
      </c>
      <c r="C1275" t="s">
        <v>11</v>
      </c>
      <c r="D1275" t="s">
        <v>234</v>
      </c>
      <c r="E1275" t="s">
        <v>87</v>
      </c>
      <c r="F1275" t="s">
        <v>182</v>
      </c>
      <c r="G1275">
        <v>0</v>
      </c>
    </row>
    <row r="1276" spans="1:7" x14ac:dyDescent="0.3">
      <c r="A1276">
        <v>2021</v>
      </c>
      <c r="B1276" t="s">
        <v>48</v>
      </c>
      <c r="C1276" t="s">
        <v>11</v>
      </c>
      <c r="D1276" t="s">
        <v>234</v>
      </c>
      <c r="E1276" t="s">
        <v>89</v>
      </c>
      <c r="F1276" t="s">
        <v>182</v>
      </c>
      <c r="G1276">
        <v>0</v>
      </c>
    </row>
    <row r="1277" spans="1:7" x14ac:dyDescent="0.3">
      <c r="A1277">
        <v>2021</v>
      </c>
      <c r="B1277" t="s">
        <v>48</v>
      </c>
      <c r="C1277" t="s">
        <v>11</v>
      </c>
      <c r="D1277" t="s">
        <v>234</v>
      </c>
      <c r="E1277" t="s">
        <v>88</v>
      </c>
      <c r="F1277" t="s">
        <v>182</v>
      </c>
      <c r="G1277">
        <v>0</v>
      </c>
    </row>
    <row r="1278" spans="1:7" x14ac:dyDescent="0.3">
      <c r="A1278">
        <v>2021</v>
      </c>
      <c r="B1278" t="s">
        <v>56</v>
      </c>
      <c r="C1278" t="s">
        <v>51</v>
      </c>
      <c r="D1278" t="s">
        <v>235</v>
      </c>
      <c r="E1278" t="s">
        <v>94</v>
      </c>
      <c r="F1278" t="s">
        <v>182</v>
      </c>
      <c r="G1278">
        <v>0</v>
      </c>
    </row>
    <row r="1279" spans="1:7" x14ac:dyDescent="0.3">
      <c r="A1279">
        <v>2021</v>
      </c>
      <c r="B1279" t="s">
        <v>56</v>
      </c>
      <c r="C1279" t="s">
        <v>51</v>
      </c>
      <c r="D1279" t="s">
        <v>235</v>
      </c>
      <c r="E1279" t="s">
        <v>87</v>
      </c>
      <c r="F1279" t="s">
        <v>182</v>
      </c>
      <c r="G1279">
        <v>0</v>
      </c>
    </row>
    <row r="1280" spans="1:7" x14ac:dyDescent="0.3">
      <c r="A1280">
        <v>2021</v>
      </c>
      <c r="B1280" t="s">
        <v>56</v>
      </c>
      <c r="C1280" t="s">
        <v>51</v>
      </c>
      <c r="D1280" t="s">
        <v>235</v>
      </c>
      <c r="E1280" t="s">
        <v>89</v>
      </c>
      <c r="F1280" t="s">
        <v>182</v>
      </c>
      <c r="G1280">
        <v>0</v>
      </c>
    </row>
    <row r="1281" spans="1:7" x14ac:dyDescent="0.3">
      <c r="A1281">
        <v>2021</v>
      </c>
      <c r="B1281" t="s">
        <v>56</v>
      </c>
      <c r="C1281" t="s">
        <v>51</v>
      </c>
      <c r="D1281" t="s">
        <v>235</v>
      </c>
      <c r="E1281" t="s">
        <v>88</v>
      </c>
      <c r="F1281" t="s">
        <v>182</v>
      </c>
      <c r="G1281">
        <v>0</v>
      </c>
    </row>
    <row r="1282" spans="1:7" x14ac:dyDescent="0.3">
      <c r="A1282">
        <v>2021</v>
      </c>
      <c r="B1282" t="s">
        <v>49</v>
      </c>
      <c r="C1282" t="s">
        <v>11</v>
      </c>
      <c r="D1282" t="s">
        <v>236</v>
      </c>
      <c r="E1282" t="s">
        <v>94</v>
      </c>
      <c r="F1282" t="s">
        <v>182</v>
      </c>
      <c r="G1282">
        <v>0</v>
      </c>
    </row>
    <row r="1283" spans="1:7" x14ac:dyDescent="0.3">
      <c r="A1283">
        <v>2021</v>
      </c>
      <c r="B1283" t="s">
        <v>49</v>
      </c>
      <c r="C1283" t="s">
        <v>11</v>
      </c>
      <c r="D1283" t="s">
        <v>236</v>
      </c>
      <c r="E1283" t="s">
        <v>87</v>
      </c>
      <c r="F1283" t="s">
        <v>182</v>
      </c>
      <c r="G1283">
        <v>0</v>
      </c>
    </row>
    <row r="1284" spans="1:7" x14ac:dyDescent="0.3">
      <c r="A1284">
        <v>2021</v>
      </c>
      <c r="B1284" t="s">
        <v>49</v>
      </c>
      <c r="C1284" t="s">
        <v>11</v>
      </c>
      <c r="D1284" t="s">
        <v>236</v>
      </c>
      <c r="E1284" t="s">
        <v>89</v>
      </c>
      <c r="F1284" t="s">
        <v>182</v>
      </c>
      <c r="G1284">
        <v>0</v>
      </c>
    </row>
    <row r="1285" spans="1:7" x14ac:dyDescent="0.3">
      <c r="A1285">
        <v>2021</v>
      </c>
      <c r="B1285" t="s">
        <v>49</v>
      </c>
      <c r="C1285" t="s">
        <v>11</v>
      </c>
      <c r="D1285" t="s">
        <v>236</v>
      </c>
      <c r="E1285" t="s">
        <v>88</v>
      </c>
      <c r="F1285" t="s">
        <v>182</v>
      </c>
      <c r="G1285">
        <v>0</v>
      </c>
    </row>
    <row r="1286" spans="1:7" x14ac:dyDescent="0.3">
      <c r="A1286">
        <v>2021</v>
      </c>
      <c r="B1286" t="s">
        <v>57</v>
      </c>
      <c r="C1286" t="s">
        <v>51</v>
      </c>
      <c r="D1286" t="s">
        <v>237</v>
      </c>
      <c r="E1286" t="s">
        <v>94</v>
      </c>
      <c r="F1286" t="s">
        <v>182</v>
      </c>
      <c r="G1286">
        <v>0</v>
      </c>
    </row>
    <row r="1287" spans="1:7" x14ac:dyDescent="0.3">
      <c r="A1287">
        <v>2021</v>
      </c>
      <c r="B1287" t="s">
        <v>57</v>
      </c>
      <c r="C1287" t="s">
        <v>51</v>
      </c>
      <c r="D1287" t="s">
        <v>237</v>
      </c>
      <c r="E1287" t="s">
        <v>87</v>
      </c>
      <c r="F1287" t="s">
        <v>182</v>
      </c>
      <c r="G1287">
        <v>0</v>
      </c>
    </row>
    <row r="1288" spans="1:7" x14ac:dyDescent="0.3">
      <c r="A1288">
        <v>2021</v>
      </c>
      <c r="B1288" t="s">
        <v>57</v>
      </c>
      <c r="C1288" t="s">
        <v>51</v>
      </c>
      <c r="D1288" t="s">
        <v>237</v>
      </c>
      <c r="E1288" t="s">
        <v>89</v>
      </c>
      <c r="F1288" t="s">
        <v>182</v>
      </c>
      <c r="G1288">
        <v>0</v>
      </c>
    </row>
    <row r="1289" spans="1:7" x14ac:dyDescent="0.3">
      <c r="A1289">
        <v>2021</v>
      </c>
      <c r="B1289" t="s">
        <v>57</v>
      </c>
      <c r="C1289" t="s">
        <v>51</v>
      </c>
      <c r="D1289" t="s">
        <v>237</v>
      </c>
      <c r="E1289" t="s">
        <v>88</v>
      </c>
      <c r="F1289" t="s">
        <v>182</v>
      </c>
      <c r="G1289">
        <v>0</v>
      </c>
    </row>
  </sheetData>
  <autoFilter ref="A1:G737" xr:uid="{CB040C10-8837-4723-9B21-8161CC8A79E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N70"/>
  <sheetViews>
    <sheetView workbookViewId="0">
      <pane ySplit="8" topLeftCell="A9" activePane="bottomLeft" state="frozen"/>
      <selection pane="bottomLeft" sqref="A1:AD1"/>
    </sheetView>
  </sheetViews>
  <sheetFormatPr defaultColWidth="9.21875" defaultRowHeight="14.4" x14ac:dyDescent="0.3"/>
  <cols>
    <col min="1" max="1" width="50.77734375" style="5" customWidth="1"/>
    <col min="2" max="4" width="8.77734375" style="5" customWidth="1"/>
    <col min="5" max="5" width="12.77734375" style="5" customWidth="1"/>
    <col min="6" max="6" width="2.77734375" style="5" customWidth="1"/>
    <col min="7" max="9" width="8.77734375" style="5" customWidth="1"/>
    <col min="10" max="10" width="12.77734375" style="5" customWidth="1"/>
    <col min="11" max="11" width="2.77734375" style="5" customWidth="1"/>
    <col min="12" max="14" width="8.77734375" style="5" customWidth="1"/>
    <col min="15" max="15" width="12.77734375" style="5" customWidth="1"/>
    <col min="16" max="16" width="7.77734375" style="5" customWidth="1"/>
    <col min="17" max="19" width="8.77734375" style="5" customWidth="1"/>
    <col min="20" max="20" width="12.77734375" style="5" customWidth="1"/>
    <col min="21" max="21" width="2.77734375" style="5" customWidth="1"/>
    <col min="22" max="24" width="8.77734375" style="5" customWidth="1"/>
    <col min="25" max="25" width="12.77734375" style="5" customWidth="1"/>
    <col min="26" max="26" width="2.77734375" style="5" customWidth="1"/>
    <col min="27" max="29" width="8.77734375" style="5" customWidth="1"/>
    <col min="30" max="30" width="12.77734375" style="5" customWidth="1"/>
    <col min="31" max="16384" width="9.21875" style="5"/>
  </cols>
  <sheetData>
    <row r="1" spans="1:40" s="1" customFormat="1" ht="23.25" customHeight="1" x14ac:dyDescent="0.45">
      <c r="A1" s="139" t="s">
        <v>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40" s="4" customFormat="1" x14ac:dyDescent="0.3">
      <c r="A2" s="2"/>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35">
      <c r="A6" s="5"/>
      <c r="B6" s="140" t="s">
        <v>1</v>
      </c>
      <c r="C6" s="140"/>
      <c r="D6" s="140"/>
      <c r="E6" s="140"/>
      <c r="F6" s="3"/>
      <c r="G6" s="140" t="s">
        <v>70</v>
      </c>
      <c r="H6" s="140"/>
      <c r="I6" s="140"/>
      <c r="J6" s="140"/>
      <c r="K6" s="3"/>
      <c r="L6" s="141" t="s">
        <v>2</v>
      </c>
      <c r="M6" s="141"/>
      <c r="N6" s="141"/>
      <c r="O6" s="141"/>
      <c r="P6" s="3"/>
      <c r="Q6" s="140" t="s">
        <v>3</v>
      </c>
      <c r="R6" s="140"/>
      <c r="S6" s="140"/>
      <c r="T6" s="140"/>
      <c r="U6" s="3"/>
      <c r="V6" s="140" t="s">
        <v>4</v>
      </c>
      <c r="W6" s="140"/>
      <c r="X6" s="140"/>
      <c r="Y6" s="140"/>
      <c r="Z6" s="3"/>
      <c r="AA6" s="141" t="s">
        <v>5</v>
      </c>
      <c r="AB6" s="141"/>
      <c r="AC6" s="141"/>
      <c r="AD6" s="141"/>
    </row>
    <row r="7" spans="1:40" s="12" customFormat="1" ht="43.8" thickBot="1" x14ac:dyDescent="0.35">
      <c r="A7" s="7" t="s">
        <v>6</v>
      </c>
      <c r="B7" s="8" t="s">
        <v>7</v>
      </c>
      <c r="C7" s="8" t="s">
        <v>8</v>
      </c>
      <c r="D7" s="123" t="s">
        <v>182</v>
      </c>
      <c r="E7" s="9" t="s">
        <v>9</v>
      </c>
      <c r="F7" s="8"/>
      <c r="G7" s="8" t="s">
        <v>7</v>
      </c>
      <c r="H7" s="8" t="s">
        <v>8</v>
      </c>
      <c r="I7" s="123" t="s">
        <v>182</v>
      </c>
      <c r="J7" s="9" t="s">
        <v>9</v>
      </c>
      <c r="K7" s="8"/>
      <c r="L7" s="10" t="s">
        <v>7</v>
      </c>
      <c r="M7" s="10" t="s">
        <v>8</v>
      </c>
      <c r="N7" s="124" t="s">
        <v>182</v>
      </c>
      <c r="O7" s="11" t="s">
        <v>9</v>
      </c>
      <c r="P7" s="8"/>
      <c r="Q7" s="8" t="s">
        <v>7</v>
      </c>
      <c r="R7" s="8" t="s">
        <v>8</v>
      </c>
      <c r="S7" s="123" t="s">
        <v>182</v>
      </c>
      <c r="T7" s="9" t="s">
        <v>9</v>
      </c>
      <c r="U7" s="8"/>
      <c r="V7" s="8" t="s">
        <v>7</v>
      </c>
      <c r="W7" s="8" t="s">
        <v>8</v>
      </c>
      <c r="X7" s="123" t="s">
        <v>182</v>
      </c>
      <c r="Y7" s="9" t="s">
        <v>9</v>
      </c>
      <c r="Z7" s="8"/>
      <c r="AA7" s="10" t="s">
        <v>7</v>
      </c>
      <c r="AB7" s="10" t="s">
        <v>8</v>
      </c>
      <c r="AC7" s="124" t="s">
        <v>182</v>
      </c>
      <c r="AD7" s="11" t="s">
        <v>9</v>
      </c>
    </row>
    <row r="8" spans="1:40" s="6" customFormat="1" ht="15" customHeight="1" x14ac:dyDescent="0.3">
      <c r="A8" s="13" t="s">
        <v>10</v>
      </c>
      <c r="B8" s="14">
        <f>B9+B49</f>
        <v>418</v>
      </c>
      <c r="C8" s="14">
        <f>C9+C49</f>
        <v>58</v>
      </c>
      <c r="D8" s="14" t="s">
        <v>188</v>
      </c>
      <c r="E8" s="15">
        <f>IF(B8+C8=0,"-",(C8/(B8+C8)))</f>
        <v>0.12184873949579832</v>
      </c>
      <c r="F8" s="14"/>
      <c r="G8" s="14">
        <f>G9+G49</f>
        <v>937</v>
      </c>
      <c r="H8" s="14">
        <f>H9+H49</f>
        <v>71</v>
      </c>
      <c r="I8" s="14" t="s">
        <v>188</v>
      </c>
      <c r="J8" s="15">
        <f>IF(G8+H8=0,"-",(H8/(G8+H8)))</f>
        <v>7.0436507936507936E-2</v>
      </c>
      <c r="K8" s="14"/>
      <c r="L8" s="14">
        <f>L9+L49</f>
        <v>1355</v>
      </c>
      <c r="M8" s="14">
        <f>M9+M49</f>
        <v>129</v>
      </c>
      <c r="N8" s="14" t="s">
        <v>188</v>
      </c>
      <c r="O8" s="15">
        <f>IF(L8+M8=0,"-",(M8/(L8+M8)))</f>
        <v>8.6927223719676552E-2</v>
      </c>
      <c r="P8" s="14"/>
      <c r="Q8" s="14">
        <f>Q9+Q49</f>
        <v>22</v>
      </c>
      <c r="R8" s="14">
        <f>R9+R49</f>
        <v>39</v>
      </c>
      <c r="S8" s="14" t="s">
        <v>188</v>
      </c>
      <c r="T8" s="15">
        <f>IF(Q8+R8=0,"-",(R8/(Q8+R8)))</f>
        <v>0.63934426229508201</v>
      </c>
      <c r="U8" s="14"/>
      <c r="V8" s="14">
        <f>V9+V49</f>
        <v>336</v>
      </c>
      <c r="W8" s="14">
        <f>W9+W49</f>
        <v>381</v>
      </c>
      <c r="X8" s="14" t="s">
        <v>188</v>
      </c>
      <c r="Y8" s="15">
        <f>IF(V8+W8=0,"-",(W8/(V8+W8)))</f>
        <v>0.53138075313807531</v>
      </c>
      <c r="Z8" s="14"/>
      <c r="AA8" s="14">
        <f>AA9+AA49</f>
        <v>1713</v>
      </c>
      <c r="AB8" s="14">
        <f>AB9+AB49</f>
        <v>549</v>
      </c>
      <c r="AC8" s="14" t="s">
        <v>188</v>
      </c>
      <c r="AD8" s="15">
        <f>IF(AA8+AB8=0,"-",(AB8/(AA8+AB8)))</f>
        <v>0.2427055702917772</v>
      </c>
      <c r="AE8" s="16"/>
      <c r="AF8" s="16"/>
      <c r="AG8" s="16"/>
      <c r="AH8" s="16"/>
      <c r="AI8" s="16"/>
      <c r="AJ8" s="16"/>
      <c r="AK8" s="16"/>
      <c r="AL8" s="16"/>
      <c r="AM8" s="16"/>
      <c r="AN8" s="17"/>
    </row>
    <row r="9" spans="1:40" s="6" customFormat="1" ht="15" customHeight="1" x14ac:dyDescent="0.3">
      <c r="A9" s="18" t="s">
        <v>11</v>
      </c>
      <c r="B9" s="14">
        <f>SUM(B10:B48)</f>
        <v>280</v>
      </c>
      <c r="C9" s="14">
        <f>SUM(C10:C48)</f>
        <v>37</v>
      </c>
      <c r="D9" s="14" t="s">
        <v>188</v>
      </c>
      <c r="E9" s="15">
        <f>IF(B9+C9=0,"-",(C9/(B9+C9)))</f>
        <v>0.1167192429022082</v>
      </c>
      <c r="F9" s="14"/>
      <c r="G9" s="14">
        <f>SUM(G10:G48)</f>
        <v>924</v>
      </c>
      <c r="H9" s="14">
        <f>SUM(H10:H48)</f>
        <v>68</v>
      </c>
      <c r="I9" s="14" t="s">
        <v>188</v>
      </c>
      <c r="J9" s="15">
        <f>IF(G9+H9=0,"-",(H9/(G9+H9)))</f>
        <v>6.8548387096774188E-2</v>
      </c>
      <c r="K9" s="14"/>
      <c r="L9" s="14">
        <f>SUM(L10:L48)</f>
        <v>1204</v>
      </c>
      <c r="M9" s="14">
        <f>SUM(M10:M48)</f>
        <v>105</v>
      </c>
      <c r="N9" s="14" t="s">
        <v>188</v>
      </c>
      <c r="O9" s="15">
        <f>IF(L9+M9=0,"-",(M9/(L9+M9)))</f>
        <v>8.0213903743315509E-2</v>
      </c>
      <c r="P9" s="14"/>
      <c r="Q9" s="14">
        <f>SUM(Q10:Q48)</f>
        <v>14</v>
      </c>
      <c r="R9" s="14">
        <f>SUM(R10:R48)</f>
        <v>22</v>
      </c>
      <c r="S9" s="14" t="s">
        <v>188</v>
      </c>
      <c r="T9" s="15">
        <f>IF(Q9+R9=0,"-",(R9/(Q9+R9)))</f>
        <v>0.61111111111111116</v>
      </c>
      <c r="U9" s="14"/>
      <c r="V9" s="14">
        <f>SUM(V10:V48)</f>
        <v>248</v>
      </c>
      <c r="W9" s="14">
        <f>SUM(W10:W48)</f>
        <v>272</v>
      </c>
      <c r="X9" s="14" t="s">
        <v>188</v>
      </c>
      <c r="Y9" s="15">
        <f>IF(V9+W9=0,"-",(W9/(V9+W9)))</f>
        <v>0.52307692307692311</v>
      </c>
      <c r="Z9" s="14"/>
      <c r="AA9" s="14">
        <f>SUM(AA10:AA48)</f>
        <v>1466</v>
      </c>
      <c r="AB9" s="14">
        <f>SUM(AB10:AB48)</f>
        <v>399</v>
      </c>
      <c r="AC9" s="14" t="s">
        <v>188</v>
      </c>
      <c r="AD9" s="15">
        <f>IF(AA9+AB9=0,"-",(AB9/(AA9+AB9)))</f>
        <v>0.21394101876675603</v>
      </c>
      <c r="AE9" s="16"/>
      <c r="AF9" s="16"/>
      <c r="AG9" s="16"/>
      <c r="AH9" s="16"/>
      <c r="AI9" s="16"/>
      <c r="AJ9" s="16"/>
      <c r="AK9" s="16"/>
      <c r="AL9" s="16"/>
      <c r="AM9" s="16"/>
    </row>
    <row r="10" spans="1:40" s="6" customFormat="1" ht="15" customHeight="1" x14ac:dyDescent="0.3">
      <c r="A10" s="5" t="s">
        <v>12</v>
      </c>
      <c r="B10" s="19">
        <v>0</v>
      </c>
      <c r="C10" s="19">
        <v>0</v>
      </c>
      <c r="D10" s="19" t="s">
        <v>188</v>
      </c>
      <c r="E10" s="20" t="str">
        <f>IF(B10+C10=0,"-",(C10/(B10+C10)))</f>
        <v>-</v>
      </c>
      <c r="F10" s="19"/>
      <c r="G10" s="19">
        <v>0</v>
      </c>
      <c r="H10" s="19">
        <v>0</v>
      </c>
      <c r="I10" s="19" t="s">
        <v>188</v>
      </c>
      <c r="J10" s="20" t="str">
        <f>IF(G10+H10=0,"-",(H10/(G10+H10)))</f>
        <v>-</v>
      </c>
      <c r="K10" s="19"/>
      <c r="L10" s="14">
        <f t="shared" ref="L10:L56" si="0">B10+G10</f>
        <v>0</v>
      </c>
      <c r="M10" s="14">
        <f t="shared" ref="M10:M56" si="1">C10+H10</f>
        <v>0</v>
      </c>
      <c r="N10" s="19" t="s">
        <v>188</v>
      </c>
      <c r="O10" s="20" t="str">
        <f>IF(L10+M10=0,"-",(M10/(L10+M10)))</f>
        <v>-</v>
      </c>
      <c r="P10" s="19"/>
      <c r="Q10" s="19">
        <v>0</v>
      </c>
      <c r="R10" s="19">
        <v>0</v>
      </c>
      <c r="S10" s="19" t="s">
        <v>188</v>
      </c>
      <c r="T10" s="20" t="str">
        <f>IF(Q10+R10=0,"-",(R10/(Q10+R10)))</f>
        <v>-</v>
      </c>
      <c r="U10" s="19"/>
      <c r="V10" s="19">
        <v>0</v>
      </c>
      <c r="W10" s="19">
        <v>0</v>
      </c>
      <c r="X10" s="19" t="s">
        <v>188</v>
      </c>
      <c r="Y10" s="20" t="str">
        <f>IF(V10+W10=0,"-",(W10/(V10+W10)))</f>
        <v>-</v>
      </c>
      <c r="Z10" s="19"/>
      <c r="AA10" s="14">
        <f t="shared" ref="AA10:AA56" si="2">L10+Q10+V10</f>
        <v>0</v>
      </c>
      <c r="AB10" s="14">
        <f t="shared" ref="AB10:AB56" si="3">M10+R10+W10</f>
        <v>0</v>
      </c>
      <c r="AC10" s="19" t="s">
        <v>188</v>
      </c>
      <c r="AD10" s="20" t="str">
        <f>IF(AA10+AB10=0,"-",(AB10/(AA10+AB10)))</f>
        <v>-</v>
      </c>
      <c r="AE10" s="16"/>
      <c r="AF10" s="16"/>
      <c r="AG10" s="16"/>
      <c r="AH10" s="16"/>
      <c r="AI10" s="16"/>
      <c r="AJ10" s="16"/>
      <c r="AK10" s="16"/>
      <c r="AL10" s="16"/>
      <c r="AM10" s="16"/>
    </row>
    <row r="11" spans="1:40" s="6" customFormat="1" ht="15" customHeight="1" x14ac:dyDescent="0.3">
      <c r="A11" s="5" t="s">
        <v>13</v>
      </c>
      <c r="B11" s="19">
        <v>20</v>
      </c>
      <c r="C11" s="19">
        <v>3</v>
      </c>
      <c r="D11" s="19" t="s">
        <v>188</v>
      </c>
      <c r="E11" s="20">
        <f t="shared" ref="E11:E56" si="4">IF(B11+C11=0,"-",(C11/(B11+C11)))</f>
        <v>0.13043478260869565</v>
      </c>
      <c r="F11" s="19"/>
      <c r="G11" s="19">
        <v>19</v>
      </c>
      <c r="H11" s="19">
        <v>3</v>
      </c>
      <c r="I11" s="19" t="s">
        <v>188</v>
      </c>
      <c r="J11" s="20">
        <f t="shared" ref="J11:J56" si="5">IF(G11+H11=0,"-",(H11/(G11+H11)))</f>
        <v>0.13636363636363635</v>
      </c>
      <c r="K11" s="19"/>
      <c r="L11" s="14">
        <f t="shared" si="0"/>
        <v>39</v>
      </c>
      <c r="M11" s="14">
        <f t="shared" si="1"/>
        <v>6</v>
      </c>
      <c r="N11" s="19" t="s">
        <v>188</v>
      </c>
      <c r="O11" s="20">
        <f t="shared" ref="O11:O56" si="6">IF(L11+M11=0,"-",(M11/(L11+M11)))</f>
        <v>0.13333333333333333</v>
      </c>
      <c r="P11" s="19"/>
      <c r="Q11" s="19">
        <v>0</v>
      </c>
      <c r="R11" s="19">
        <v>0</v>
      </c>
      <c r="S11" s="19" t="s">
        <v>188</v>
      </c>
      <c r="T11" s="20" t="str">
        <f t="shared" ref="T11:T56" si="7">IF(Q11+R11=0,"-",(R11/(Q11+R11)))</f>
        <v>-</v>
      </c>
      <c r="U11" s="19"/>
      <c r="V11" s="19">
        <v>6</v>
      </c>
      <c r="W11" s="19">
        <v>6</v>
      </c>
      <c r="X11" s="19" t="s">
        <v>188</v>
      </c>
      <c r="Y11" s="20">
        <f t="shared" ref="Y11:Y56" si="8">IF(V11+W11=0,"-",(W11/(V11+W11)))</f>
        <v>0.5</v>
      </c>
      <c r="Z11" s="19"/>
      <c r="AA11" s="14">
        <f t="shared" si="2"/>
        <v>45</v>
      </c>
      <c r="AB11" s="14">
        <f t="shared" si="3"/>
        <v>12</v>
      </c>
      <c r="AC11" s="19" t="s">
        <v>188</v>
      </c>
      <c r="AD11" s="20">
        <f t="shared" ref="AD11:AD56" si="9">IF(AA11+AB11=0,"-",(AB11/(AA11+AB11)))</f>
        <v>0.21052631578947367</v>
      </c>
      <c r="AE11" s="16"/>
      <c r="AF11" s="16"/>
      <c r="AG11" s="16"/>
      <c r="AH11" s="16"/>
      <c r="AI11" s="16"/>
      <c r="AJ11" s="16"/>
      <c r="AK11" s="16"/>
      <c r="AL11" s="16"/>
      <c r="AM11" s="16"/>
    </row>
    <row r="12" spans="1:40" s="6" customFormat="1" ht="15" customHeight="1" x14ac:dyDescent="0.3">
      <c r="A12" s="5" t="s">
        <v>14</v>
      </c>
      <c r="B12" s="19">
        <v>7</v>
      </c>
      <c r="C12" s="19">
        <v>0</v>
      </c>
      <c r="D12" s="19" t="s">
        <v>188</v>
      </c>
      <c r="E12" s="20">
        <f t="shared" si="4"/>
        <v>0</v>
      </c>
      <c r="F12" s="19"/>
      <c r="G12" s="19">
        <v>5</v>
      </c>
      <c r="H12" s="19">
        <v>3</v>
      </c>
      <c r="I12" s="19" t="s">
        <v>188</v>
      </c>
      <c r="J12" s="20">
        <f t="shared" si="5"/>
        <v>0.375</v>
      </c>
      <c r="K12" s="19"/>
      <c r="L12" s="14">
        <f t="shared" si="0"/>
        <v>12</v>
      </c>
      <c r="M12" s="14">
        <f t="shared" si="1"/>
        <v>3</v>
      </c>
      <c r="N12" s="19" t="s">
        <v>188</v>
      </c>
      <c r="O12" s="20">
        <f t="shared" si="6"/>
        <v>0.2</v>
      </c>
      <c r="P12" s="19"/>
      <c r="Q12" s="19">
        <v>1</v>
      </c>
      <c r="R12" s="19">
        <v>2</v>
      </c>
      <c r="S12" s="19" t="s">
        <v>188</v>
      </c>
      <c r="T12" s="20">
        <f t="shared" si="7"/>
        <v>0.66666666666666663</v>
      </c>
      <c r="U12" s="19"/>
      <c r="V12" s="19">
        <v>9</v>
      </c>
      <c r="W12" s="19">
        <v>13</v>
      </c>
      <c r="X12" s="19" t="s">
        <v>188</v>
      </c>
      <c r="Y12" s="20">
        <f t="shared" si="8"/>
        <v>0.59090909090909094</v>
      </c>
      <c r="Z12" s="19"/>
      <c r="AA12" s="14">
        <f t="shared" si="2"/>
        <v>22</v>
      </c>
      <c r="AB12" s="14">
        <f t="shared" si="3"/>
        <v>18</v>
      </c>
      <c r="AC12" s="19" t="s">
        <v>188</v>
      </c>
      <c r="AD12" s="20">
        <f t="shared" si="9"/>
        <v>0.45</v>
      </c>
      <c r="AE12" s="16"/>
      <c r="AF12" s="16"/>
      <c r="AG12" s="16"/>
      <c r="AH12" s="16"/>
      <c r="AI12" s="16"/>
      <c r="AJ12" s="16"/>
      <c r="AK12" s="16"/>
      <c r="AL12" s="16"/>
      <c r="AM12" s="16"/>
    </row>
    <row r="13" spans="1:40" s="6" customFormat="1" ht="15" customHeight="1" x14ac:dyDescent="0.3">
      <c r="A13" s="5" t="s">
        <v>15</v>
      </c>
      <c r="B13" s="19">
        <v>10</v>
      </c>
      <c r="C13" s="19">
        <v>1</v>
      </c>
      <c r="D13" s="19" t="s">
        <v>188</v>
      </c>
      <c r="E13" s="20">
        <f t="shared" si="4"/>
        <v>9.0909090909090912E-2</v>
      </c>
      <c r="F13" s="19"/>
      <c r="G13" s="19">
        <v>19</v>
      </c>
      <c r="H13" s="19">
        <v>2</v>
      </c>
      <c r="I13" s="19" t="s">
        <v>188</v>
      </c>
      <c r="J13" s="20">
        <f t="shared" si="5"/>
        <v>9.5238095238095233E-2</v>
      </c>
      <c r="K13" s="19"/>
      <c r="L13" s="14">
        <f t="shared" si="0"/>
        <v>29</v>
      </c>
      <c r="M13" s="14">
        <f t="shared" si="1"/>
        <v>3</v>
      </c>
      <c r="N13" s="19" t="s">
        <v>188</v>
      </c>
      <c r="O13" s="20">
        <f t="shared" si="6"/>
        <v>9.375E-2</v>
      </c>
      <c r="P13" s="19"/>
      <c r="Q13" s="19">
        <v>0</v>
      </c>
      <c r="R13" s="19">
        <v>0</v>
      </c>
      <c r="S13" s="19" t="s">
        <v>188</v>
      </c>
      <c r="T13" s="20" t="str">
        <f t="shared" si="7"/>
        <v>-</v>
      </c>
      <c r="U13" s="19"/>
      <c r="V13" s="19">
        <v>3</v>
      </c>
      <c r="W13" s="19">
        <v>6</v>
      </c>
      <c r="X13" s="19" t="s">
        <v>188</v>
      </c>
      <c r="Y13" s="20">
        <f t="shared" si="8"/>
        <v>0.66666666666666663</v>
      </c>
      <c r="Z13" s="19"/>
      <c r="AA13" s="14">
        <f t="shared" si="2"/>
        <v>32</v>
      </c>
      <c r="AB13" s="14">
        <f t="shared" si="3"/>
        <v>9</v>
      </c>
      <c r="AC13" s="19" t="s">
        <v>188</v>
      </c>
      <c r="AD13" s="20">
        <f t="shared" si="9"/>
        <v>0.21951219512195122</v>
      </c>
      <c r="AE13" s="16"/>
      <c r="AF13" s="16"/>
      <c r="AG13" s="16"/>
      <c r="AH13" s="16"/>
      <c r="AI13" s="16"/>
      <c r="AJ13" s="16"/>
      <c r="AK13" s="16"/>
      <c r="AL13" s="16"/>
      <c r="AM13" s="16"/>
    </row>
    <row r="14" spans="1:40" s="6" customFormat="1" ht="15" customHeight="1" x14ac:dyDescent="0.3">
      <c r="A14" s="5" t="s">
        <v>16</v>
      </c>
      <c r="B14" s="19">
        <v>0</v>
      </c>
      <c r="C14" s="19">
        <v>0</v>
      </c>
      <c r="D14" s="19" t="s">
        <v>188</v>
      </c>
      <c r="E14" s="20" t="str">
        <f t="shared" si="4"/>
        <v>-</v>
      </c>
      <c r="F14" s="19"/>
      <c r="G14" s="19">
        <v>0</v>
      </c>
      <c r="H14" s="19">
        <v>0</v>
      </c>
      <c r="I14" s="19" t="s">
        <v>188</v>
      </c>
      <c r="J14" s="20" t="str">
        <f t="shared" si="5"/>
        <v>-</v>
      </c>
      <c r="K14" s="19"/>
      <c r="L14" s="14">
        <f t="shared" si="0"/>
        <v>0</v>
      </c>
      <c r="M14" s="14">
        <f t="shared" si="1"/>
        <v>0</v>
      </c>
      <c r="N14" s="19" t="s">
        <v>188</v>
      </c>
      <c r="O14" s="20" t="str">
        <f t="shared" si="6"/>
        <v>-</v>
      </c>
      <c r="P14" s="19"/>
      <c r="Q14" s="19">
        <v>0</v>
      </c>
      <c r="R14" s="19">
        <v>0</v>
      </c>
      <c r="S14" s="19" t="s">
        <v>188</v>
      </c>
      <c r="T14" s="20" t="str">
        <f t="shared" si="7"/>
        <v>-</v>
      </c>
      <c r="U14" s="19"/>
      <c r="V14" s="19">
        <v>0</v>
      </c>
      <c r="W14" s="19">
        <v>0</v>
      </c>
      <c r="X14" s="19" t="s">
        <v>188</v>
      </c>
      <c r="Y14" s="20" t="str">
        <f t="shared" si="8"/>
        <v>-</v>
      </c>
      <c r="Z14" s="19"/>
      <c r="AA14" s="14">
        <f t="shared" si="2"/>
        <v>0</v>
      </c>
      <c r="AB14" s="14">
        <f t="shared" si="3"/>
        <v>0</v>
      </c>
      <c r="AC14" s="19" t="s">
        <v>188</v>
      </c>
      <c r="AD14" s="20" t="str">
        <f t="shared" si="9"/>
        <v>-</v>
      </c>
      <c r="AE14" s="16"/>
      <c r="AF14" s="16"/>
      <c r="AG14" s="16"/>
      <c r="AH14" s="16"/>
      <c r="AI14" s="16"/>
      <c r="AJ14" s="16"/>
      <c r="AK14" s="16"/>
      <c r="AL14" s="16"/>
      <c r="AM14" s="16"/>
    </row>
    <row r="15" spans="1:40" s="6" customFormat="1" ht="15" customHeight="1" x14ac:dyDescent="0.3">
      <c r="A15" s="5" t="s">
        <v>17</v>
      </c>
      <c r="B15" s="19">
        <v>23</v>
      </c>
      <c r="C15" s="19">
        <v>7</v>
      </c>
      <c r="D15" s="19" t="s">
        <v>188</v>
      </c>
      <c r="E15" s="20">
        <f t="shared" si="4"/>
        <v>0.23333333333333334</v>
      </c>
      <c r="F15" s="19"/>
      <c r="G15" s="19">
        <v>57</v>
      </c>
      <c r="H15" s="19">
        <v>3</v>
      </c>
      <c r="I15" s="19" t="s">
        <v>188</v>
      </c>
      <c r="J15" s="20">
        <f t="shared" si="5"/>
        <v>0.05</v>
      </c>
      <c r="K15" s="19"/>
      <c r="L15" s="14">
        <f t="shared" si="0"/>
        <v>80</v>
      </c>
      <c r="M15" s="14">
        <f t="shared" si="1"/>
        <v>10</v>
      </c>
      <c r="N15" s="19" t="s">
        <v>188</v>
      </c>
      <c r="O15" s="20">
        <f t="shared" si="6"/>
        <v>0.1111111111111111</v>
      </c>
      <c r="P15" s="19"/>
      <c r="Q15" s="19">
        <v>0</v>
      </c>
      <c r="R15" s="19">
        <v>0</v>
      </c>
      <c r="S15" s="19" t="s">
        <v>188</v>
      </c>
      <c r="T15" s="20" t="str">
        <f t="shared" si="7"/>
        <v>-</v>
      </c>
      <c r="U15" s="19"/>
      <c r="V15" s="19">
        <v>24</v>
      </c>
      <c r="W15" s="19">
        <v>29</v>
      </c>
      <c r="X15" s="19" t="s">
        <v>188</v>
      </c>
      <c r="Y15" s="20">
        <f t="shared" si="8"/>
        <v>0.54716981132075471</v>
      </c>
      <c r="Z15" s="19"/>
      <c r="AA15" s="14">
        <f t="shared" si="2"/>
        <v>104</v>
      </c>
      <c r="AB15" s="14">
        <f t="shared" si="3"/>
        <v>39</v>
      </c>
      <c r="AC15" s="19" t="s">
        <v>188</v>
      </c>
      <c r="AD15" s="20">
        <f t="shared" si="9"/>
        <v>0.27272727272727271</v>
      </c>
      <c r="AE15" s="16"/>
      <c r="AF15" s="16"/>
      <c r="AG15" s="16"/>
      <c r="AH15" s="16"/>
      <c r="AI15" s="16"/>
      <c r="AJ15" s="16"/>
      <c r="AK15" s="16"/>
      <c r="AL15" s="16"/>
      <c r="AM15" s="16"/>
    </row>
    <row r="16" spans="1:40" s="6" customFormat="1" ht="15" customHeight="1" x14ac:dyDescent="0.3">
      <c r="A16" s="5" t="s">
        <v>18</v>
      </c>
      <c r="B16" s="19">
        <v>0</v>
      </c>
      <c r="C16" s="19">
        <v>0</v>
      </c>
      <c r="D16" s="19" t="s">
        <v>188</v>
      </c>
      <c r="E16" s="20" t="str">
        <f t="shared" si="4"/>
        <v>-</v>
      </c>
      <c r="F16" s="19"/>
      <c r="G16" s="19">
        <v>0</v>
      </c>
      <c r="H16" s="19">
        <v>0</v>
      </c>
      <c r="I16" s="19" t="s">
        <v>188</v>
      </c>
      <c r="J16" s="20" t="str">
        <f t="shared" si="5"/>
        <v>-</v>
      </c>
      <c r="K16" s="19"/>
      <c r="L16" s="14">
        <f t="shared" si="0"/>
        <v>0</v>
      </c>
      <c r="M16" s="14">
        <f t="shared" si="1"/>
        <v>0</v>
      </c>
      <c r="N16" s="19" t="s">
        <v>188</v>
      </c>
      <c r="O16" s="20" t="str">
        <f t="shared" si="6"/>
        <v>-</v>
      </c>
      <c r="P16" s="19"/>
      <c r="Q16" s="19">
        <v>0</v>
      </c>
      <c r="R16" s="19">
        <v>0</v>
      </c>
      <c r="S16" s="19" t="s">
        <v>188</v>
      </c>
      <c r="T16" s="20" t="str">
        <f t="shared" si="7"/>
        <v>-</v>
      </c>
      <c r="U16" s="19"/>
      <c r="V16" s="19">
        <v>0</v>
      </c>
      <c r="W16" s="19">
        <v>0</v>
      </c>
      <c r="X16" s="19" t="s">
        <v>188</v>
      </c>
      <c r="Y16" s="20" t="str">
        <f t="shared" si="8"/>
        <v>-</v>
      </c>
      <c r="Z16" s="19"/>
      <c r="AA16" s="14">
        <f t="shared" si="2"/>
        <v>0</v>
      </c>
      <c r="AB16" s="14">
        <f t="shared" si="3"/>
        <v>0</v>
      </c>
      <c r="AC16" s="19" t="s">
        <v>188</v>
      </c>
      <c r="AD16" s="20" t="str">
        <f t="shared" si="9"/>
        <v>-</v>
      </c>
      <c r="AE16" s="16"/>
      <c r="AF16" s="16"/>
      <c r="AG16" s="16"/>
      <c r="AH16" s="16"/>
      <c r="AI16" s="16"/>
      <c r="AJ16" s="16"/>
      <c r="AK16" s="16"/>
      <c r="AL16" s="16"/>
      <c r="AM16" s="16"/>
    </row>
    <row r="17" spans="1:39" s="6" customFormat="1" ht="15" customHeight="1" x14ac:dyDescent="0.3">
      <c r="A17" s="5" t="s">
        <v>19</v>
      </c>
      <c r="B17" s="19">
        <v>0</v>
      </c>
      <c r="C17" s="19">
        <v>0</v>
      </c>
      <c r="D17" s="19" t="s">
        <v>188</v>
      </c>
      <c r="E17" s="20" t="str">
        <f t="shared" si="4"/>
        <v>-</v>
      </c>
      <c r="F17" s="19"/>
      <c r="G17" s="19">
        <v>26</v>
      </c>
      <c r="H17" s="19">
        <v>1</v>
      </c>
      <c r="I17" s="19" t="s">
        <v>188</v>
      </c>
      <c r="J17" s="20">
        <f t="shared" si="5"/>
        <v>3.7037037037037035E-2</v>
      </c>
      <c r="K17" s="19"/>
      <c r="L17" s="14">
        <f t="shared" si="0"/>
        <v>26</v>
      </c>
      <c r="M17" s="14">
        <f t="shared" si="1"/>
        <v>1</v>
      </c>
      <c r="N17" s="19" t="s">
        <v>188</v>
      </c>
      <c r="O17" s="20">
        <f t="shared" si="6"/>
        <v>3.7037037037037035E-2</v>
      </c>
      <c r="P17" s="19"/>
      <c r="Q17" s="19">
        <v>1</v>
      </c>
      <c r="R17" s="19">
        <v>1</v>
      </c>
      <c r="S17" s="19" t="s">
        <v>188</v>
      </c>
      <c r="T17" s="20">
        <f t="shared" si="7"/>
        <v>0.5</v>
      </c>
      <c r="U17" s="19"/>
      <c r="V17" s="19">
        <v>2</v>
      </c>
      <c r="W17" s="19">
        <v>3</v>
      </c>
      <c r="X17" s="19" t="s">
        <v>188</v>
      </c>
      <c r="Y17" s="20">
        <f t="shared" si="8"/>
        <v>0.6</v>
      </c>
      <c r="Z17" s="19"/>
      <c r="AA17" s="14">
        <f t="shared" si="2"/>
        <v>29</v>
      </c>
      <c r="AB17" s="14">
        <f t="shared" si="3"/>
        <v>5</v>
      </c>
      <c r="AC17" s="19" t="s">
        <v>188</v>
      </c>
      <c r="AD17" s="20">
        <f t="shared" si="9"/>
        <v>0.14705882352941177</v>
      </c>
      <c r="AE17" s="16"/>
      <c r="AF17" s="16"/>
      <c r="AG17" s="16"/>
      <c r="AH17" s="16"/>
      <c r="AI17" s="16"/>
      <c r="AJ17" s="16"/>
      <c r="AK17" s="16"/>
      <c r="AL17" s="16"/>
      <c r="AM17" s="16"/>
    </row>
    <row r="18" spans="1:39" s="6" customFormat="1" ht="15" customHeight="1" x14ac:dyDescent="0.3">
      <c r="A18" s="5" t="s">
        <v>20</v>
      </c>
      <c r="B18" s="19">
        <v>10</v>
      </c>
      <c r="C18" s="19">
        <v>2</v>
      </c>
      <c r="D18" s="19" t="s">
        <v>188</v>
      </c>
      <c r="E18" s="20">
        <f t="shared" si="4"/>
        <v>0.16666666666666666</v>
      </c>
      <c r="F18" s="19"/>
      <c r="G18" s="19">
        <v>0</v>
      </c>
      <c r="H18" s="19">
        <v>0</v>
      </c>
      <c r="I18" s="19" t="s">
        <v>188</v>
      </c>
      <c r="J18" s="20" t="str">
        <f t="shared" si="5"/>
        <v>-</v>
      </c>
      <c r="K18" s="19"/>
      <c r="L18" s="14">
        <f t="shared" si="0"/>
        <v>10</v>
      </c>
      <c r="M18" s="14">
        <f t="shared" si="1"/>
        <v>2</v>
      </c>
      <c r="N18" s="19" t="s">
        <v>188</v>
      </c>
      <c r="O18" s="20">
        <f t="shared" si="6"/>
        <v>0.16666666666666666</v>
      </c>
      <c r="P18" s="19"/>
      <c r="Q18" s="19">
        <v>0</v>
      </c>
      <c r="R18" s="19">
        <v>0</v>
      </c>
      <c r="S18" s="19" t="s">
        <v>188</v>
      </c>
      <c r="T18" s="20" t="str">
        <f t="shared" si="7"/>
        <v>-</v>
      </c>
      <c r="U18" s="19"/>
      <c r="V18" s="19">
        <v>1</v>
      </c>
      <c r="W18" s="19">
        <v>1</v>
      </c>
      <c r="X18" s="19" t="s">
        <v>188</v>
      </c>
      <c r="Y18" s="20">
        <f t="shared" si="8"/>
        <v>0.5</v>
      </c>
      <c r="Z18" s="19"/>
      <c r="AA18" s="14">
        <f t="shared" si="2"/>
        <v>11</v>
      </c>
      <c r="AB18" s="14">
        <f t="shared" si="3"/>
        <v>3</v>
      </c>
      <c r="AC18" s="19" t="s">
        <v>188</v>
      </c>
      <c r="AD18" s="20">
        <f t="shared" si="9"/>
        <v>0.21428571428571427</v>
      </c>
      <c r="AE18" s="16"/>
      <c r="AF18" s="16"/>
      <c r="AG18" s="16"/>
      <c r="AH18" s="16"/>
      <c r="AI18" s="16"/>
      <c r="AJ18" s="16"/>
      <c r="AK18" s="16"/>
      <c r="AL18" s="16"/>
      <c r="AM18" s="16"/>
    </row>
    <row r="19" spans="1:39" s="6" customFormat="1" ht="15" customHeight="1" x14ac:dyDescent="0.3">
      <c r="A19" s="21" t="s">
        <v>21</v>
      </c>
      <c r="B19" s="19">
        <v>21</v>
      </c>
      <c r="C19" s="19">
        <v>3</v>
      </c>
      <c r="D19" s="19" t="s">
        <v>188</v>
      </c>
      <c r="E19" s="20">
        <f t="shared" si="4"/>
        <v>0.125</v>
      </c>
      <c r="F19" s="19"/>
      <c r="G19" s="19">
        <v>37</v>
      </c>
      <c r="H19" s="19">
        <v>1</v>
      </c>
      <c r="I19" s="19" t="s">
        <v>188</v>
      </c>
      <c r="J19" s="20">
        <f t="shared" si="5"/>
        <v>2.6315789473684209E-2</v>
      </c>
      <c r="K19" s="19"/>
      <c r="L19" s="14">
        <f t="shared" si="0"/>
        <v>58</v>
      </c>
      <c r="M19" s="14">
        <f t="shared" si="1"/>
        <v>4</v>
      </c>
      <c r="N19" s="19" t="s">
        <v>188</v>
      </c>
      <c r="O19" s="20">
        <f t="shared" si="6"/>
        <v>6.4516129032258063E-2</v>
      </c>
      <c r="P19" s="19"/>
      <c r="Q19" s="19">
        <v>2</v>
      </c>
      <c r="R19" s="19">
        <v>1</v>
      </c>
      <c r="S19" s="19" t="s">
        <v>188</v>
      </c>
      <c r="T19" s="20">
        <f t="shared" si="7"/>
        <v>0.33333333333333331</v>
      </c>
      <c r="U19" s="19"/>
      <c r="V19" s="19">
        <v>11</v>
      </c>
      <c r="W19" s="19">
        <v>15</v>
      </c>
      <c r="X19" s="19" t="s">
        <v>188</v>
      </c>
      <c r="Y19" s="20">
        <f t="shared" si="8"/>
        <v>0.57692307692307687</v>
      </c>
      <c r="Z19" s="19"/>
      <c r="AA19" s="14">
        <f t="shared" si="2"/>
        <v>71</v>
      </c>
      <c r="AB19" s="14">
        <f t="shared" si="3"/>
        <v>20</v>
      </c>
      <c r="AC19" s="19" t="s">
        <v>188</v>
      </c>
      <c r="AD19" s="20">
        <f t="shared" si="9"/>
        <v>0.21978021978021978</v>
      </c>
      <c r="AE19" s="16"/>
      <c r="AF19" s="16"/>
      <c r="AG19" s="16"/>
      <c r="AH19" s="16"/>
      <c r="AI19" s="16"/>
      <c r="AJ19" s="16"/>
      <c r="AK19" s="16"/>
      <c r="AL19" s="16"/>
      <c r="AM19" s="16"/>
    </row>
    <row r="20" spans="1:39" s="6" customFormat="1" ht="15" customHeight="1" x14ac:dyDescent="0.3">
      <c r="A20" s="21" t="s">
        <v>22</v>
      </c>
      <c r="B20" s="19">
        <v>3</v>
      </c>
      <c r="C20" s="19">
        <v>0</v>
      </c>
      <c r="D20" s="19" t="s">
        <v>188</v>
      </c>
      <c r="E20" s="20">
        <f t="shared" si="4"/>
        <v>0</v>
      </c>
      <c r="F20" s="19"/>
      <c r="G20" s="19">
        <v>88</v>
      </c>
      <c r="H20" s="19">
        <v>6</v>
      </c>
      <c r="I20" s="19" t="s">
        <v>188</v>
      </c>
      <c r="J20" s="20">
        <f t="shared" si="5"/>
        <v>6.3829787234042548E-2</v>
      </c>
      <c r="K20" s="19"/>
      <c r="L20" s="14">
        <f t="shared" si="0"/>
        <v>91</v>
      </c>
      <c r="M20" s="14">
        <f t="shared" si="1"/>
        <v>6</v>
      </c>
      <c r="N20" s="19" t="s">
        <v>188</v>
      </c>
      <c r="O20" s="20">
        <f t="shared" si="6"/>
        <v>6.1855670103092786E-2</v>
      </c>
      <c r="P20" s="19"/>
      <c r="Q20" s="19">
        <v>0</v>
      </c>
      <c r="R20" s="19">
        <v>0</v>
      </c>
      <c r="S20" s="19" t="s">
        <v>188</v>
      </c>
      <c r="T20" s="20" t="str">
        <f t="shared" si="7"/>
        <v>-</v>
      </c>
      <c r="U20" s="19"/>
      <c r="V20" s="19">
        <v>2</v>
      </c>
      <c r="W20" s="19">
        <v>3</v>
      </c>
      <c r="X20" s="19" t="s">
        <v>188</v>
      </c>
      <c r="Y20" s="20">
        <f t="shared" si="8"/>
        <v>0.6</v>
      </c>
      <c r="Z20" s="19"/>
      <c r="AA20" s="14">
        <f t="shared" si="2"/>
        <v>93</v>
      </c>
      <c r="AB20" s="14">
        <f t="shared" si="3"/>
        <v>9</v>
      </c>
      <c r="AC20" s="19" t="s">
        <v>188</v>
      </c>
      <c r="AD20" s="20">
        <f t="shared" si="9"/>
        <v>8.8235294117647065E-2</v>
      </c>
      <c r="AE20" s="16"/>
      <c r="AF20" s="16"/>
      <c r="AG20" s="16"/>
      <c r="AH20" s="16"/>
      <c r="AI20" s="16"/>
      <c r="AJ20" s="16"/>
      <c r="AK20" s="16"/>
      <c r="AL20" s="16"/>
      <c r="AM20" s="16"/>
    </row>
    <row r="21" spans="1:39" s="6" customFormat="1" ht="15" customHeight="1" x14ac:dyDescent="0.3">
      <c r="A21" s="5" t="s">
        <v>23</v>
      </c>
      <c r="B21" s="19">
        <v>15</v>
      </c>
      <c r="C21" s="19">
        <v>3</v>
      </c>
      <c r="D21" s="19" t="s">
        <v>188</v>
      </c>
      <c r="E21" s="20">
        <f t="shared" si="4"/>
        <v>0.16666666666666666</v>
      </c>
      <c r="F21" s="19"/>
      <c r="G21" s="19">
        <v>31</v>
      </c>
      <c r="H21" s="19">
        <v>1</v>
      </c>
      <c r="I21" s="19" t="s">
        <v>188</v>
      </c>
      <c r="J21" s="20">
        <f t="shared" si="5"/>
        <v>3.125E-2</v>
      </c>
      <c r="K21" s="19"/>
      <c r="L21" s="14">
        <f t="shared" si="0"/>
        <v>46</v>
      </c>
      <c r="M21" s="14">
        <f t="shared" si="1"/>
        <v>4</v>
      </c>
      <c r="N21" s="19" t="s">
        <v>188</v>
      </c>
      <c r="O21" s="20">
        <f t="shared" si="6"/>
        <v>0.08</v>
      </c>
      <c r="P21" s="19"/>
      <c r="Q21" s="19">
        <v>0</v>
      </c>
      <c r="R21" s="19">
        <v>0</v>
      </c>
      <c r="S21" s="19" t="s">
        <v>188</v>
      </c>
      <c r="T21" s="20" t="str">
        <f t="shared" si="7"/>
        <v>-</v>
      </c>
      <c r="U21" s="19"/>
      <c r="V21" s="19">
        <v>16</v>
      </c>
      <c r="W21" s="19">
        <v>16</v>
      </c>
      <c r="X21" s="19" t="s">
        <v>188</v>
      </c>
      <c r="Y21" s="20">
        <f t="shared" si="8"/>
        <v>0.5</v>
      </c>
      <c r="Z21" s="19"/>
      <c r="AA21" s="14">
        <f t="shared" si="2"/>
        <v>62</v>
      </c>
      <c r="AB21" s="14">
        <f t="shared" si="3"/>
        <v>20</v>
      </c>
      <c r="AC21" s="19" t="s">
        <v>188</v>
      </c>
      <c r="AD21" s="20">
        <f t="shared" si="9"/>
        <v>0.24390243902439024</v>
      </c>
      <c r="AE21" s="16"/>
      <c r="AF21" s="16"/>
      <c r="AG21" s="16"/>
      <c r="AH21" s="16"/>
      <c r="AI21" s="16"/>
      <c r="AJ21" s="16"/>
      <c r="AK21" s="16"/>
      <c r="AL21" s="16"/>
      <c r="AM21" s="16"/>
    </row>
    <row r="22" spans="1:39" s="6" customFormat="1" ht="15" customHeight="1" x14ac:dyDescent="0.3">
      <c r="A22" s="5" t="s">
        <v>24</v>
      </c>
      <c r="B22" s="19">
        <v>0</v>
      </c>
      <c r="C22" s="19">
        <v>0</v>
      </c>
      <c r="D22" s="19" t="s">
        <v>188</v>
      </c>
      <c r="E22" s="20" t="str">
        <f t="shared" si="4"/>
        <v>-</v>
      </c>
      <c r="F22" s="19"/>
      <c r="G22" s="19">
        <v>8</v>
      </c>
      <c r="H22" s="19">
        <v>1</v>
      </c>
      <c r="I22" s="19" t="s">
        <v>188</v>
      </c>
      <c r="J22" s="20">
        <f t="shared" si="5"/>
        <v>0.1111111111111111</v>
      </c>
      <c r="K22" s="19"/>
      <c r="L22" s="14">
        <f t="shared" si="0"/>
        <v>8</v>
      </c>
      <c r="M22" s="14">
        <f t="shared" si="1"/>
        <v>1</v>
      </c>
      <c r="N22" s="19" t="s">
        <v>188</v>
      </c>
      <c r="O22" s="20">
        <f t="shared" si="6"/>
        <v>0.1111111111111111</v>
      </c>
      <c r="P22" s="19"/>
      <c r="Q22" s="19">
        <v>1</v>
      </c>
      <c r="R22" s="19">
        <v>0</v>
      </c>
      <c r="S22" s="19" t="s">
        <v>188</v>
      </c>
      <c r="T22" s="20">
        <f t="shared" si="7"/>
        <v>0</v>
      </c>
      <c r="U22" s="19"/>
      <c r="V22" s="19">
        <v>3</v>
      </c>
      <c r="W22" s="19">
        <v>2</v>
      </c>
      <c r="X22" s="19" t="s">
        <v>188</v>
      </c>
      <c r="Y22" s="20">
        <f t="shared" si="8"/>
        <v>0.4</v>
      </c>
      <c r="Z22" s="19"/>
      <c r="AA22" s="14">
        <f t="shared" si="2"/>
        <v>12</v>
      </c>
      <c r="AB22" s="14">
        <f t="shared" si="3"/>
        <v>3</v>
      </c>
      <c r="AC22" s="19" t="s">
        <v>188</v>
      </c>
      <c r="AD22" s="20">
        <f t="shared" si="9"/>
        <v>0.2</v>
      </c>
      <c r="AE22" s="16"/>
      <c r="AF22" s="16"/>
      <c r="AG22" s="16"/>
      <c r="AH22" s="16"/>
      <c r="AI22" s="16"/>
      <c r="AJ22" s="16"/>
      <c r="AK22" s="16"/>
      <c r="AL22" s="16"/>
      <c r="AM22" s="16"/>
    </row>
    <row r="23" spans="1:39" s="6" customFormat="1" ht="15" customHeight="1" x14ac:dyDescent="0.3">
      <c r="A23" s="5" t="s">
        <v>25</v>
      </c>
      <c r="B23" s="19">
        <v>1</v>
      </c>
      <c r="C23" s="19">
        <v>0</v>
      </c>
      <c r="D23" s="19" t="s">
        <v>188</v>
      </c>
      <c r="E23" s="20">
        <f t="shared" si="4"/>
        <v>0</v>
      </c>
      <c r="F23" s="19"/>
      <c r="G23" s="19">
        <v>21</v>
      </c>
      <c r="H23" s="19">
        <v>1</v>
      </c>
      <c r="I23" s="19" t="s">
        <v>188</v>
      </c>
      <c r="J23" s="20">
        <f t="shared" si="5"/>
        <v>4.5454545454545456E-2</v>
      </c>
      <c r="K23" s="19"/>
      <c r="L23" s="14">
        <f t="shared" si="0"/>
        <v>22</v>
      </c>
      <c r="M23" s="14">
        <f t="shared" si="1"/>
        <v>1</v>
      </c>
      <c r="N23" s="19" t="s">
        <v>188</v>
      </c>
      <c r="O23" s="20">
        <f t="shared" si="6"/>
        <v>4.3478260869565216E-2</v>
      </c>
      <c r="P23" s="19"/>
      <c r="Q23" s="19">
        <v>1</v>
      </c>
      <c r="R23" s="19">
        <v>1</v>
      </c>
      <c r="S23" s="19" t="s">
        <v>188</v>
      </c>
      <c r="T23" s="20">
        <f t="shared" si="7"/>
        <v>0.5</v>
      </c>
      <c r="U23" s="19"/>
      <c r="V23" s="19">
        <v>0</v>
      </c>
      <c r="W23" s="19">
        <v>6</v>
      </c>
      <c r="X23" s="19" t="s">
        <v>188</v>
      </c>
      <c r="Y23" s="20">
        <f t="shared" si="8"/>
        <v>1</v>
      </c>
      <c r="Z23" s="19"/>
      <c r="AA23" s="14">
        <f t="shared" si="2"/>
        <v>23</v>
      </c>
      <c r="AB23" s="14">
        <f t="shared" si="3"/>
        <v>8</v>
      </c>
      <c r="AC23" s="19" t="s">
        <v>188</v>
      </c>
      <c r="AD23" s="20">
        <f t="shared" si="9"/>
        <v>0.25806451612903225</v>
      </c>
      <c r="AE23" s="16"/>
      <c r="AF23" s="16"/>
      <c r="AG23" s="16"/>
      <c r="AH23" s="16"/>
      <c r="AI23" s="16"/>
      <c r="AJ23" s="16"/>
      <c r="AK23" s="16"/>
      <c r="AL23" s="16"/>
      <c r="AM23" s="16"/>
    </row>
    <row r="24" spans="1:39" s="6" customFormat="1" ht="15" customHeight="1" x14ac:dyDescent="0.3">
      <c r="A24" s="5" t="s">
        <v>26</v>
      </c>
      <c r="B24" s="19">
        <v>0</v>
      </c>
      <c r="C24" s="19">
        <v>0</v>
      </c>
      <c r="D24" s="19" t="s">
        <v>188</v>
      </c>
      <c r="E24" s="20" t="str">
        <f t="shared" si="4"/>
        <v>-</v>
      </c>
      <c r="F24" s="19"/>
      <c r="G24" s="19">
        <v>47</v>
      </c>
      <c r="H24" s="19">
        <v>3</v>
      </c>
      <c r="I24" s="19" t="s">
        <v>188</v>
      </c>
      <c r="J24" s="20">
        <f t="shared" si="5"/>
        <v>0.06</v>
      </c>
      <c r="K24" s="19"/>
      <c r="L24" s="14">
        <f t="shared" si="0"/>
        <v>47</v>
      </c>
      <c r="M24" s="14">
        <f t="shared" si="1"/>
        <v>3</v>
      </c>
      <c r="N24" s="19" t="s">
        <v>188</v>
      </c>
      <c r="O24" s="20">
        <f t="shared" si="6"/>
        <v>0.06</v>
      </c>
      <c r="P24" s="19"/>
      <c r="Q24" s="19">
        <v>0</v>
      </c>
      <c r="R24" s="19">
        <v>0</v>
      </c>
      <c r="S24" s="19" t="s">
        <v>188</v>
      </c>
      <c r="T24" s="20" t="str">
        <f t="shared" si="7"/>
        <v>-</v>
      </c>
      <c r="U24" s="19"/>
      <c r="V24" s="19">
        <v>17</v>
      </c>
      <c r="W24" s="19">
        <v>20</v>
      </c>
      <c r="X24" s="19" t="s">
        <v>188</v>
      </c>
      <c r="Y24" s="20">
        <f t="shared" si="8"/>
        <v>0.54054054054054057</v>
      </c>
      <c r="Z24" s="19"/>
      <c r="AA24" s="14">
        <f t="shared" si="2"/>
        <v>64</v>
      </c>
      <c r="AB24" s="14">
        <f t="shared" si="3"/>
        <v>23</v>
      </c>
      <c r="AC24" s="19" t="s">
        <v>188</v>
      </c>
      <c r="AD24" s="20">
        <f t="shared" si="9"/>
        <v>0.26436781609195403</v>
      </c>
      <c r="AE24" s="16"/>
      <c r="AF24" s="16"/>
      <c r="AG24" s="16"/>
      <c r="AH24" s="16"/>
      <c r="AI24" s="16"/>
      <c r="AJ24" s="16"/>
      <c r="AK24" s="16"/>
      <c r="AL24" s="16"/>
      <c r="AM24" s="16"/>
    </row>
    <row r="25" spans="1:39" s="6" customFormat="1" ht="15" customHeight="1" x14ac:dyDescent="0.3">
      <c r="A25" s="5" t="s">
        <v>27</v>
      </c>
      <c r="B25" s="19">
        <v>0</v>
      </c>
      <c r="C25" s="19">
        <v>0</v>
      </c>
      <c r="D25" s="19" t="s">
        <v>188</v>
      </c>
      <c r="E25" s="20" t="str">
        <f t="shared" si="4"/>
        <v>-</v>
      </c>
      <c r="F25" s="19"/>
      <c r="G25" s="19">
        <v>26</v>
      </c>
      <c r="H25" s="19">
        <v>4</v>
      </c>
      <c r="I25" s="19" t="s">
        <v>188</v>
      </c>
      <c r="J25" s="20">
        <f t="shared" si="5"/>
        <v>0.13333333333333333</v>
      </c>
      <c r="K25" s="19"/>
      <c r="L25" s="14">
        <f t="shared" si="0"/>
        <v>26</v>
      </c>
      <c r="M25" s="14">
        <f t="shared" si="1"/>
        <v>4</v>
      </c>
      <c r="N25" s="19" t="s">
        <v>188</v>
      </c>
      <c r="O25" s="20">
        <f t="shared" si="6"/>
        <v>0.13333333333333333</v>
      </c>
      <c r="P25" s="19"/>
      <c r="Q25" s="19">
        <v>0</v>
      </c>
      <c r="R25" s="19">
        <v>0</v>
      </c>
      <c r="S25" s="19" t="s">
        <v>188</v>
      </c>
      <c r="T25" s="20" t="str">
        <f t="shared" si="7"/>
        <v>-</v>
      </c>
      <c r="U25" s="19"/>
      <c r="V25" s="19">
        <v>5</v>
      </c>
      <c r="W25" s="19">
        <v>1</v>
      </c>
      <c r="X25" s="19" t="s">
        <v>188</v>
      </c>
      <c r="Y25" s="20">
        <f t="shared" si="8"/>
        <v>0.16666666666666666</v>
      </c>
      <c r="Z25" s="19"/>
      <c r="AA25" s="14">
        <f t="shared" si="2"/>
        <v>31</v>
      </c>
      <c r="AB25" s="14">
        <f t="shared" si="3"/>
        <v>5</v>
      </c>
      <c r="AC25" s="19" t="s">
        <v>188</v>
      </c>
      <c r="AD25" s="20">
        <f t="shared" si="9"/>
        <v>0.1388888888888889</v>
      </c>
      <c r="AE25" s="16"/>
      <c r="AF25" s="16"/>
      <c r="AG25" s="16"/>
      <c r="AH25" s="16"/>
      <c r="AI25" s="16"/>
      <c r="AJ25" s="16"/>
      <c r="AK25" s="16"/>
      <c r="AL25" s="16"/>
      <c r="AM25" s="16"/>
    </row>
    <row r="26" spans="1:39" s="6" customFormat="1" ht="15" customHeight="1" x14ac:dyDescent="0.3">
      <c r="A26" s="5" t="s">
        <v>28</v>
      </c>
      <c r="B26" s="19">
        <v>72</v>
      </c>
      <c r="C26" s="19">
        <v>9</v>
      </c>
      <c r="D26" s="19" t="s">
        <v>188</v>
      </c>
      <c r="E26" s="20">
        <f t="shared" si="4"/>
        <v>0.1111111111111111</v>
      </c>
      <c r="F26" s="19"/>
      <c r="G26" s="19">
        <v>54</v>
      </c>
      <c r="H26" s="19">
        <v>2</v>
      </c>
      <c r="I26" s="19" t="s">
        <v>188</v>
      </c>
      <c r="J26" s="20">
        <f t="shared" si="5"/>
        <v>3.5714285714285712E-2</v>
      </c>
      <c r="K26" s="19"/>
      <c r="L26" s="14">
        <f t="shared" si="0"/>
        <v>126</v>
      </c>
      <c r="M26" s="14">
        <f t="shared" si="1"/>
        <v>11</v>
      </c>
      <c r="N26" s="19" t="s">
        <v>188</v>
      </c>
      <c r="O26" s="20">
        <f t="shared" si="6"/>
        <v>8.0291970802919707E-2</v>
      </c>
      <c r="P26" s="19"/>
      <c r="Q26" s="19">
        <v>2</v>
      </c>
      <c r="R26" s="19">
        <v>2</v>
      </c>
      <c r="S26" s="19" t="s">
        <v>188</v>
      </c>
      <c r="T26" s="20">
        <f t="shared" si="7"/>
        <v>0.5</v>
      </c>
      <c r="U26" s="19"/>
      <c r="V26" s="19">
        <v>44</v>
      </c>
      <c r="W26" s="19">
        <v>33</v>
      </c>
      <c r="X26" s="19" t="s">
        <v>188</v>
      </c>
      <c r="Y26" s="20">
        <f t="shared" si="8"/>
        <v>0.42857142857142855</v>
      </c>
      <c r="Z26" s="19"/>
      <c r="AA26" s="14">
        <f t="shared" si="2"/>
        <v>172</v>
      </c>
      <c r="AB26" s="14">
        <f t="shared" si="3"/>
        <v>46</v>
      </c>
      <c r="AC26" s="19" t="s">
        <v>188</v>
      </c>
      <c r="AD26" s="20">
        <f t="shared" si="9"/>
        <v>0.21100917431192662</v>
      </c>
      <c r="AE26" s="16"/>
      <c r="AF26" s="16"/>
      <c r="AG26" s="16"/>
      <c r="AH26" s="16"/>
      <c r="AI26" s="16"/>
      <c r="AJ26" s="16"/>
      <c r="AK26" s="16"/>
      <c r="AL26" s="16"/>
      <c r="AM26" s="16"/>
    </row>
    <row r="27" spans="1:39" s="6" customFormat="1" ht="15" customHeight="1" x14ac:dyDescent="0.3">
      <c r="A27" s="5" t="s">
        <v>29</v>
      </c>
      <c r="B27" s="19">
        <v>1</v>
      </c>
      <c r="C27" s="19">
        <v>0</v>
      </c>
      <c r="D27" s="19" t="s">
        <v>188</v>
      </c>
      <c r="E27" s="20">
        <f t="shared" si="4"/>
        <v>0</v>
      </c>
      <c r="F27" s="19"/>
      <c r="G27" s="19">
        <v>47</v>
      </c>
      <c r="H27" s="19">
        <v>4</v>
      </c>
      <c r="I27" s="19" t="s">
        <v>188</v>
      </c>
      <c r="J27" s="20">
        <f t="shared" si="5"/>
        <v>7.8431372549019607E-2</v>
      </c>
      <c r="K27" s="19"/>
      <c r="L27" s="14">
        <f t="shared" si="0"/>
        <v>48</v>
      </c>
      <c r="M27" s="14">
        <f t="shared" si="1"/>
        <v>4</v>
      </c>
      <c r="N27" s="19" t="s">
        <v>188</v>
      </c>
      <c r="O27" s="20">
        <f t="shared" si="6"/>
        <v>7.6923076923076927E-2</v>
      </c>
      <c r="P27" s="19"/>
      <c r="Q27" s="19">
        <v>0</v>
      </c>
      <c r="R27" s="19">
        <v>3</v>
      </c>
      <c r="S27" s="19" t="s">
        <v>188</v>
      </c>
      <c r="T27" s="20">
        <f t="shared" si="7"/>
        <v>1</v>
      </c>
      <c r="U27" s="19"/>
      <c r="V27" s="19">
        <v>9</v>
      </c>
      <c r="W27" s="19">
        <v>15</v>
      </c>
      <c r="X27" s="19" t="s">
        <v>188</v>
      </c>
      <c r="Y27" s="20">
        <f t="shared" si="8"/>
        <v>0.625</v>
      </c>
      <c r="Z27" s="19"/>
      <c r="AA27" s="14">
        <f t="shared" si="2"/>
        <v>57</v>
      </c>
      <c r="AB27" s="14">
        <f t="shared" si="3"/>
        <v>22</v>
      </c>
      <c r="AC27" s="19" t="s">
        <v>188</v>
      </c>
      <c r="AD27" s="20">
        <f t="shared" si="9"/>
        <v>0.27848101265822783</v>
      </c>
      <c r="AE27" s="16"/>
      <c r="AF27" s="16"/>
      <c r="AG27" s="16"/>
      <c r="AH27" s="16"/>
      <c r="AI27" s="16"/>
      <c r="AJ27" s="16"/>
      <c r="AK27" s="16"/>
      <c r="AL27" s="16"/>
      <c r="AM27" s="16"/>
    </row>
    <row r="28" spans="1:39" s="6" customFormat="1" ht="15" customHeight="1" x14ac:dyDescent="0.3">
      <c r="A28" s="5" t="s">
        <v>30</v>
      </c>
      <c r="B28" s="39">
        <v>0</v>
      </c>
      <c r="C28" s="39">
        <v>0</v>
      </c>
      <c r="D28" s="19" t="s">
        <v>188</v>
      </c>
      <c r="E28" s="20" t="str">
        <f t="shared" si="4"/>
        <v>-</v>
      </c>
      <c r="F28" s="19"/>
      <c r="G28" s="39">
        <v>0</v>
      </c>
      <c r="H28" s="39">
        <v>0</v>
      </c>
      <c r="I28" s="19" t="s">
        <v>188</v>
      </c>
      <c r="J28" s="20" t="str">
        <f t="shared" si="5"/>
        <v>-</v>
      </c>
      <c r="K28" s="19"/>
      <c r="L28" s="14">
        <f t="shared" si="0"/>
        <v>0</v>
      </c>
      <c r="M28" s="14">
        <f t="shared" si="1"/>
        <v>0</v>
      </c>
      <c r="N28" s="19" t="s">
        <v>188</v>
      </c>
      <c r="O28" s="20" t="str">
        <f t="shared" si="6"/>
        <v>-</v>
      </c>
      <c r="P28" s="19"/>
      <c r="Q28" s="39">
        <v>0</v>
      </c>
      <c r="R28" s="39">
        <v>0</v>
      </c>
      <c r="S28" s="19" t="s">
        <v>188</v>
      </c>
      <c r="T28" s="20" t="str">
        <f t="shared" si="7"/>
        <v>-</v>
      </c>
      <c r="U28" s="19"/>
      <c r="V28" s="39">
        <v>0</v>
      </c>
      <c r="W28" s="39">
        <v>0</v>
      </c>
      <c r="X28" s="19" t="s">
        <v>188</v>
      </c>
      <c r="Y28" s="20" t="str">
        <f t="shared" si="8"/>
        <v>-</v>
      </c>
      <c r="Z28" s="19"/>
      <c r="AA28" s="14">
        <f t="shared" si="2"/>
        <v>0</v>
      </c>
      <c r="AB28" s="14">
        <f t="shared" si="3"/>
        <v>0</v>
      </c>
      <c r="AC28" s="19" t="s">
        <v>188</v>
      </c>
      <c r="AD28" s="20" t="str">
        <f t="shared" si="9"/>
        <v>-</v>
      </c>
      <c r="AE28" s="16"/>
      <c r="AF28" s="16"/>
      <c r="AG28" s="16"/>
      <c r="AH28" s="16"/>
      <c r="AI28" s="16"/>
      <c r="AJ28" s="16"/>
      <c r="AK28" s="16"/>
      <c r="AL28" s="16"/>
      <c r="AM28" s="16"/>
    </row>
    <row r="29" spans="1:39" s="6" customFormat="1" ht="15" customHeight="1" x14ac:dyDescent="0.3">
      <c r="A29" s="5" t="s">
        <v>31</v>
      </c>
      <c r="B29" s="19">
        <v>0</v>
      </c>
      <c r="C29" s="19">
        <v>0</v>
      </c>
      <c r="D29" s="19" t="s">
        <v>188</v>
      </c>
      <c r="E29" s="20" t="str">
        <f t="shared" si="4"/>
        <v>-</v>
      </c>
      <c r="F29" s="19"/>
      <c r="G29" s="19">
        <v>4</v>
      </c>
      <c r="H29" s="19">
        <v>0</v>
      </c>
      <c r="I29" s="19" t="s">
        <v>188</v>
      </c>
      <c r="J29" s="20">
        <f t="shared" si="5"/>
        <v>0</v>
      </c>
      <c r="K29" s="19"/>
      <c r="L29" s="14">
        <f t="shared" si="0"/>
        <v>4</v>
      </c>
      <c r="M29" s="14">
        <f t="shared" si="1"/>
        <v>0</v>
      </c>
      <c r="N29" s="19" t="s">
        <v>188</v>
      </c>
      <c r="O29" s="20">
        <f t="shared" si="6"/>
        <v>0</v>
      </c>
      <c r="P29" s="19"/>
      <c r="Q29" s="19">
        <v>0</v>
      </c>
      <c r="R29" s="19">
        <v>0</v>
      </c>
      <c r="S29" s="19" t="s">
        <v>188</v>
      </c>
      <c r="T29" s="20" t="str">
        <f t="shared" si="7"/>
        <v>-</v>
      </c>
      <c r="U29" s="19"/>
      <c r="V29" s="19">
        <v>7</v>
      </c>
      <c r="W29" s="19">
        <v>5</v>
      </c>
      <c r="X29" s="19" t="s">
        <v>188</v>
      </c>
      <c r="Y29" s="20">
        <f t="shared" si="8"/>
        <v>0.41666666666666669</v>
      </c>
      <c r="Z29" s="19"/>
      <c r="AA29" s="14">
        <f t="shared" si="2"/>
        <v>11</v>
      </c>
      <c r="AB29" s="14">
        <f t="shared" si="3"/>
        <v>5</v>
      </c>
      <c r="AC29" s="19" t="s">
        <v>188</v>
      </c>
      <c r="AD29" s="20">
        <f t="shared" si="9"/>
        <v>0.3125</v>
      </c>
      <c r="AE29" s="16"/>
      <c r="AF29" s="16"/>
      <c r="AG29" s="16"/>
      <c r="AH29" s="16"/>
      <c r="AI29" s="16"/>
      <c r="AJ29" s="16"/>
      <c r="AK29" s="16"/>
      <c r="AL29" s="16"/>
      <c r="AM29" s="16"/>
    </row>
    <row r="30" spans="1:39" s="6" customFormat="1" ht="15" customHeight="1" x14ac:dyDescent="0.3">
      <c r="A30" s="5" t="s">
        <v>32</v>
      </c>
      <c r="B30" s="19">
        <v>0</v>
      </c>
      <c r="C30" s="19">
        <v>0</v>
      </c>
      <c r="D30" s="19" t="s">
        <v>188</v>
      </c>
      <c r="E30" s="20" t="str">
        <f t="shared" si="4"/>
        <v>-</v>
      </c>
      <c r="F30" s="19"/>
      <c r="G30" s="19">
        <v>0</v>
      </c>
      <c r="H30" s="19">
        <v>0</v>
      </c>
      <c r="I30" s="19" t="s">
        <v>188</v>
      </c>
      <c r="J30" s="20" t="str">
        <f t="shared" si="5"/>
        <v>-</v>
      </c>
      <c r="K30" s="19"/>
      <c r="L30" s="14">
        <f t="shared" si="0"/>
        <v>0</v>
      </c>
      <c r="M30" s="14">
        <f t="shared" si="1"/>
        <v>0</v>
      </c>
      <c r="N30" s="19" t="s">
        <v>188</v>
      </c>
      <c r="O30" s="20" t="str">
        <f t="shared" si="6"/>
        <v>-</v>
      </c>
      <c r="P30" s="19"/>
      <c r="Q30" s="19">
        <v>0</v>
      </c>
      <c r="R30" s="19">
        <v>0</v>
      </c>
      <c r="S30" s="19" t="s">
        <v>188</v>
      </c>
      <c r="T30" s="20" t="str">
        <f t="shared" si="7"/>
        <v>-</v>
      </c>
      <c r="U30" s="19"/>
      <c r="V30" s="19">
        <v>0</v>
      </c>
      <c r="W30" s="19">
        <v>1</v>
      </c>
      <c r="X30" s="19" t="s">
        <v>188</v>
      </c>
      <c r="Y30" s="20">
        <f t="shared" si="8"/>
        <v>1</v>
      </c>
      <c r="Z30" s="19"/>
      <c r="AA30" s="14">
        <f t="shared" si="2"/>
        <v>0</v>
      </c>
      <c r="AB30" s="14">
        <f t="shared" si="3"/>
        <v>1</v>
      </c>
      <c r="AC30" s="19" t="s">
        <v>188</v>
      </c>
      <c r="AD30" s="20">
        <f t="shared" si="9"/>
        <v>1</v>
      </c>
      <c r="AE30" s="16"/>
      <c r="AF30" s="16"/>
      <c r="AG30" s="16"/>
      <c r="AH30" s="16"/>
      <c r="AI30" s="16"/>
      <c r="AJ30" s="16"/>
      <c r="AK30" s="16"/>
      <c r="AL30" s="16"/>
      <c r="AM30" s="16"/>
    </row>
    <row r="31" spans="1:39" s="6" customFormat="1" ht="15" customHeight="1" x14ac:dyDescent="0.3">
      <c r="A31" s="6" t="s">
        <v>33</v>
      </c>
      <c r="B31" s="19">
        <v>9</v>
      </c>
      <c r="C31" s="19">
        <v>0</v>
      </c>
      <c r="D31" s="19" t="s">
        <v>188</v>
      </c>
      <c r="E31" s="20">
        <f t="shared" si="4"/>
        <v>0</v>
      </c>
      <c r="F31" s="19"/>
      <c r="G31" s="19">
        <v>16</v>
      </c>
      <c r="H31" s="19">
        <v>0</v>
      </c>
      <c r="I31" s="19" t="s">
        <v>188</v>
      </c>
      <c r="J31" s="20">
        <f t="shared" si="5"/>
        <v>0</v>
      </c>
      <c r="K31" s="19"/>
      <c r="L31" s="14">
        <f t="shared" si="0"/>
        <v>25</v>
      </c>
      <c r="M31" s="14">
        <f t="shared" si="1"/>
        <v>0</v>
      </c>
      <c r="N31" s="19" t="s">
        <v>188</v>
      </c>
      <c r="O31" s="20">
        <f t="shared" si="6"/>
        <v>0</v>
      </c>
      <c r="P31" s="19"/>
      <c r="Q31" s="19">
        <v>1</v>
      </c>
      <c r="R31" s="19">
        <v>2</v>
      </c>
      <c r="S31" s="19" t="s">
        <v>188</v>
      </c>
      <c r="T31" s="20">
        <f t="shared" si="7"/>
        <v>0.66666666666666663</v>
      </c>
      <c r="U31" s="19"/>
      <c r="V31" s="19">
        <v>12</v>
      </c>
      <c r="W31" s="19">
        <v>19</v>
      </c>
      <c r="X31" s="19" t="s">
        <v>188</v>
      </c>
      <c r="Y31" s="20">
        <f t="shared" si="8"/>
        <v>0.61290322580645162</v>
      </c>
      <c r="Z31" s="19"/>
      <c r="AA31" s="14">
        <f t="shared" si="2"/>
        <v>38</v>
      </c>
      <c r="AB31" s="14">
        <f t="shared" si="3"/>
        <v>21</v>
      </c>
      <c r="AC31" s="19" t="s">
        <v>188</v>
      </c>
      <c r="AD31" s="20">
        <f t="shared" si="9"/>
        <v>0.3559322033898305</v>
      </c>
      <c r="AE31" s="16"/>
      <c r="AF31" s="16"/>
      <c r="AG31" s="16"/>
      <c r="AH31" s="16"/>
      <c r="AI31" s="16"/>
      <c r="AJ31" s="16"/>
      <c r="AK31" s="16"/>
      <c r="AL31" s="16"/>
      <c r="AM31" s="16"/>
    </row>
    <row r="32" spans="1:39" s="6" customFormat="1" ht="15" customHeight="1" x14ac:dyDescent="0.3">
      <c r="A32" s="6" t="s">
        <v>34</v>
      </c>
      <c r="B32" s="19">
        <v>0</v>
      </c>
      <c r="C32" s="19">
        <v>0</v>
      </c>
      <c r="D32" s="19" t="s">
        <v>188</v>
      </c>
      <c r="E32" s="20" t="str">
        <f t="shared" si="4"/>
        <v>-</v>
      </c>
      <c r="F32" s="19"/>
      <c r="G32" s="19">
        <v>50</v>
      </c>
      <c r="H32" s="19">
        <v>8</v>
      </c>
      <c r="I32" s="19" t="s">
        <v>188</v>
      </c>
      <c r="J32" s="20">
        <f t="shared" si="5"/>
        <v>0.13793103448275862</v>
      </c>
      <c r="K32" s="19"/>
      <c r="L32" s="14">
        <f t="shared" si="0"/>
        <v>50</v>
      </c>
      <c r="M32" s="14">
        <f t="shared" si="1"/>
        <v>8</v>
      </c>
      <c r="N32" s="19" t="s">
        <v>188</v>
      </c>
      <c r="O32" s="20">
        <f t="shared" si="6"/>
        <v>0.13793103448275862</v>
      </c>
      <c r="P32" s="19"/>
      <c r="Q32" s="19">
        <v>0</v>
      </c>
      <c r="R32" s="19">
        <v>0</v>
      </c>
      <c r="S32" s="19" t="s">
        <v>188</v>
      </c>
      <c r="T32" s="20" t="str">
        <f t="shared" si="7"/>
        <v>-</v>
      </c>
      <c r="U32" s="19"/>
      <c r="V32" s="19">
        <v>10</v>
      </c>
      <c r="W32" s="19">
        <v>13</v>
      </c>
      <c r="X32" s="19" t="s">
        <v>188</v>
      </c>
      <c r="Y32" s="20">
        <f t="shared" si="8"/>
        <v>0.56521739130434778</v>
      </c>
      <c r="Z32" s="19"/>
      <c r="AA32" s="14">
        <f t="shared" si="2"/>
        <v>60</v>
      </c>
      <c r="AB32" s="14">
        <f t="shared" si="3"/>
        <v>21</v>
      </c>
      <c r="AC32" s="19" t="s">
        <v>188</v>
      </c>
      <c r="AD32" s="20">
        <f t="shared" si="9"/>
        <v>0.25925925925925924</v>
      </c>
      <c r="AE32" s="16"/>
      <c r="AF32" s="16"/>
      <c r="AG32" s="16"/>
      <c r="AH32" s="16"/>
      <c r="AI32" s="16"/>
      <c r="AJ32" s="16"/>
      <c r="AK32" s="16"/>
      <c r="AL32" s="16"/>
      <c r="AM32" s="16"/>
    </row>
    <row r="33" spans="1:39" s="6" customFormat="1" ht="15" customHeight="1" x14ac:dyDescent="0.3">
      <c r="A33" s="5" t="s">
        <v>35</v>
      </c>
      <c r="B33" s="19">
        <v>0</v>
      </c>
      <c r="C33" s="19">
        <v>0</v>
      </c>
      <c r="D33" s="19" t="s">
        <v>188</v>
      </c>
      <c r="E33" s="20" t="str">
        <f t="shared" si="4"/>
        <v>-</v>
      </c>
      <c r="F33" s="19"/>
      <c r="G33" s="19">
        <v>18</v>
      </c>
      <c r="H33" s="19">
        <v>2</v>
      </c>
      <c r="I33" s="19" t="s">
        <v>188</v>
      </c>
      <c r="J33" s="20">
        <f t="shared" si="5"/>
        <v>0.1</v>
      </c>
      <c r="K33" s="19"/>
      <c r="L33" s="14">
        <f t="shared" si="0"/>
        <v>18</v>
      </c>
      <c r="M33" s="14">
        <f t="shared" si="1"/>
        <v>2</v>
      </c>
      <c r="N33" s="19" t="s">
        <v>188</v>
      </c>
      <c r="O33" s="20">
        <f t="shared" si="6"/>
        <v>0.1</v>
      </c>
      <c r="P33" s="19"/>
      <c r="Q33" s="19">
        <v>0</v>
      </c>
      <c r="R33" s="19">
        <v>4</v>
      </c>
      <c r="S33" s="19" t="s">
        <v>188</v>
      </c>
      <c r="T33" s="20">
        <f t="shared" si="7"/>
        <v>1</v>
      </c>
      <c r="U33" s="19"/>
      <c r="V33" s="19">
        <v>3</v>
      </c>
      <c r="W33" s="19">
        <v>6</v>
      </c>
      <c r="X33" s="19" t="s">
        <v>188</v>
      </c>
      <c r="Y33" s="20">
        <f t="shared" si="8"/>
        <v>0.66666666666666663</v>
      </c>
      <c r="Z33" s="19"/>
      <c r="AA33" s="14">
        <f t="shared" si="2"/>
        <v>21</v>
      </c>
      <c r="AB33" s="14">
        <f t="shared" si="3"/>
        <v>12</v>
      </c>
      <c r="AC33" s="19" t="s">
        <v>188</v>
      </c>
      <c r="AD33" s="20">
        <f t="shared" si="9"/>
        <v>0.36363636363636365</v>
      </c>
      <c r="AE33" s="16"/>
      <c r="AF33" s="16"/>
      <c r="AG33" s="16"/>
      <c r="AH33" s="16"/>
      <c r="AI33" s="16"/>
      <c r="AJ33" s="16"/>
      <c r="AK33" s="16"/>
      <c r="AL33" s="16"/>
      <c r="AM33" s="16"/>
    </row>
    <row r="34" spans="1:39" s="6" customFormat="1" ht="15" customHeight="1" x14ac:dyDescent="0.3">
      <c r="A34" s="6" t="s">
        <v>36</v>
      </c>
      <c r="B34" s="19">
        <v>0</v>
      </c>
      <c r="C34" s="19">
        <v>0</v>
      </c>
      <c r="D34" s="19" t="s">
        <v>188</v>
      </c>
      <c r="E34" s="20" t="str">
        <f t="shared" si="4"/>
        <v>-</v>
      </c>
      <c r="F34" s="19"/>
      <c r="G34" s="19">
        <v>58</v>
      </c>
      <c r="H34" s="19">
        <v>4</v>
      </c>
      <c r="I34" s="19" t="s">
        <v>188</v>
      </c>
      <c r="J34" s="20">
        <f t="shared" si="5"/>
        <v>6.4516129032258063E-2</v>
      </c>
      <c r="K34" s="19"/>
      <c r="L34" s="14">
        <f t="shared" si="0"/>
        <v>58</v>
      </c>
      <c r="M34" s="14">
        <f t="shared" si="1"/>
        <v>4</v>
      </c>
      <c r="N34" s="19" t="s">
        <v>188</v>
      </c>
      <c r="O34" s="20">
        <f t="shared" si="6"/>
        <v>6.4516129032258063E-2</v>
      </c>
      <c r="P34" s="19"/>
      <c r="Q34" s="19">
        <v>0</v>
      </c>
      <c r="R34" s="19">
        <v>1</v>
      </c>
      <c r="S34" s="19" t="s">
        <v>188</v>
      </c>
      <c r="T34" s="20">
        <f t="shared" si="7"/>
        <v>1</v>
      </c>
      <c r="U34" s="19"/>
      <c r="V34" s="19">
        <v>0</v>
      </c>
      <c r="W34" s="19">
        <v>3</v>
      </c>
      <c r="X34" s="19" t="s">
        <v>188</v>
      </c>
      <c r="Y34" s="20">
        <f t="shared" si="8"/>
        <v>1</v>
      </c>
      <c r="Z34" s="19"/>
      <c r="AA34" s="14">
        <f t="shared" si="2"/>
        <v>58</v>
      </c>
      <c r="AB34" s="14">
        <f t="shared" si="3"/>
        <v>8</v>
      </c>
      <c r="AC34" s="19" t="s">
        <v>188</v>
      </c>
      <c r="AD34" s="20">
        <f t="shared" si="9"/>
        <v>0.12121212121212122</v>
      </c>
      <c r="AE34" s="16"/>
      <c r="AF34" s="16"/>
      <c r="AG34" s="16"/>
      <c r="AH34" s="16"/>
      <c r="AI34" s="16"/>
      <c r="AJ34" s="16"/>
      <c r="AK34" s="16"/>
      <c r="AL34" s="16"/>
      <c r="AM34" s="16"/>
    </row>
    <row r="35" spans="1:39" s="6" customFormat="1" ht="15" customHeight="1" x14ac:dyDescent="0.3">
      <c r="A35" s="6" t="s">
        <v>37</v>
      </c>
      <c r="B35" s="19">
        <v>1</v>
      </c>
      <c r="C35" s="19">
        <v>3</v>
      </c>
      <c r="D35" s="19" t="s">
        <v>188</v>
      </c>
      <c r="E35" s="20">
        <f t="shared" si="4"/>
        <v>0.75</v>
      </c>
      <c r="F35" s="19"/>
      <c r="G35" s="19">
        <v>36</v>
      </c>
      <c r="H35" s="19">
        <v>3</v>
      </c>
      <c r="I35" s="19" t="s">
        <v>188</v>
      </c>
      <c r="J35" s="20">
        <f t="shared" si="5"/>
        <v>7.6923076923076927E-2</v>
      </c>
      <c r="K35" s="19"/>
      <c r="L35" s="14">
        <f t="shared" si="0"/>
        <v>37</v>
      </c>
      <c r="M35" s="14">
        <f t="shared" si="1"/>
        <v>6</v>
      </c>
      <c r="N35" s="19" t="s">
        <v>188</v>
      </c>
      <c r="O35" s="20">
        <f t="shared" si="6"/>
        <v>0.13953488372093023</v>
      </c>
      <c r="P35" s="19"/>
      <c r="Q35" s="19">
        <v>1</v>
      </c>
      <c r="R35" s="19">
        <v>0</v>
      </c>
      <c r="S35" s="19" t="s">
        <v>188</v>
      </c>
      <c r="T35" s="20">
        <f t="shared" si="7"/>
        <v>0</v>
      </c>
      <c r="U35" s="19"/>
      <c r="V35" s="19">
        <v>6</v>
      </c>
      <c r="W35" s="19">
        <v>6</v>
      </c>
      <c r="X35" s="19" t="s">
        <v>188</v>
      </c>
      <c r="Y35" s="20">
        <f t="shared" si="8"/>
        <v>0.5</v>
      </c>
      <c r="Z35" s="19"/>
      <c r="AA35" s="14">
        <f t="shared" si="2"/>
        <v>44</v>
      </c>
      <c r="AB35" s="14">
        <f t="shared" si="3"/>
        <v>12</v>
      </c>
      <c r="AC35" s="19" t="s">
        <v>188</v>
      </c>
      <c r="AD35" s="20">
        <f t="shared" si="9"/>
        <v>0.21428571428571427</v>
      </c>
      <c r="AE35" s="16"/>
      <c r="AF35" s="16"/>
      <c r="AG35" s="16"/>
      <c r="AH35" s="16"/>
      <c r="AI35" s="16"/>
      <c r="AJ35" s="16"/>
      <c r="AK35" s="16"/>
      <c r="AL35" s="16"/>
      <c r="AM35" s="16"/>
    </row>
    <row r="36" spans="1:39" s="6" customFormat="1" ht="15" customHeight="1" x14ac:dyDescent="0.3">
      <c r="A36" s="5" t="s">
        <v>38</v>
      </c>
      <c r="B36" s="19">
        <v>0</v>
      </c>
      <c r="C36" s="19">
        <v>0</v>
      </c>
      <c r="D36" s="19" t="s">
        <v>188</v>
      </c>
      <c r="E36" s="20" t="str">
        <f t="shared" si="4"/>
        <v>-</v>
      </c>
      <c r="F36" s="19"/>
      <c r="G36" s="19">
        <v>0</v>
      </c>
      <c r="H36" s="19">
        <v>0</v>
      </c>
      <c r="I36" s="19" t="s">
        <v>188</v>
      </c>
      <c r="J36" s="20" t="str">
        <f t="shared" si="5"/>
        <v>-</v>
      </c>
      <c r="K36" s="19"/>
      <c r="L36" s="14">
        <f t="shared" si="0"/>
        <v>0</v>
      </c>
      <c r="M36" s="14">
        <f t="shared" si="1"/>
        <v>0</v>
      </c>
      <c r="N36" s="19" t="s">
        <v>188</v>
      </c>
      <c r="O36" s="20" t="str">
        <f t="shared" si="6"/>
        <v>-</v>
      </c>
      <c r="P36" s="19"/>
      <c r="Q36" s="19">
        <v>0</v>
      </c>
      <c r="R36" s="19">
        <v>0</v>
      </c>
      <c r="S36" s="19" t="s">
        <v>188</v>
      </c>
      <c r="T36" s="20" t="str">
        <f t="shared" si="7"/>
        <v>-</v>
      </c>
      <c r="U36" s="19"/>
      <c r="V36" s="19">
        <v>0</v>
      </c>
      <c r="W36" s="19">
        <v>0</v>
      </c>
      <c r="X36" s="19" t="s">
        <v>188</v>
      </c>
      <c r="Y36" s="20" t="str">
        <f t="shared" si="8"/>
        <v>-</v>
      </c>
      <c r="Z36" s="19"/>
      <c r="AA36" s="14">
        <f t="shared" si="2"/>
        <v>0</v>
      </c>
      <c r="AB36" s="14">
        <f t="shared" si="3"/>
        <v>0</v>
      </c>
      <c r="AC36" s="19" t="s">
        <v>188</v>
      </c>
      <c r="AD36" s="20" t="str">
        <f t="shared" si="9"/>
        <v>-</v>
      </c>
      <c r="AE36" s="16"/>
      <c r="AF36" s="16"/>
      <c r="AG36" s="16"/>
      <c r="AH36" s="16"/>
      <c r="AI36" s="16"/>
      <c r="AJ36" s="16"/>
      <c r="AK36" s="16"/>
      <c r="AL36" s="16"/>
      <c r="AM36" s="16"/>
    </row>
    <row r="37" spans="1:39" s="6" customFormat="1" ht="15" customHeight="1" x14ac:dyDescent="0.3">
      <c r="A37" s="6" t="s">
        <v>39</v>
      </c>
      <c r="B37" s="19">
        <v>0</v>
      </c>
      <c r="C37" s="19">
        <v>0</v>
      </c>
      <c r="D37" s="19" t="s">
        <v>188</v>
      </c>
      <c r="E37" s="20" t="str">
        <f t="shared" si="4"/>
        <v>-</v>
      </c>
      <c r="F37" s="19"/>
      <c r="G37" s="19">
        <v>0</v>
      </c>
      <c r="H37" s="19">
        <v>0</v>
      </c>
      <c r="I37" s="19" t="s">
        <v>188</v>
      </c>
      <c r="J37" s="20" t="str">
        <f t="shared" si="5"/>
        <v>-</v>
      </c>
      <c r="K37" s="19"/>
      <c r="L37" s="14">
        <f t="shared" si="0"/>
        <v>0</v>
      </c>
      <c r="M37" s="14">
        <f t="shared" si="1"/>
        <v>0</v>
      </c>
      <c r="N37" s="19" t="s">
        <v>188</v>
      </c>
      <c r="O37" s="20" t="str">
        <f t="shared" si="6"/>
        <v>-</v>
      </c>
      <c r="P37" s="19"/>
      <c r="Q37" s="19">
        <v>0</v>
      </c>
      <c r="R37" s="19">
        <v>0</v>
      </c>
      <c r="S37" s="19" t="s">
        <v>188</v>
      </c>
      <c r="T37" s="20" t="str">
        <f t="shared" si="7"/>
        <v>-</v>
      </c>
      <c r="U37" s="19"/>
      <c r="V37" s="19">
        <v>0</v>
      </c>
      <c r="W37" s="19">
        <v>0</v>
      </c>
      <c r="X37" s="19" t="s">
        <v>188</v>
      </c>
      <c r="Y37" s="20" t="str">
        <f t="shared" si="8"/>
        <v>-</v>
      </c>
      <c r="Z37" s="19"/>
      <c r="AA37" s="14">
        <f t="shared" si="2"/>
        <v>0</v>
      </c>
      <c r="AB37" s="14">
        <f t="shared" si="3"/>
        <v>0</v>
      </c>
      <c r="AC37" s="19" t="s">
        <v>188</v>
      </c>
      <c r="AD37" s="20" t="str">
        <f t="shared" si="9"/>
        <v>-</v>
      </c>
      <c r="AE37" s="16"/>
      <c r="AF37" s="16"/>
      <c r="AG37" s="16"/>
      <c r="AH37" s="16"/>
      <c r="AI37" s="16"/>
      <c r="AJ37" s="16"/>
      <c r="AK37" s="16"/>
      <c r="AL37" s="16"/>
      <c r="AM37" s="16"/>
    </row>
    <row r="38" spans="1:39" s="6" customFormat="1" ht="15" customHeight="1" x14ac:dyDescent="0.3">
      <c r="A38" s="6" t="s">
        <v>40</v>
      </c>
      <c r="B38" s="19">
        <v>3</v>
      </c>
      <c r="C38" s="19">
        <v>1</v>
      </c>
      <c r="D38" s="19" t="s">
        <v>188</v>
      </c>
      <c r="E38" s="20">
        <f t="shared" si="4"/>
        <v>0.25</v>
      </c>
      <c r="F38" s="19"/>
      <c r="G38" s="19">
        <v>11</v>
      </c>
      <c r="H38" s="19">
        <v>0</v>
      </c>
      <c r="I38" s="19" t="s">
        <v>188</v>
      </c>
      <c r="J38" s="20">
        <f t="shared" si="5"/>
        <v>0</v>
      </c>
      <c r="K38" s="19"/>
      <c r="L38" s="14">
        <f t="shared" si="0"/>
        <v>14</v>
      </c>
      <c r="M38" s="14">
        <f t="shared" si="1"/>
        <v>1</v>
      </c>
      <c r="N38" s="19" t="s">
        <v>188</v>
      </c>
      <c r="O38" s="20">
        <f t="shared" si="6"/>
        <v>6.6666666666666666E-2</v>
      </c>
      <c r="P38" s="19"/>
      <c r="Q38" s="19">
        <v>0</v>
      </c>
      <c r="R38" s="19">
        <v>0</v>
      </c>
      <c r="S38" s="19" t="s">
        <v>188</v>
      </c>
      <c r="T38" s="20" t="str">
        <f t="shared" si="7"/>
        <v>-</v>
      </c>
      <c r="U38" s="19"/>
      <c r="V38" s="19">
        <v>5</v>
      </c>
      <c r="W38" s="19">
        <v>4</v>
      </c>
      <c r="X38" s="19" t="s">
        <v>188</v>
      </c>
      <c r="Y38" s="20">
        <f t="shared" si="8"/>
        <v>0.44444444444444442</v>
      </c>
      <c r="Z38" s="19"/>
      <c r="AA38" s="14">
        <f t="shared" si="2"/>
        <v>19</v>
      </c>
      <c r="AB38" s="14">
        <f t="shared" si="3"/>
        <v>5</v>
      </c>
      <c r="AC38" s="19" t="s">
        <v>188</v>
      </c>
      <c r="AD38" s="20">
        <f t="shared" si="9"/>
        <v>0.20833333333333334</v>
      </c>
      <c r="AE38" s="16"/>
      <c r="AF38" s="16"/>
      <c r="AG38" s="16"/>
      <c r="AH38" s="16"/>
      <c r="AI38" s="16"/>
      <c r="AJ38" s="16"/>
      <c r="AK38" s="16"/>
      <c r="AL38" s="16"/>
      <c r="AM38" s="16"/>
    </row>
    <row r="39" spans="1:39" s="6" customFormat="1" ht="15" customHeight="1" x14ac:dyDescent="0.3">
      <c r="A39" s="6" t="s">
        <v>41</v>
      </c>
      <c r="B39" s="19">
        <v>5</v>
      </c>
      <c r="C39" s="19">
        <v>0</v>
      </c>
      <c r="D39" s="19" t="s">
        <v>188</v>
      </c>
      <c r="E39" s="20">
        <f t="shared" si="4"/>
        <v>0</v>
      </c>
      <c r="F39" s="19"/>
      <c r="G39" s="19">
        <v>11</v>
      </c>
      <c r="H39" s="19">
        <v>0</v>
      </c>
      <c r="I39" s="19" t="s">
        <v>188</v>
      </c>
      <c r="J39" s="20">
        <f t="shared" si="5"/>
        <v>0</v>
      </c>
      <c r="K39" s="19"/>
      <c r="L39" s="14">
        <f t="shared" si="0"/>
        <v>16</v>
      </c>
      <c r="M39" s="14">
        <f t="shared" si="1"/>
        <v>0</v>
      </c>
      <c r="N39" s="19" t="s">
        <v>188</v>
      </c>
      <c r="O39" s="20">
        <f t="shared" si="6"/>
        <v>0</v>
      </c>
      <c r="P39" s="19"/>
      <c r="Q39" s="19">
        <v>0</v>
      </c>
      <c r="R39" s="19">
        <v>0</v>
      </c>
      <c r="S39" s="19" t="s">
        <v>188</v>
      </c>
      <c r="T39" s="20" t="str">
        <f t="shared" si="7"/>
        <v>-</v>
      </c>
      <c r="U39" s="19"/>
      <c r="V39" s="19">
        <v>0</v>
      </c>
      <c r="W39" s="19">
        <v>1</v>
      </c>
      <c r="X39" s="19" t="s">
        <v>188</v>
      </c>
      <c r="Y39" s="20">
        <f t="shared" si="8"/>
        <v>1</v>
      </c>
      <c r="Z39" s="19"/>
      <c r="AA39" s="14">
        <f t="shared" si="2"/>
        <v>16</v>
      </c>
      <c r="AB39" s="14">
        <f t="shared" si="3"/>
        <v>1</v>
      </c>
      <c r="AC39" s="19" t="s">
        <v>188</v>
      </c>
      <c r="AD39" s="20">
        <f t="shared" si="9"/>
        <v>5.8823529411764705E-2</v>
      </c>
      <c r="AE39" s="16"/>
      <c r="AF39" s="16"/>
      <c r="AG39" s="16"/>
      <c r="AH39" s="16"/>
      <c r="AI39" s="16"/>
      <c r="AJ39" s="16"/>
      <c r="AK39" s="16"/>
      <c r="AL39" s="16"/>
      <c r="AM39" s="16"/>
    </row>
    <row r="40" spans="1:39" s="6" customFormat="1" ht="15" customHeight="1" x14ac:dyDescent="0.3">
      <c r="A40" s="5" t="s">
        <v>42</v>
      </c>
      <c r="B40" s="19">
        <v>1</v>
      </c>
      <c r="C40" s="19">
        <v>0</v>
      </c>
      <c r="D40" s="19" t="s">
        <v>188</v>
      </c>
      <c r="E40" s="20">
        <f t="shared" si="4"/>
        <v>0</v>
      </c>
      <c r="F40" s="19"/>
      <c r="G40" s="19">
        <v>25</v>
      </c>
      <c r="H40" s="19">
        <v>5</v>
      </c>
      <c r="I40" s="19" t="s">
        <v>188</v>
      </c>
      <c r="J40" s="20">
        <f t="shared" si="5"/>
        <v>0.16666666666666666</v>
      </c>
      <c r="K40" s="19"/>
      <c r="L40" s="14">
        <f t="shared" si="0"/>
        <v>26</v>
      </c>
      <c r="M40" s="14">
        <f t="shared" si="1"/>
        <v>5</v>
      </c>
      <c r="N40" s="19" t="s">
        <v>188</v>
      </c>
      <c r="O40" s="20">
        <f t="shared" si="6"/>
        <v>0.16129032258064516</v>
      </c>
      <c r="P40" s="19"/>
      <c r="Q40" s="19">
        <v>1</v>
      </c>
      <c r="R40" s="19">
        <v>0</v>
      </c>
      <c r="S40" s="19" t="s">
        <v>188</v>
      </c>
      <c r="T40" s="20">
        <f t="shared" si="7"/>
        <v>0</v>
      </c>
      <c r="U40" s="19"/>
      <c r="V40" s="19">
        <v>15</v>
      </c>
      <c r="W40" s="19">
        <v>11</v>
      </c>
      <c r="X40" s="19" t="s">
        <v>188</v>
      </c>
      <c r="Y40" s="20">
        <f t="shared" si="8"/>
        <v>0.42307692307692307</v>
      </c>
      <c r="Z40" s="19"/>
      <c r="AA40" s="14">
        <f t="shared" si="2"/>
        <v>42</v>
      </c>
      <c r="AB40" s="14">
        <f t="shared" si="3"/>
        <v>16</v>
      </c>
      <c r="AC40" s="19" t="s">
        <v>188</v>
      </c>
      <c r="AD40" s="20">
        <f t="shared" si="9"/>
        <v>0.27586206896551724</v>
      </c>
      <c r="AE40" s="16"/>
      <c r="AF40" s="16"/>
      <c r="AG40" s="16"/>
      <c r="AH40" s="16"/>
      <c r="AI40" s="16"/>
      <c r="AJ40" s="16"/>
      <c r="AK40" s="16"/>
      <c r="AL40" s="16"/>
      <c r="AM40" s="16"/>
    </row>
    <row r="41" spans="1:39" s="6" customFormat="1" ht="15" customHeight="1" x14ac:dyDescent="0.3">
      <c r="A41" s="5" t="s">
        <v>43</v>
      </c>
      <c r="B41" s="19">
        <v>18</v>
      </c>
      <c r="C41" s="19">
        <v>0</v>
      </c>
      <c r="D41" s="19" t="s">
        <v>188</v>
      </c>
      <c r="E41" s="20">
        <f t="shared" si="4"/>
        <v>0</v>
      </c>
      <c r="F41" s="19"/>
      <c r="G41" s="19">
        <v>44</v>
      </c>
      <c r="H41" s="19">
        <v>2</v>
      </c>
      <c r="I41" s="19" t="s">
        <v>188</v>
      </c>
      <c r="J41" s="20">
        <f t="shared" si="5"/>
        <v>4.3478260869565216E-2</v>
      </c>
      <c r="K41" s="19"/>
      <c r="L41" s="14">
        <f t="shared" si="0"/>
        <v>62</v>
      </c>
      <c r="M41" s="14">
        <f t="shared" si="1"/>
        <v>2</v>
      </c>
      <c r="N41" s="19" t="s">
        <v>188</v>
      </c>
      <c r="O41" s="20">
        <f t="shared" si="6"/>
        <v>3.125E-2</v>
      </c>
      <c r="P41" s="19"/>
      <c r="Q41" s="19">
        <v>0</v>
      </c>
      <c r="R41" s="19">
        <v>0</v>
      </c>
      <c r="S41" s="19" t="s">
        <v>188</v>
      </c>
      <c r="T41" s="20" t="str">
        <f t="shared" si="7"/>
        <v>-</v>
      </c>
      <c r="U41" s="19"/>
      <c r="V41" s="19">
        <v>3</v>
      </c>
      <c r="W41" s="19">
        <v>3</v>
      </c>
      <c r="X41" s="19" t="s">
        <v>188</v>
      </c>
      <c r="Y41" s="20">
        <f t="shared" si="8"/>
        <v>0.5</v>
      </c>
      <c r="Z41" s="19"/>
      <c r="AA41" s="14">
        <f t="shared" si="2"/>
        <v>65</v>
      </c>
      <c r="AB41" s="14">
        <f t="shared" si="3"/>
        <v>5</v>
      </c>
      <c r="AC41" s="19" t="s">
        <v>188</v>
      </c>
      <c r="AD41" s="20">
        <f t="shared" si="9"/>
        <v>7.1428571428571425E-2</v>
      </c>
      <c r="AE41" s="16"/>
      <c r="AF41" s="16"/>
      <c r="AG41" s="16"/>
      <c r="AH41" s="16"/>
      <c r="AI41" s="16"/>
      <c r="AJ41" s="16"/>
      <c r="AK41" s="16"/>
      <c r="AL41" s="16"/>
      <c r="AM41" s="16"/>
    </row>
    <row r="42" spans="1:39" s="6" customFormat="1" ht="15" customHeight="1" x14ac:dyDescent="0.3">
      <c r="A42" s="5" t="s">
        <v>44</v>
      </c>
      <c r="B42" s="19">
        <v>13</v>
      </c>
      <c r="C42" s="19">
        <v>1</v>
      </c>
      <c r="D42" s="19" t="s">
        <v>188</v>
      </c>
      <c r="E42" s="20">
        <f t="shared" si="4"/>
        <v>7.1428571428571425E-2</v>
      </c>
      <c r="F42" s="19"/>
      <c r="G42" s="19">
        <v>29</v>
      </c>
      <c r="H42" s="19">
        <v>3</v>
      </c>
      <c r="I42" s="19" t="s">
        <v>188</v>
      </c>
      <c r="J42" s="20">
        <f t="shared" si="5"/>
        <v>9.375E-2</v>
      </c>
      <c r="K42" s="19"/>
      <c r="L42" s="14">
        <f t="shared" si="0"/>
        <v>42</v>
      </c>
      <c r="M42" s="14">
        <f t="shared" si="1"/>
        <v>4</v>
      </c>
      <c r="N42" s="19" t="s">
        <v>188</v>
      </c>
      <c r="O42" s="20">
        <f t="shared" si="6"/>
        <v>8.6956521739130432E-2</v>
      </c>
      <c r="P42" s="19"/>
      <c r="Q42" s="19">
        <v>0</v>
      </c>
      <c r="R42" s="19">
        <v>2</v>
      </c>
      <c r="S42" s="19" t="s">
        <v>188</v>
      </c>
      <c r="T42" s="20">
        <f t="shared" si="7"/>
        <v>1</v>
      </c>
      <c r="U42" s="19"/>
      <c r="V42" s="19">
        <v>3</v>
      </c>
      <c r="W42" s="19">
        <v>7</v>
      </c>
      <c r="X42" s="19" t="s">
        <v>188</v>
      </c>
      <c r="Y42" s="20">
        <f t="shared" si="8"/>
        <v>0.7</v>
      </c>
      <c r="Z42" s="19"/>
      <c r="AA42" s="14">
        <f t="shared" si="2"/>
        <v>45</v>
      </c>
      <c r="AB42" s="14">
        <f t="shared" si="3"/>
        <v>13</v>
      </c>
      <c r="AC42" s="19" t="s">
        <v>188</v>
      </c>
      <c r="AD42" s="20">
        <f t="shared" si="9"/>
        <v>0.22413793103448276</v>
      </c>
      <c r="AE42" s="16"/>
      <c r="AF42" s="16"/>
      <c r="AG42" s="16"/>
      <c r="AH42" s="16"/>
      <c r="AI42" s="16"/>
      <c r="AJ42" s="16"/>
      <c r="AK42" s="16"/>
      <c r="AL42" s="16"/>
      <c r="AM42" s="16"/>
    </row>
    <row r="43" spans="1:39" s="6" customFormat="1" ht="15" customHeight="1" x14ac:dyDescent="0.3">
      <c r="A43" s="5" t="s">
        <v>45</v>
      </c>
      <c r="B43" s="19">
        <v>0</v>
      </c>
      <c r="C43" s="19">
        <v>0</v>
      </c>
      <c r="D43" s="19" t="s">
        <v>188</v>
      </c>
      <c r="E43" s="20" t="str">
        <f t="shared" si="4"/>
        <v>-</v>
      </c>
      <c r="F43" s="19"/>
      <c r="G43" s="19">
        <v>33</v>
      </c>
      <c r="H43" s="19">
        <v>1</v>
      </c>
      <c r="I43" s="19" t="s">
        <v>188</v>
      </c>
      <c r="J43" s="20">
        <f t="shared" si="5"/>
        <v>2.9411764705882353E-2</v>
      </c>
      <c r="K43" s="19"/>
      <c r="L43" s="14">
        <f t="shared" si="0"/>
        <v>33</v>
      </c>
      <c r="M43" s="14">
        <f t="shared" si="1"/>
        <v>1</v>
      </c>
      <c r="N43" s="19" t="s">
        <v>188</v>
      </c>
      <c r="O43" s="20">
        <f t="shared" si="6"/>
        <v>2.9411764705882353E-2</v>
      </c>
      <c r="P43" s="19"/>
      <c r="Q43" s="19">
        <v>0</v>
      </c>
      <c r="R43" s="19">
        <v>0</v>
      </c>
      <c r="S43" s="19" t="s">
        <v>188</v>
      </c>
      <c r="T43" s="20" t="str">
        <f t="shared" si="7"/>
        <v>-</v>
      </c>
      <c r="U43" s="19"/>
      <c r="V43" s="19">
        <v>7</v>
      </c>
      <c r="W43" s="19">
        <v>5</v>
      </c>
      <c r="X43" s="19" t="s">
        <v>188</v>
      </c>
      <c r="Y43" s="20">
        <f t="shared" si="8"/>
        <v>0.41666666666666669</v>
      </c>
      <c r="Z43" s="19"/>
      <c r="AA43" s="14">
        <f t="shared" si="2"/>
        <v>40</v>
      </c>
      <c r="AB43" s="14">
        <f t="shared" si="3"/>
        <v>6</v>
      </c>
      <c r="AC43" s="19" t="s">
        <v>188</v>
      </c>
      <c r="AD43" s="20">
        <f t="shared" si="9"/>
        <v>0.13043478260869565</v>
      </c>
      <c r="AE43" s="16"/>
      <c r="AF43" s="16"/>
      <c r="AG43" s="16"/>
      <c r="AH43" s="16"/>
      <c r="AI43" s="16"/>
      <c r="AJ43" s="16"/>
      <c r="AK43" s="16"/>
      <c r="AL43" s="16"/>
      <c r="AM43" s="16"/>
    </row>
    <row r="44" spans="1:39" s="6" customFormat="1" ht="15" customHeight="1" x14ac:dyDescent="0.3">
      <c r="A44" s="5" t="s">
        <v>46</v>
      </c>
      <c r="B44" s="19">
        <v>16</v>
      </c>
      <c r="C44" s="19">
        <v>1</v>
      </c>
      <c r="D44" s="19" t="s">
        <v>188</v>
      </c>
      <c r="E44" s="20">
        <f t="shared" si="4"/>
        <v>5.8823529411764705E-2</v>
      </c>
      <c r="F44" s="19"/>
      <c r="G44" s="19">
        <v>31</v>
      </c>
      <c r="H44" s="19">
        <v>2</v>
      </c>
      <c r="I44" s="19" t="s">
        <v>188</v>
      </c>
      <c r="J44" s="20">
        <f t="shared" si="5"/>
        <v>6.0606060606060608E-2</v>
      </c>
      <c r="K44" s="19"/>
      <c r="L44" s="14">
        <f t="shared" si="0"/>
        <v>47</v>
      </c>
      <c r="M44" s="14">
        <f t="shared" si="1"/>
        <v>3</v>
      </c>
      <c r="N44" s="19" t="s">
        <v>188</v>
      </c>
      <c r="O44" s="20">
        <f t="shared" si="6"/>
        <v>0.06</v>
      </c>
      <c r="P44" s="19"/>
      <c r="Q44" s="19">
        <v>0</v>
      </c>
      <c r="R44" s="19">
        <v>0</v>
      </c>
      <c r="S44" s="19" t="s">
        <v>188</v>
      </c>
      <c r="T44" s="20" t="str">
        <f t="shared" si="7"/>
        <v>-</v>
      </c>
      <c r="U44" s="19"/>
      <c r="V44" s="19">
        <v>5</v>
      </c>
      <c r="W44" s="19">
        <v>7</v>
      </c>
      <c r="X44" s="19" t="s">
        <v>188</v>
      </c>
      <c r="Y44" s="20">
        <f t="shared" si="8"/>
        <v>0.58333333333333337</v>
      </c>
      <c r="Z44" s="19"/>
      <c r="AA44" s="14">
        <f t="shared" si="2"/>
        <v>52</v>
      </c>
      <c r="AB44" s="14">
        <f t="shared" si="3"/>
        <v>10</v>
      </c>
      <c r="AC44" s="19" t="s">
        <v>188</v>
      </c>
      <c r="AD44" s="20">
        <f t="shared" si="9"/>
        <v>0.16129032258064516</v>
      </c>
      <c r="AE44" s="16"/>
      <c r="AF44" s="16"/>
      <c r="AG44" s="16"/>
      <c r="AH44" s="16"/>
      <c r="AI44" s="16"/>
      <c r="AJ44" s="16"/>
      <c r="AK44" s="16"/>
      <c r="AL44" s="16"/>
      <c r="AM44" s="16"/>
    </row>
    <row r="45" spans="1:39" s="6" customFormat="1" ht="15" customHeight="1" x14ac:dyDescent="0.3">
      <c r="A45" s="5" t="s">
        <v>47</v>
      </c>
      <c r="B45" s="19">
        <v>9</v>
      </c>
      <c r="C45" s="19">
        <v>1</v>
      </c>
      <c r="D45" s="19" t="s">
        <v>188</v>
      </c>
      <c r="E45" s="20">
        <f t="shared" si="4"/>
        <v>0.1</v>
      </c>
      <c r="F45" s="19"/>
      <c r="G45" s="19">
        <v>10</v>
      </c>
      <c r="H45" s="19">
        <v>1</v>
      </c>
      <c r="I45" s="19" t="s">
        <v>188</v>
      </c>
      <c r="J45" s="20">
        <f t="shared" si="5"/>
        <v>9.0909090909090912E-2</v>
      </c>
      <c r="K45" s="19"/>
      <c r="L45" s="14">
        <f t="shared" si="0"/>
        <v>19</v>
      </c>
      <c r="M45" s="14">
        <f t="shared" si="1"/>
        <v>2</v>
      </c>
      <c r="N45" s="19" t="s">
        <v>188</v>
      </c>
      <c r="O45" s="20">
        <f t="shared" si="6"/>
        <v>9.5238095238095233E-2</v>
      </c>
      <c r="P45" s="19"/>
      <c r="Q45" s="19">
        <v>0</v>
      </c>
      <c r="R45" s="19">
        <v>1</v>
      </c>
      <c r="S45" s="19" t="s">
        <v>188</v>
      </c>
      <c r="T45" s="20">
        <f t="shared" si="7"/>
        <v>1</v>
      </c>
      <c r="U45" s="19"/>
      <c r="V45" s="19">
        <v>0</v>
      </c>
      <c r="W45" s="19">
        <v>0</v>
      </c>
      <c r="X45" s="19" t="s">
        <v>188</v>
      </c>
      <c r="Y45" s="20" t="str">
        <f t="shared" si="8"/>
        <v>-</v>
      </c>
      <c r="Z45" s="19"/>
      <c r="AA45" s="14">
        <f t="shared" si="2"/>
        <v>19</v>
      </c>
      <c r="AB45" s="14">
        <f t="shared" si="3"/>
        <v>3</v>
      </c>
      <c r="AC45" s="19" t="s">
        <v>188</v>
      </c>
      <c r="AD45" s="20">
        <f t="shared" si="9"/>
        <v>0.13636363636363635</v>
      </c>
      <c r="AE45" s="16"/>
      <c r="AF45" s="16"/>
      <c r="AG45" s="16"/>
      <c r="AH45" s="16"/>
      <c r="AI45" s="16"/>
      <c r="AJ45" s="16"/>
      <c r="AK45" s="16"/>
      <c r="AL45" s="16"/>
      <c r="AM45" s="16"/>
    </row>
    <row r="46" spans="1:39" s="6" customFormat="1" ht="15" customHeight="1" x14ac:dyDescent="0.3">
      <c r="A46" s="5" t="s">
        <v>48</v>
      </c>
      <c r="B46" s="19">
        <v>7</v>
      </c>
      <c r="C46" s="19">
        <v>0</v>
      </c>
      <c r="D46" s="19" t="s">
        <v>188</v>
      </c>
      <c r="E46" s="20">
        <f t="shared" si="4"/>
        <v>0</v>
      </c>
      <c r="F46" s="19"/>
      <c r="G46" s="19">
        <v>25</v>
      </c>
      <c r="H46" s="19">
        <v>0</v>
      </c>
      <c r="I46" s="19" t="s">
        <v>188</v>
      </c>
      <c r="J46" s="20">
        <f t="shared" si="5"/>
        <v>0</v>
      </c>
      <c r="K46" s="19"/>
      <c r="L46" s="14">
        <f t="shared" si="0"/>
        <v>32</v>
      </c>
      <c r="M46" s="14">
        <f t="shared" si="1"/>
        <v>0</v>
      </c>
      <c r="N46" s="19" t="s">
        <v>188</v>
      </c>
      <c r="O46" s="20">
        <f t="shared" si="6"/>
        <v>0</v>
      </c>
      <c r="P46" s="19"/>
      <c r="Q46" s="19">
        <v>3</v>
      </c>
      <c r="R46" s="19">
        <v>2</v>
      </c>
      <c r="S46" s="19" t="s">
        <v>188</v>
      </c>
      <c r="T46" s="20">
        <f t="shared" si="7"/>
        <v>0.4</v>
      </c>
      <c r="U46" s="19"/>
      <c r="V46" s="19">
        <v>12</v>
      </c>
      <c r="W46" s="19">
        <v>4</v>
      </c>
      <c r="X46" s="19" t="s">
        <v>188</v>
      </c>
      <c r="Y46" s="20">
        <f t="shared" si="8"/>
        <v>0.25</v>
      </c>
      <c r="Z46" s="19"/>
      <c r="AA46" s="14">
        <f t="shared" si="2"/>
        <v>47</v>
      </c>
      <c r="AB46" s="14">
        <f t="shared" si="3"/>
        <v>6</v>
      </c>
      <c r="AC46" s="19" t="s">
        <v>188</v>
      </c>
      <c r="AD46" s="20">
        <f t="shared" si="9"/>
        <v>0.11320754716981132</v>
      </c>
      <c r="AE46" s="16"/>
      <c r="AF46" s="16"/>
      <c r="AG46" s="16"/>
      <c r="AH46" s="16"/>
      <c r="AI46" s="16"/>
      <c r="AJ46" s="16"/>
      <c r="AK46" s="16"/>
      <c r="AL46" s="16"/>
      <c r="AM46" s="16"/>
    </row>
    <row r="47" spans="1:39" s="6" customFormat="1" ht="15" customHeight="1" x14ac:dyDescent="0.3">
      <c r="A47" s="5" t="s">
        <v>49</v>
      </c>
      <c r="B47" s="19">
        <v>15</v>
      </c>
      <c r="C47" s="19">
        <v>2</v>
      </c>
      <c r="D47" s="19" t="s">
        <v>188</v>
      </c>
      <c r="E47" s="20">
        <f t="shared" si="4"/>
        <v>0.11764705882352941</v>
      </c>
      <c r="F47" s="19"/>
      <c r="G47" s="19">
        <v>38</v>
      </c>
      <c r="H47" s="19">
        <v>2</v>
      </c>
      <c r="I47" s="19" t="s">
        <v>188</v>
      </c>
      <c r="J47" s="20">
        <f t="shared" si="5"/>
        <v>0.05</v>
      </c>
      <c r="K47" s="19"/>
      <c r="L47" s="14">
        <f t="shared" si="0"/>
        <v>53</v>
      </c>
      <c r="M47" s="14">
        <f t="shared" si="1"/>
        <v>4</v>
      </c>
      <c r="N47" s="19" t="s">
        <v>188</v>
      </c>
      <c r="O47" s="20">
        <f t="shared" si="6"/>
        <v>7.0175438596491224E-2</v>
      </c>
      <c r="P47" s="19"/>
      <c r="Q47" s="19">
        <v>0</v>
      </c>
      <c r="R47" s="19">
        <v>0</v>
      </c>
      <c r="S47" s="19" t="s">
        <v>188</v>
      </c>
      <c r="T47" s="20" t="str">
        <f t="shared" si="7"/>
        <v>-</v>
      </c>
      <c r="U47" s="19"/>
      <c r="V47" s="19">
        <v>8</v>
      </c>
      <c r="W47" s="19">
        <v>8</v>
      </c>
      <c r="X47" s="19" t="s">
        <v>188</v>
      </c>
      <c r="Y47" s="20">
        <f t="shared" si="8"/>
        <v>0.5</v>
      </c>
      <c r="Z47" s="19"/>
      <c r="AA47" s="14">
        <f t="shared" si="2"/>
        <v>61</v>
      </c>
      <c r="AB47" s="14">
        <f t="shared" si="3"/>
        <v>12</v>
      </c>
      <c r="AC47" s="19" t="s">
        <v>188</v>
      </c>
      <c r="AD47" s="20">
        <f t="shared" si="9"/>
        <v>0.16438356164383561</v>
      </c>
      <c r="AE47" s="16"/>
      <c r="AF47" s="16"/>
      <c r="AG47" s="16"/>
      <c r="AH47" s="16"/>
      <c r="AI47" s="16"/>
      <c r="AJ47" s="16"/>
      <c r="AK47" s="16"/>
      <c r="AL47" s="16"/>
      <c r="AM47" s="16"/>
    </row>
    <row r="48" spans="1:39" s="6" customFormat="1" ht="15" customHeight="1" x14ac:dyDescent="0.3">
      <c r="A48" s="5" t="s">
        <v>50</v>
      </c>
      <c r="B48" s="19">
        <v>0</v>
      </c>
      <c r="C48" s="19">
        <v>0</v>
      </c>
      <c r="D48" s="19" t="s">
        <v>188</v>
      </c>
      <c r="E48" s="20" t="str">
        <f t="shared" si="4"/>
        <v>-</v>
      </c>
      <c r="F48" s="19"/>
      <c r="G48" s="19">
        <v>0</v>
      </c>
      <c r="H48" s="19">
        <v>0</v>
      </c>
      <c r="I48" s="19" t="s">
        <v>188</v>
      </c>
      <c r="J48" s="20" t="str">
        <f t="shared" si="5"/>
        <v>-</v>
      </c>
      <c r="K48" s="19"/>
      <c r="L48" s="14">
        <f t="shared" si="0"/>
        <v>0</v>
      </c>
      <c r="M48" s="14">
        <f t="shared" si="1"/>
        <v>0</v>
      </c>
      <c r="N48" s="19" t="s">
        <v>188</v>
      </c>
      <c r="O48" s="20" t="str">
        <f t="shared" si="6"/>
        <v>-</v>
      </c>
      <c r="P48" s="19"/>
      <c r="Q48" s="19">
        <v>0</v>
      </c>
      <c r="R48" s="19">
        <v>0</v>
      </c>
      <c r="S48" s="19" t="s">
        <v>188</v>
      </c>
      <c r="T48" s="20" t="str">
        <f t="shared" si="7"/>
        <v>-</v>
      </c>
      <c r="U48" s="19"/>
      <c r="V48" s="19">
        <v>0</v>
      </c>
      <c r="W48" s="19">
        <v>0</v>
      </c>
      <c r="X48" s="19" t="s">
        <v>188</v>
      </c>
      <c r="Y48" s="20" t="str">
        <f t="shared" si="8"/>
        <v>-</v>
      </c>
      <c r="Z48" s="19"/>
      <c r="AA48" s="14">
        <f t="shared" si="2"/>
        <v>0</v>
      </c>
      <c r="AB48" s="14">
        <f t="shared" si="3"/>
        <v>0</v>
      </c>
      <c r="AC48" s="19" t="s">
        <v>188</v>
      </c>
      <c r="AD48" s="20" t="str">
        <f t="shared" si="9"/>
        <v>-</v>
      </c>
      <c r="AE48" s="16"/>
      <c r="AF48" s="16"/>
      <c r="AG48" s="16"/>
      <c r="AH48" s="16"/>
      <c r="AI48" s="16"/>
      <c r="AJ48" s="16"/>
      <c r="AK48" s="16"/>
      <c r="AL48" s="16"/>
      <c r="AM48" s="16"/>
    </row>
    <row r="49" spans="1:39" s="6" customFormat="1" ht="15" customHeight="1" x14ac:dyDescent="0.3">
      <c r="A49" s="22" t="s">
        <v>51</v>
      </c>
      <c r="B49" s="14">
        <f>SUM(B50:B56)</f>
        <v>138</v>
      </c>
      <c r="C49" s="14">
        <f>SUM(C50:C56)</f>
        <v>21</v>
      </c>
      <c r="D49" s="19" t="s">
        <v>188</v>
      </c>
      <c r="E49" s="15">
        <f t="shared" si="4"/>
        <v>0.13207547169811321</v>
      </c>
      <c r="F49" s="14"/>
      <c r="G49" s="14">
        <f>SUM(G50:G56)</f>
        <v>13</v>
      </c>
      <c r="H49" s="14">
        <f>SUM(H50:H56)</f>
        <v>3</v>
      </c>
      <c r="I49" s="19" t="s">
        <v>188</v>
      </c>
      <c r="J49" s="15">
        <f t="shared" si="5"/>
        <v>0.1875</v>
      </c>
      <c r="K49" s="14"/>
      <c r="L49" s="14">
        <f t="shared" si="0"/>
        <v>151</v>
      </c>
      <c r="M49" s="14">
        <f t="shared" si="1"/>
        <v>24</v>
      </c>
      <c r="N49" s="19" t="s">
        <v>188</v>
      </c>
      <c r="O49" s="15">
        <f t="shared" si="6"/>
        <v>0.13714285714285715</v>
      </c>
      <c r="P49" s="14"/>
      <c r="Q49" s="14">
        <f>SUM(Q50:Q56)</f>
        <v>8</v>
      </c>
      <c r="R49" s="14">
        <f>SUM(R50:R56)</f>
        <v>17</v>
      </c>
      <c r="S49" s="19" t="s">
        <v>188</v>
      </c>
      <c r="T49" s="15">
        <f t="shared" si="7"/>
        <v>0.68</v>
      </c>
      <c r="U49" s="14"/>
      <c r="V49" s="14">
        <f>SUM(V50:V56)</f>
        <v>88</v>
      </c>
      <c r="W49" s="14">
        <f>SUM(W50:W56)</f>
        <v>109</v>
      </c>
      <c r="X49" s="19" t="s">
        <v>188</v>
      </c>
      <c r="Y49" s="15">
        <f t="shared" si="8"/>
        <v>0.5532994923857868</v>
      </c>
      <c r="Z49" s="14"/>
      <c r="AA49" s="14">
        <f t="shared" si="2"/>
        <v>247</v>
      </c>
      <c r="AB49" s="14">
        <f t="shared" si="3"/>
        <v>150</v>
      </c>
      <c r="AC49" s="19" t="s">
        <v>188</v>
      </c>
      <c r="AD49" s="15">
        <f t="shared" si="9"/>
        <v>0.37783375314861462</v>
      </c>
      <c r="AE49" s="16"/>
      <c r="AF49" s="16"/>
      <c r="AG49" s="16"/>
      <c r="AH49" s="16"/>
      <c r="AI49" s="16"/>
      <c r="AJ49" s="16"/>
      <c r="AK49" s="16"/>
      <c r="AL49" s="16"/>
      <c r="AM49" s="16"/>
    </row>
    <row r="50" spans="1:39" s="6" customFormat="1" ht="15" customHeight="1" x14ac:dyDescent="0.3">
      <c r="A50" s="5" t="s">
        <v>52</v>
      </c>
      <c r="B50" s="19">
        <v>12</v>
      </c>
      <c r="C50" s="19">
        <v>5</v>
      </c>
      <c r="D50" s="19" t="s">
        <v>188</v>
      </c>
      <c r="E50" s="20">
        <f t="shared" si="4"/>
        <v>0.29411764705882354</v>
      </c>
      <c r="F50" s="19"/>
      <c r="G50" s="19">
        <v>1</v>
      </c>
      <c r="H50" s="19">
        <v>0</v>
      </c>
      <c r="I50" s="19" t="s">
        <v>188</v>
      </c>
      <c r="J50" s="20">
        <f t="shared" si="5"/>
        <v>0</v>
      </c>
      <c r="K50" s="19"/>
      <c r="L50" s="14">
        <f t="shared" si="0"/>
        <v>13</v>
      </c>
      <c r="M50" s="14">
        <f t="shared" si="1"/>
        <v>5</v>
      </c>
      <c r="N50" s="19" t="s">
        <v>188</v>
      </c>
      <c r="O50" s="20">
        <f t="shared" si="6"/>
        <v>0.27777777777777779</v>
      </c>
      <c r="P50" s="19"/>
      <c r="Q50" s="19">
        <v>0</v>
      </c>
      <c r="R50" s="19">
        <v>0</v>
      </c>
      <c r="S50" s="19" t="s">
        <v>188</v>
      </c>
      <c r="T50" s="20" t="str">
        <f t="shared" si="7"/>
        <v>-</v>
      </c>
      <c r="U50" s="19"/>
      <c r="V50" s="19">
        <v>26</v>
      </c>
      <c r="W50" s="19">
        <v>36</v>
      </c>
      <c r="X50" s="19" t="s">
        <v>188</v>
      </c>
      <c r="Y50" s="20">
        <f t="shared" si="8"/>
        <v>0.58064516129032262</v>
      </c>
      <c r="Z50" s="19"/>
      <c r="AA50" s="14">
        <f t="shared" si="2"/>
        <v>39</v>
      </c>
      <c r="AB50" s="14">
        <f t="shared" si="3"/>
        <v>41</v>
      </c>
      <c r="AC50" s="19" t="s">
        <v>188</v>
      </c>
      <c r="AD50" s="20">
        <f t="shared" si="9"/>
        <v>0.51249999999999996</v>
      </c>
      <c r="AE50" s="16"/>
      <c r="AF50" s="16"/>
      <c r="AG50" s="16"/>
      <c r="AH50" s="16"/>
      <c r="AI50" s="16"/>
      <c r="AJ50" s="16"/>
      <c r="AK50" s="16"/>
      <c r="AL50" s="16"/>
      <c r="AM50" s="16"/>
    </row>
    <row r="51" spans="1:39" s="6" customFormat="1" ht="15" customHeight="1" x14ac:dyDescent="0.3">
      <c r="A51" s="5" t="s">
        <v>53</v>
      </c>
      <c r="B51" s="19">
        <v>12</v>
      </c>
      <c r="C51" s="19">
        <v>5</v>
      </c>
      <c r="D51" s="19" t="s">
        <v>188</v>
      </c>
      <c r="E51" s="20">
        <f t="shared" si="4"/>
        <v>0.29411764705882354</v>
      </c>
      <c r="F51" s="19"/>
      <c r="G51" s="19">
        <v>0</v>
      </c>
      <c r="H51" s="19">
        <v>0</v>
      </c>
      <c r="I51" s="19" t="s">
        <v>188</v>
      </c>
      <c r="J51" s="20" t="str">
        <f t="shared" si="5"/>
        <v>-</v>
      </c>
      <c r="K51" s="19"/>
      <c r="L51" s="14">
        <f t="shared" si="0"/>
        <v>12</v>
      </c>
      <c r="M51" s="14">
        <f t="shared" si="1"/>
        <v>5</v>
      </c>
      <c r="N51" s="19" t="s">
        <v>188</v>
      </c>
      <c r="O51" s="20">
        <f t="shared" si="6"/>
        <v>0.29411764705882354</v>
      </c>
      <c r="P51" s="19"/>
      <c r="Q51" s="19">
        <v>0</v>
      </c>
      <c r="R51" s="19">
        <v>0</v>
      </c>
      <c r="S51" s="19" t="s">
        <v>188</v>
      </c>
      <c r="T51" s="20" t="str">
        <f t="shared" si="7"/>
        <v>-</v>
      </c>
      <c r="U51" s="19"/>
      <c r="V51" s="19">
        <v>13</v>
      </c>
      <c r="W51" s="19">
        <v>14</v>
      </c>
      <c r="X51" s="19" t="s">
        <v>188</v>
      </c>
      <c r="Y51" s="20">
        <f t="shared" si="8"/>
        <v>0.51851851851851849</v>
      </c>
      <c r="Z51" s="19"/>
      <c r="AA51" s="14">
        <f t="shared" si="2"/>
        <v>25</v>
      </c>
      <c r="AB51" s="14">
        <f t="shared" si="3"/>
        <v>19</v>
      </c>
      <c r="AC51" s="19" t="s">
        <v>188</v>
      </c>
      <c r="AD51" s="20">
        <f t="shared" si="9"/>
        <v>0.43181818181818182</v>
      </c>
      <c r="AE51" s="16"/>
      <c r="AF51" s="16"/>
      <c r="AG51" s="16"/>
      <c r="AH51" s="16"/>
      <c r="AI51" s="16"/>
      <c r="AJ51" s="16"/>
      <c r="AK51" s="16"/>
      <c r="AL51" s="16"/>
      <c r="AM51" s="16"/>
    </row>
    <row r="52" spans="1:39" s="6" customFormat="1" ht="15" customHeight="1" x14ac:dyDescent="0.3">
      <c r="A52" s="5" t="s">
        <v>54</v>
      </c>
      <c r="B52" s="19">
        <v>0</v>
      </c>
      <c r="C52" s="19">
        <v>0</v>
      </c>
      <c r="D52" s="19" t="s">
        <v>188</v>
      </c>
      <c r="E52" s="20" t="str">
        <f t="shared" si="4"/>
        <v>-</v>
      </c>
      <c r="F52" s="19"/>
      <c r="G52" s="19">
        <v>0</v>
      </c>
      <c r="H52" s="19">
        <v>0</v>
      </c>
      <c r="I52" s="19" t="s">
        <v>188</v>
      </c>
      <c r="J52" s="20" t="str">
        <f t="shared" si="5"/>
        <v>-</v>
      </c>
      <c r="K52" s="19"/>
      <c r="L52" s="14">
        <f t="shared" si="0"/>
        <v>0</v>
      </c>
      <c r="M52" s="14">
        <f t="shared" si="1"/>
        <v>0</v>
      </c>
      <c r="N52" s="19" t="s">
        <v>188</v>
      </c>
      <c r="O52" s="20" t="str">
        <f t="shared" si="6"/>
        <v>-</v>
      </c>
      <c r="P52" s="19"/>
      <c r="Q52" s="19">
        <v>0</v>
      </c>
      <c r="R52" s="19">
        <v>0</v>
      </c>
      <c r="S52" s="19" t="s">
        <v>188</v>
      </c>
      <c r="T52" s="20" t="str">
        <f t="shared" si="7"/>
        <v>-</v>
      </c>
      <c r="U52" s="19"/>
      <c r="V52" s="19">
        <v>0</v>
      </c>
      <c r="W52" s="19">
        <v>0</v>
      </c>
      <c r="X52" s="19" t="s">
        <v>188</v>
      </c>
      <c r="Y52" s="20" t="str">
        <f t="shared" si="8"/>
        <v>-</v>
      </c>
      <c r="Z52" s="19"/>
      <c r="AA52" s="14">
        <f t="shared" si="2"/>
        <v>0</v>
      </c>
      <c r="AB52" s="14">
        <f t="shared" si="3"/>
        <v>0</v>
      </c>
      <c r="AC52" s="19" t="s">
        <v>188</v>
      </c>
      <c r="AD52" s="20" t="str">
        <f t="shared" si="9"/>
        <v>-</v>
      </c>
      <c r="AE52" s="16"/>
      <c r="AF52" s="16"/>
      <c r="AG52" s="16"/>
      <c r="AH52" s="16"/>
      <c r="AI52" s="16"/>
      <c r="AJ52" s="16"/>
      <c r="AK52" s="16"/>
      <c r="AL52" s="16"/>
      <c r="AM52" s="16"/>
    </row>
    <row r="53" spans="1:39" s="6" customFormat="1" ht="15" customHeight="1" x14ac:dyDescent="0.3">
      <c r="A53" s="2" t="s">
        <v>55</v>
      </c>
      <c r="B53" s="19">
        <v>1</v>
      </c>
      <c r="C53" s="19">
        <v>0</v>
      </c>
      <c r="D53" s="19" t="s">
        <v>188</v>
      </c>
      <c r="E53" s="20">
        <f t="shared" si="4"/>
        <v>0</v>
      </c>
      <c r="F53" s="19"/>
      <c r="G53" s="19">
        <v>0</v>
      </c>
      <c r="H53" s="19">
        <v>0</v>
      </c>
      <c r="I53" s="19" t="s">
        <v>188</v>
      </c>
      <c r="J53" s="20" t="str">
        <f t="shared" si="5"/>
        <v>-</v>
      </c>
      <c r="K53" s="19"/>
      <c r="L53" s="14">
        <f t="shared" si="0"/>
        <v>1</v>
      </c>
      <c r="M53" s="14">
        <f t="shared" si="1"/>
        <v>0</v>
      </c>
      <c r="N53" s="19" t="s">
        <v>188</v>
      </c>
      <c r="O53" s="20">
        <f t="shared" si="6"/>
        <v>0</v>
      </c>
      <c r="P53" s="19"/>
      <c r="Q53" s="19">
        <v>1</v>
      </c>
      <c r="R53" s="19">
        <v>1</v>
      </c>
      <c r="S53" s="19" t="s">
        <v>188</v>
      </c>
      <c r="T53" s="20">
        <f t="shared" si="7"/>
        <v>0.5</v>
      </c>
      <c r="U53" s="19"/>
      <c r="V53" s="19">
        <v>5</v>
      </c>
      <c r="W53" s="19">
        <v>7</v>
      </c>
      <c r="X53" s="19" t="s">
        <v>188</v>
      </c>
      <c r="Y53" s="20">
        <f t="shared" si="8"/>
        <v>0.58333333333333337</v>
      </c>
      <c r="Z53" s="19"/>
      <c r="AA53" s="14">
        <f t="shared" si="2"/>
        <v>7</v>
      </c>
      <c r="AB53" s="14">
        <f t="shared" si="3"/>
        <v>8</v>
      </c>
      <c r="AC53" s="19" t="s">
        <v>188</v>
      </c>
      <c r="AD53" s="20">
        <f t="shared" si="9"/>
        <v>0.53333333333333333</v>
      </c>
      <c r="AE53" s="16"/>
      <c r="AF53" s="16"/>
      <c r="AG53" s="16"/>
      <c r="AH53" s="16"/>
      <c r="AI53" s="16"/>
      <c r="AJ53" s="16"/>
      <c r="AK53" s="16"/>
      <c r="AL53" s="16"/>
      <c r="AM53" s="16"/>
    </row>
    <row r="54" spans="1:39" s="6" customFormat="1" ht="15" customHeight="1" x14ac:dyDescent="0.3">
      <c r="A54" s="2" t="s">
        <v>56</v>
      </c>
      <c r="B54" s="19">
        <v>3</v>
      </c>
      <c r="C54" s="19">
        <v>0</v>
      </c>
      <c r="D54" s="19" t="s">
        <v>188</v>
      </c>
      <c r="E54" s="20">
        <f t="shared" si="4"/>
        <v>0</v>
      </c>
      <c r="F54" s="19"/>
      <c r="G54" s="19">
        <v>0</v>
      </c>
      <c r="H54" s="19">
        <v>0</v>
      </c>
      <c r="I54" s="19" t="s">
        <v>188</v>
      </c>
      <c r="J54" s="20" t="str">
        <f t="shared" si="5"/>
        <v>-</v>
      </c>
      <c r="K54" s="19"/>
      <c r="L54" s="14">
        <f t="shared" si="0"/>
        <v>3</v>
      </c>
      <c r="M54" s="14">
        <f t="shared" si="1"/>
        <v>0</v>
      </c>
      <c r="N54" s="19" t="s">
        <v>188</v>
      </c>
      <c r="O54" s="20">
        <f t="shared" si="6"/>
        <v>0</v>
      </c>
      <c r="P54" s="19"/>
      <c r="Q54" s="19">
        <v>4</v>
      </c>
      <c r="R54" s="19">
        <v>7</v>
      </c>
      <c r="S54" s="19" t="s">
        <v>188</v>
      </c>
      <c r="T54" s="20">
        <f t="shared" si="7"/>
        <v>0.63636363636363635</v>
      </c>
      <c r="U54" s="19"/>
      <c r="V54" s="19">
        <v>8</v>
      </c>
      <c r="W54" s="19">
        <v>3</v>
      </c>
      <c r="X54" s="19" t="s">
        <v>188</v>
      </c>
      <c r="Y54" s="20">
        <f t="shared" si="8"/>
        <v>0.27272727272727271</v>
      </c>
      <c r="Z54" s="19"/>
      <c r="AA54" s="14">
        <f t="shared" si="2"/>
        <v>15</v>
      </c>
      <c r="AB54" s="14">
        <f t="shared" si="3"/>
        <v>10</v>
      </c>
      <c r="AC54" s="19" t="s">
        <v>188</v>
      </c>
      <c r="AD54" s="20">
        <f t="shared" si="9"/>
        <v>0.4</v>
      </c>
      <c r="AE54" s="16"/>
      <c r="AF54" s="16"/>
      <c r="AG54" s="16"/>
      <c r="AH54" s="16"/>
      <c r="AI54" s="16"/>
      <c r="AJ54" s="16"/>
      <c r="AK54" s="16"/>
      <c r="AL54" s="16"/>
      <c r="AM54" s="16"/>
    </row>
    <row r="55" spans="1:39" s="6" customFormat="1" ht="15" customHeight="1" x14ac:dyDescent="0.3">
      <c r="A55" s="2" t="s">
        <v>57</v>
      </c>
      <c r="B55" s="19">
        <v>1</v>
      </c>
      <c r="C55" s="19">
        <v>0</v>
      </c>
      <c r="D55" s="19" t="s">
        <v>188</v>
      </c>
      <c r="E55" s="20">
        <f t="shared" si="4"/>
        <v>0</v>
      </c>
      <c r="F55" s="19"/>
      <c r="G55" s="19">
        <v>12</v>
      </c>
      <c r="H55" s="19">
        <v>3</v>
      </c>
      <c r="I55" s="19" t="s">
        <v>188</v>
      </c>
      <c r="J55" s="20">
        <f t="shared" si="5"/>
        <v>0.2</v>
      </c>
      <c r="K55" s="19"/>
      <c r="L55" s="14">
        <f t="shared" si="0"/>
        <v>13</v>
      </c>
      <c r="M55" s="14">
        <f t="shared" si="1"/>
        <v>3</v>
      </c>
      <c r="N55" s="19" t="s">
        <v>188</v>
      </c>
      <c r="O55" s="20">
        <f t="shared" si="6"/>
        <v>0.1875</v>
      </c>
      <c r="P55" s="19"/>
      <c r="Q55" s="19">
        <v>0</v>
      </c>
      <c r="R55" s="19">
        <v>0</v>
      </c>
      <c r="S55" s="19" t="s">
        <v>188</v>
      </c>
      <c r="T55" s="20" t="str">
        <f t="shared" si="7"/>
        <v>-</v>
      </c>
      <c r="U55" s="19"/>
      <c r="V55" s="19">
        <v>11</v>
      </c>
      <c r="W55" s="19">
        <v>18</v>
      </c>
      <c r="X55" s="19" t="s">
        <v>188</v>
      </c>
      <c r="Y55" s="20">
        <f t="shared" si="8"/>
        <v>0.62068965517241381</v>
      </c>
      <c r="Z55" s="19"/>
      <c r="AA55" s="14">
        <f t="shared" si="2"/>
        <v>24</v>
      </c>
      <c r="AB55" s="14">
        <f t="shared" si="3"/>
        <v>21</v>
      </c>
      <c r="AC55" s="19" t="s">
        <v>188</v>
      </c>
      <c r="AD55" s="20">
        <f t="shared" si="9"/>
        <v>0.46666666666666667</v>
      </c>
      <c r="AE55" s="16"/>
      <c r="AF55" s="16"/>
      <c r="AG55" s="16"/>
      <c r="AH55" s="16"/>
      <c r="AI55" s="16"/>
      <c r="AJ55" s="16"/>
      <c r="AK55" s="16"/>
      <c r="AL55" s="16"/>
      <c r="AM55" s="16"/>
    </row>
    <row r="56" spans="1:39" s="6" customFormat="1" ht="15" customHeight="1" thickBot="1" x14ac:dyDescent="0.35">
      <c r="A56" s="23" t="s">
        <v>58</v>
      </c>
      <c r="B56" s="19">
        <v>109</v>
      </c>
      <c r="C56" s="19">
        <v>11</v>
      </c>
      <c r="D56" s="19" t="s">
        <v>188</v>
      </c>
      <c r="E56" s="20">
        <f t="shared" si="4"/>
        <v>9.166666666666666E-2</v>
      </c>
      <c r="F56" s="24"/>
      <c r="G56" s="19">
        <v>0</v>
      </c>
      <c r="H56" s="19">
        <v>0</v>
      </c>
      <c r="I56" s="19" t="s">
        <v>188</v>
      </c>
      <c r="J56" s="20" t="str">
        <f t="shared" si="5"/>
        <v>-</v>
      </c>
      <c r="K56" s="24"/>
      <c r="L56" s="14">
        <f t="shared" si="0"/>
        <v>109</v>
      </c>
      <c r="M56" s="14">
        <f t="shared" si="1"/>
        <v>11</v>
      </c>
      <c r="N56" s="19" t="s">
        <v>188</v>
      </c>
      <c r="O56" s="20">
        <f t="shared" si="6"/>
        <v>9.166666666666666E-2</v>
      </c>
      <c r="P56" s="24"/>
      <c r="Q56" s="19">
        <v>3</v>
      </c>
      <c r="R56" s="19">
        <v>9</v>
      </c>
      <c r="S56" s="19" t="s">
        <v>188</v>
      </c>
      <c r="T56" s="20">
        <f t="shared" si="7"/>
        <v>0.75</v>
      </c>
      <c r="U56" s="24"/>
      <c r="V56" s="19">
        <v>25</v>
      </c>
      <c r="W56" s="19">
        <v>31</v>
      </c>
      <c r="X56" s="19" t="s">
        <v>188</v>
      </c>
      <c r="Y56" s="20">
        <f t="shared" si="8"/>
        <v>0.5535714285714286</v>
      </c>
      <c r="Z56" s="24"/>
      <c r="AA56" s="14">
        <f t="shared" si="2"/>
        <v>137</v>
      </c>
      <c r="AB56" s="14">
        <f t="shared" si="3"/>
        <v>51</v>
      </c>
      <c r="AC56" s="19" t="s">
        <v>188</v>
      </c>
      <c r="AD56" s="20">
        <f t="shared" si="9"/>
        <v>0.27127659574468083</v>
      </c>
      <c r="AE56" s="16"/>
      <c r="AF56" s="16"/>
      <c r="AG56" s="16"/>
      <c r="AH56" s="16"/>
      <c r="AI56" s="16"/>
      <c r="AJ56" s="16"/>
      <c r="AK56" s="16"/>
      <c r="AL56" s="16"/>
      <c r="AM56" s="16"/>
    </row>
    <row r="57" spans="1:39" s="6" customFormat="1" ht="1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6"/>
      <c r="AF57" s="16"/>
      <c r="AG57" s="16"/>
      <c r="AH57" s="16"/>
      <c r="AI57" s="16"/>
      <c r="AJ57" s="16"/>
      <c r="AK57" s="16"/>
      <c r="AL57" s="16"/>
      <c r="AM57" s="16"/>
    </row>
    <row r="58" spans="1:39" x14ac:dyDescent="0.3">
      <c r="A58" s="107" t="s">
        <v>59</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row>
    <row r="59" spans="1:39" x14ac:dyDescent="0.3">
      <c r="A59" s="27" t="s">
        <v>69</v>
      </c>
      <c r="B59" s="27"/>
      <c r="C59" s="27"/>
      <c r="D59" s="122"/>
      <c r="E59" s="27"/>
      <c r="F59" s="27"/>
      <c r="G59" s="27"/>
      <c r="H59" s="27"/>
      <c r="I59" s="122"/>
      <c r="J59" s="27"/>
      <c r="K59" s="27"/>
      <c r="L59" s="27"/>
      <c r="M59" s="27"/>
      <c r="N59" s="122"/>
      <c r="O59" s="27"/>
      <c r="P59" s="27"/>
      <c r="Q59" s="27"/>
      <c r="R59" s="27"/>
      <c r="S59" s="122"/>
      <c r="T59" s="27"/>
      <c r="U59" s="27"/>
      <c r="V59" s="27"/>
      <c r="W59" s="27"/>
      <c r="X59" s="122"/>
      <c r="Y59" s="27"/>
      <c r="Z59" s="27"/>
      <c r="AA59" s="27"/>
      <c r="AB59" s="27"/>
      <c r="AC59" s="122"/>
      <c r="AD59" s="27"/>
    </row>
    <row r="60" spans="1:39" x14ac:dyDescent="0.3">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row>
    <row r="61" spans="1:39" x14ac:dyDescent="0.3">
      <c r="A61" s="28" t="s">
        <v>60</v>
      </c>
    </row>
    <row r="62" spans="1:39" x14ac:dyDescent="0.3">
      <c r="A62" s="137" t="s">
        <v>61</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row>
    <row r="64" spans="1:39" x14ac:dyDescent="0.3">
      <c r="A64" s="5" t="s">
        <v>62</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0" x14ac:dyDescent="0.3">
      <c r="A65" s="30" t="s">
        <v>63</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7" spans="1:30" x14ac:dyDescent="0.3">
      <c r="A67" s="138" t="s">
        <v>64</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row>
    <row r="68" spans="1:30" x14ac:dyDescent="0.3">
      <c r="A68" s="30"/>
      <c r="AD68" s="6"/>
    </row>
    <row r="69" spans="1:30" x14ac:dyDescent="0.3">
      <c r="A69" s="5" t="s">
        <v>65</v>
      </c>
      <c r="AD69" s="37" t="s">
        <v>66</v>
      </c>
    </row>
    <row r="70" spans="1:30" x14ac:dyDescent="0.3">
      <c r="A70" s="30" t="s">
        <v>67</v>
      </c>
      <c r="AD70" s="31" t="s">
        <v>68</v>
      </c>
    </row>
  </sheetData>
  <mergeCells count="10">
    <mergeCell ref="A60:AD60"/>
    <mergeCell ref="A62:AD62"/>
    <mergeCell ref="A67:AD67"/>
    <mergeCell ref="A1:AD1"/>
    <mergeCell ref="B6:E6"/>
    <mergeCell ref="G6:J6"/>
    <mergeCell ref="L6:O6"/>
    <mergeCell ref="Q6:T6"/>
    <mergeCell ref="V6:Y6"/>
    <mergeCell ref="AA6:AD6"/>
  </mergeCells>
  <hyperlinks>
    <hyperlink ref="A65" r:id="rId1" xr:uid="{00000000-0004-0000-0000-000000000000}"/>
    <hyperlink ref="A70" r:id="rId2" xr:uid="{00000000-0004-0000-0000-000001000000}"/>
    <hyperlink ref="AD69" r:id="rId3" xr:uid="{00000000-0004-0000-0000-000002000000}"/>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AN70"/>
  <sheetViews>
    <sheetView workbookViewId="0">
      <selection activeCell="J12" sqref="J12"/>
    </sheetView>
  </sheetViews>
  <sheetFormatPr defaultColWidth="9.21875" defaultRowHeight="14.4" x14ac:dyDescent="0.3"/>
  <cols>
    <col min="1" max="1" width="50.77734375" style="5" customWidth="1"/>
    <col min="2" max="4" width="8.77734375" style="5" customWidth="1"/>
    <col min="5" max="5" width="12.77734375" style="5" customWidth="1"/>
    <col min="6" max="6" width="2.77734375" style="5" customWidth="1"/>
    <col min="7" max="9" width="8.77734375" style="5" customWidth="1"/>
    <col min="10" max="10" width="12.77734375" style="5" customWidth="1"/>
    <col min="11" max="11" width="2.77734375" style="5" customWidth="1"/>
    <col min="12" max="14" width="8.77734375" style="5" customWidth="1"/>
    <col min="15" max="15" width="12.77734375" style="5" customWidth="1"/>
    <col min="16" max="16" width="7.77734375" style="5" customWidth="1"/>
    <col min="17" max="19" width="8.77734375" style="5" customWidth="1"/>
    <col min="20" max="20" width="12.77734375" style="5" customWidth="1"/>
    <col min="21" max="21" width="2.77734375" style="5" customWidth="1"/>
    <col min="22" max="24" width="8.77734375" style="5" customWidth="1"/>
    <col min="25" max="25" width="12.77734375" style="5" customWidth="1"/>
    <col min="26" max="26" width="2.77734375" style="5" customWidth="1"/>
    <col min="27" max="29" width="8.77734375" style="5" customWidth="1"/>
    <col min="30" max="30" width="12.77734375" style="5" customWidth="1"/>
    <col min="31" max="16384" width="9.21875" style="5"/>
  </cols>
  <sheetData>
    <row r="1" spans="1:40" s="1" customFormat="1" ht="23.25" customHeight="1" x14ac:dyDescent="0.45">
      <c r="A1" s="139" t="s">
        <v>71</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40" s="4" customFormat="1" x14ac:dyDescent="0.3">
      <c r="A2" s="2"/>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35">
      <c r="A6" s="5"/>
      <c r="B6" s="140" t="s">
        <v>1</v>
      </c>
      <c r="C6" s="140"/>
      <c r="D6" s="140"/>
      <c r="E6" s="140"/>
      <c r="F6" s="3"/>
      <c r="G6" s="140" t="s">
        <v>70</v>
      </c>
      <c r="H6" s="140"/>
      <c r="I6" s="140"/>
      <c r="J6" s="140"/>
      <c r="K6" s="3"/>
      <c r="L6" s="141" t="s">
        <v>2</v>
      </c>
      <c r="M6" s="141"/>
      <c r="N6" s="141"/>
      <c r="O6" s="141"/>
      <c r="P6" s="3"/>
      <c r="Q6" s="140" t="s">
        <v>3</v>
      </c>
      <c r="R6" s="140"/>
      <c r="S6" s="140"/>
      <c r="T6" s="140"/>
      <c r="U6" s="3"/>
      <c r="V6" s="140" t="s">
        <v>4</v>
      </c>
      <c r="W6" s="140"/>
      <c r="X6" s="140"/>
      <c r="Y6" s="140"/>
      <c r="Z6" s="3"/>
      <c r="AA6" s="141" t="s">
        <v>5</v>
      </c>
      <c r="AB6" s="141"/>
      <c r="AC6" s="141"/>
      <c r="AD6" s="141"/>
    </row>
    <row r="7" spans="1:40" s="12" customFormat="1" ht="43.8" thickBot="1" x14ac:dyDescent="0.35">
      <c r="A7" s="7" t="s">
        <v>6</v>
      </c>
      <c r="B7" s="35" t="s">
        <v>7</v>
      </c>
      <c r="C7" s="35" t="s">
        <v>8</v>
      </c>
      <c r="D7" s="123" t="s">
        <v>182</v>
      </c>
      <c r="E7" s="9" t="s">
        <v>9</v>
      </c>
      <c r="F7" s="35"/>
      <c r="G7" s="35" t="s">
        <v>7</v>
      </c>
      <c r="H7" s="35" t="s">
        <v>8</v>
      </c>
      <c r="I7" s="123" t="s">
        <v>182</v>
      </c>
      <c r="J7" s="9" t="s">
        <v>9</v>
      </c>
      <c r="K7" s="35"/>
      <c r="L7" s="36" t="s">
        <v>7</v>
      </c>
      <c r="M7" s="36" t="s">
        <v>8</v>
      </c>
      <c r="N7" s="124" t="s">
        <v>182</v>
      </c>
      <c r="O7" s="11" t="s">
        <v>9</v>
      </c>
      <c r="P7" s="35"/>
      <c r="Q7" s="35" t="s">
        <v>7</v>
      </c>
      <c r="R7" s="35" t="s">
        <v>8</v>
      </c>
      <c r="S7" s="123" t="s">
        <v>182</v>
      </c>
      <c r="T7" s="9" t="s">
        <v>9</v>
      </c>
      <c r="U7" s="35"/>
      <c r="V7" s="35" t="s">
        <v>7</v>
      </c>
      <c r="W7" s="35" t="s">
        <v>8</v>
      </c>
      <c r="X7" s="123" t="s">
        <v>182</v>
      </c>
      <c r="Y7" s="9" t="s">
        <v>9</v>
      </c>
      <c r="Z7" s="35"/>
      <c r="AA7" s="36" t="s">
        <v>7</v>
      </c>
      <c r="AB7" s="36" t="s">
        <v>8</v>
      </c>
      <c r="AC7" s="124" t="s">
        <v>182</v>
      </c>
      <c r="AD7" s="11" t="s">
        <v>9</v>
      </c>
    </row>
    <row r="8" spans="1:40" s="6" customFormat="1" ht="15" customHeight="1" x14ac:dyDescent="0.3">
      <c r="A8" s="13" t="s">
        <v>10</v>
      </c>
      <c r="B8" s="14">
        <f>B9+B49</f>
        <v>953</v>
      </c>
      <c r="C8" s="14">
        <f>C9+C49</f>
        <v>153</v>
      </c>
      <c r="D8" s="14" t="s">
        <v>188</v>
      </c>
      <c r="E8" s="15">
        <f>IF(B8+C8=0,"-",(C8/(B8+C8)))</f>
        <v>0.13833634719710669</v>
      </c>
      <c r="F8" s="14"/>
      <c r="G8" s="14">
        <f>G9+G49</f>
        <v>1387</v>
      </c>
      <c r="H8" s="14">
        <f>H9+H49</f>
        <v>121</v>
      </c>
      <c r="I8" s="14" t="s">
        <v>188</v>
      </c>
      <c r="J8" s="15">
        <f>IF(G8+H8=0,"-",(H8/(G8+H8)))</f>
        <v>8.0238726790450923E-2</v>
      </c>
      <c r="K8" s="14"/>
      <c r="L8" s="14">
        <f>L9+L49</f>
        <v>2340</v>
      </c>
      <c r="M8" s="14">
        <f>M9+M49</f>
        <v>274</v>
      </c>
      <c r="N8" s="14" t="s">
        <v>188</v>
      </c>
      <c r="O8" s="15">
        <f>IF(L8+M8=0,"-",(M8/(L8+M8)))</f>
        <v>0.10482019892884469</v>
      </c>
      <c r="P8" s="14"/>
      <c r="Q8" s="14">
        <f>Q9+Q49</f>
        <v>45</v>
      </c>
      <c r="R8" s="14">
        <f>R9+R49</f>
        <v>79</v>
      </c>
      <c r="S8" s="14" t="s">
        <v>188</v>
      </c>
      <c r="T8" s="15">
        <f>IF(Q8+R8=0,"-",(R8/(Q8+R8)))</f>
        <v>0.63709677419354838</v>
      </c>
      <c r="U8" s="14"/>
      <c r="V8" s="14">
        <f>V9+V49</f>
        <v>476</v>
      </c>
      <c r="W8" s="14">
        <f>W9+W49</f>
        <v>553</v>
      </c>
      <c r="X8" s="14" t="s">
        <v>188</v>
      </c>
      <c r="Y8" s="15">
        <f>IF(V8+W8=0,"-",(W8/(V8+W8)))</f>
        <v>0.5374149659863946</v>
      </c>
      <c r="Z8" s="14"/>
      <c r="AA8" s="14">
        <f>AA9+AA49</f>
        <v>2861</v>
      </c>
      <c r="AB8" s="14">
        <f>AB9+AB49</f>
        <v>906</v>
      </c>
      <c r="AC8" s="14" t="s">
        <v>188</v>
      </c>
      <c r="AD8" s="15">
        <f>IF(AA8+AB8=0,"-",(AB8/(AA8+AB8)))</f>
        <v>0.24050968940801698</v>
      </c>
      <c r="AE8" s="16"/>
      <c r="AF8" s="16"/>
      <c r="AG8" s="16"/>
      <c r="AH8" s="16"/>
      <c r="AI8" s="16"/>
      <c r="AJ8" s="16"/>
      <c r="AK8" s="16"/>
      <c r="AL8" s="16"/>
      <c r="AM8" s="16"/>
      <c r="AN8" s="17"/>
    </row>
    <row r="9" spans="1:40" s="6" customFormat="1" ht="15" customHeight="1" x14ac:dyDescent="0.3">
      <c r="A9" s="18" t="s">
        <v>11</v>
      </c>
      <c r="B9" s="14">
        <f>SUM(B10:B48)</f>
        <v>579</v>
      </c>
      <c r="C9" s="14">
        <f>SUM(C10:C48)</f>
        <v>87</v>
      </c>
      <c r="D9" s="14" t="s">
        <v>188</v>
      </c>
      <c r="E9" s="15">
        <f>IF(B9+C9=0,"-",(C9/(B9+C9)))</f>
        <v>0.13063063063063063</v>
      </c>
      <c r="F9" s="14"/>
      <c r="G9" s="14">
        <f>SUM(G10:G48)</f>
        <v>1338</v>
      </c>
      <c r="H9" s="14">
        <f>SUM(H10:H48)</f>
        <v>115</v>
      </c>
      <c r="I9" s="14" t="s">
        <v>188</v>
      </c>
      <c r="J9" s="15">
        <f>IF(G9+H9=0,"-",(H9/(G9+H9)))</f>
        <v>7.9146593255333797E-2</v>
      </c>
      <c r="K9" s="14"/>
      <c r="L9" s="14">
        <f>SUM(L10:L48)</f>
        <v>1917</v>
      </c>
      <c r="M9" s="14">
        <f>SUM(M10:M48)</f>
        <v>202</v>
      </c>
      <c r="N9" s="14" t="s">
        <v>188</v>
      </c>
      <c r="O9" s="15">
        <f>IF(L9+M9=0,"-",(M9/(L9+M9)))</f>
        <v>9.5327984898537041E-2</v>
      </c>
      <c r="P9" s="14"/>
      <c r="Q9" s="14">
        <f>SUM(Q10:Q48)</f>
        <v>36</v>
      </c>
      <c r="R9" s="14">
        <f>SUM(R10:R48)</f>
        <v>55</v>
      </c>
      <c r="S9" s="14" t="s">
        <v>188</v>
      </c>
      <c r="T9" s="15">
        <f>IF(Q9+R9=0,"-",(R9/(Q9+R9)))</f>
        <v>0.60439560439560436</v>
      </c>
      <c r="U9" s="14"/>
      <c r="V9" s="14">
        <f>SUM(V10:V48)</f>
        <v>329</v>
      </c>
      <c r="W9" s="14">
        <f>SUM(W10:W48)</f>
        <v>398</v>
      </c>
      <c r="X9" s="14" t="s">
        <v>188</v>
      </c>
      <c r="Y9" s="15">
        <f>IF(V9+W9=0,"-",(W9/(V9+W9)))</f>
        <v>0.54745529573590102</v>
      </c>
      <c r="Z9" s="14"/>
      <c r="AA9" s="14">
        <f>SUM(AA10:AA48)</f>
        <v>2282</v>
      </c>
      <c r="AB9" s="14">
        <f>SUM(AB10:AB48)</f>
        <v>655</v>
      </c>
      <c r="AC9" s="14" t="s">
        <v>188</v>
      </c>
      <c r="AD9" s="15">
        <f>IF(AA9+AB9=0,"-",(AB9/(AA9+AB9)))</f>
        <v>0.22301668369084099</v>
      </c>
      <c r="AE9" s="16"/>
      <c r="AF9" s="16"/>
      <c r="AG9" s="16"/>
      <c r="AH9" s="16"/>
      <c r="AI9" s="16"/>
      <c r="AJ9" s="16"/>
      <c r="AK9" s="16"/>
      <c r="AL9" s="16"/>
      <c r="AM9" s="16"/>
    </row>
    <row r="10" spans="1:40" s="6" customFormat="1" ht="15" customHeight="1" x14ac:dyDescent="0.3">
      <c r="A10" s="5" t="s">
        <v>12</v>
      </c>
      <c r="B10" s="19">
        <v>23</v>
      </c>
      <c r="C10" s="19">
        <v>2</v>
      </c>
      <c r="D10" s="19" t="s">
        <v>188</v>
      </c>
      <c r="E10" s="20">
        <f>IF(B10+C10=0,"-",(C10/(B10+C10)))</f>
        <v>0.08</v>
      </c>
      <c r="F10" s="19"/>
      <c r="G10" s="19">
        <v>26</v>
      </c>
      <c r="H10" s="19">
        <v>4</v>
      </c>
      <c r="I10" s="19" t="s">
        <v>188</v>
      </c>
      <c r="J10" s="20">
        <f>IF(G10+H10=0,"-",(H10/(G10+H10)))</f>
        <v>0.13333333333333333</v>
      </c>
      <c r="K10" s="19"/>
      <c r="L10" s="14">
        <f>B10+G10</f>
        <v>49</v>
      </c>
      <c r="M10" s="14">
        <f>C10+H10</f>
        <v>6</v>
      </c>
      <c r="N10" s="19" t="s">
        <v>188</v>
      </c>
      <c r="O10" s="20">
        <f>IF(L10+M10=0,"-",(M10/(L10+M10)))</f>
        <v>0.10909090909090909</v>
      </c>
      <c r="P10" s="19"/>
      <c r="Q10" s="19">
        <v>2</v>
      </c>
      <c r="R10" s="19">
        <v>0</v>
      </c>
      <c r="S10" s="19" t="s">
        <v>188</v>
      </c>
      <c r="T10" s="20">
        <f>IF(Q10+R10=0,"-",(R10/(Q10+R10)))</f>
        <v>0</v>
      </c>
      <c r="U10" s="19"/>
      <c r="V10" s="19">
        <v>11</v>
      </c>
      <c r="W10" s="19">
        <v>13</v>
      </c>
      <c r="X10" s="19" t="s">
        <v>188</v>
      </c>
      <c r="Y10" s="20">
        <f>IF(V10+W10=0,"-",(W10/(V10+W10)))</f>
        <v>0.54166666666666663</v>
      </c>
      <c r="Z10" s="19"/>
      <c r="AA10" s="14">
        <f>L10+Q10+V10</f>
        <v>62</v>
      </c>
      <c r="AB10" s="14">
        <f>M10+R10+W10</f>
        <v>19</v>
      </c>
      <c r="AC10" s="19" t="s">
        <v>188</v>
      </c>
      <c r="AD10" s="20">
        <f>IF(AA10+AB10=0,"-",(AB10/(AA10+AB10)))</f>
        <v>0.23456790123456789</v>
      </c>
      <c r="AE10" s="16"/>
      <c r="AF10" s="16"/>
      <c r="AG10" s="16"/>
      <c r="AH10" s="16"/>
      <c r="AI10" s="16"/>
      <c r="AJ10" s="16"/>
      <c r="AK10" s="16"/>
      <c r="AL10" s="16"/>
      <c r="AM10" s="16"/>
    </row>
    <row r="11" spans="1:40" s="6" customFormat="1" ht="15" customHeight="1" x14ac:dyDescent="0.3">
      <c r="A11" s="5" t="s">
        <v>13</v>
      </c>
      <c r="B11" s="19">
        <v>23</v>
      </c>
      <c r="C11" s="19">
        <v>2</v>
      </c>
      <c r="D11" s="19" t="s">
        <v>188</v>
      </c>
      <c r="E11" s="20">
        <f t="shared" ref="E11:E56" si="0">IF(B11+C11=0,"-",(C11/(B11+C11)))</f>
        <v>0.08</v>
      </c>
      <c r="F11" s="19"/>
      <c r="G11" s="19">
        <v>29</v>
      </c>
      <c r="H11" s="19">
        <v>4</v>
      </c>
      <c r="I11" s="19" t="s">
        <v>188</v>
      </c>
      <c r="J11" s="20">
        <f t="shared" ref="J11:J56" si="1">IF(G11+H11=0,"-",(H11/(G11+H11)))</f>
        <v>0.12121212121212122</v>
      </c>
      <c r="K11" s="19"/>
      <c r="L11" s="14">
        <f t="shared" ref="L11:L56" si="2">B11+G11</f>
        <v>52</v>
      </c>
      <c r="M11" s="14">
        <f t="shared" ref="M11:M56" si="3">C11+H11</f>
        <v>6</v>
      </c>
      <c r="N11" s="19" t="s">
        <v>188</v>
      </c>
      <c r="O11" s="20">
        <f t="shared" ref="O11:O56" si="4">IF(L11+M11=0,"-",(M11/(L11+M11)))</f>
        <v>0.10344827586206896</v>
      </c>
      <c r="P11" s="19"/>
      <c r="Q11" s="19">
        <v>0</v>
      </c>
      <c r="R11" s="19">
        <v>0</v>
      </c>
      <c r="S11" s="19" t="s">
        <v>188</v>
      </c>
      <c r="T11" s="20" t="str">
        <f t="shared" ref="T11:T56" si="5">IF(Q11+R11=0,"-",(R11/(Q11+R11)))</f>
        <v>-</v>
      </c>
      <c r="U11" s="19"/>
      <c r="V11" s="19">
        <v>7</v>
      </c>
      <c r="W11" s="19">
        <v>19</v>
      </c>
      <c r="X11" s="19" t="s">
        <v>188</v>
      </c>
      <c r="Y11" s="20">
        <f t="shared" ref="Y11:Y56" si="6">IF(V11+W11=0,"-",(W11/(V11+W11)))</f>
        <v>0.73076923076923073</v>
      </c>
      <c r="Z11" s="19"/>
      <c r="AA11" s="14">
        <f t="shared" ref="AA11:AA56" si="7">L11+Q11+V11</f>
        <v>59</v>
      </c>
      <c r="AB11" s="14">
        <f t="shared" ref="AB11:AB56" si="8">M11+R11+W11</f>
        <v>25</v>
      </c>
      <c r="AC11" s="19" t="s">
        <v>188</v>
      </c>
      <c r="AD11" s="20">
        <f t="shared" ref="AD11:AD56" si="9">IF(AA11+AB11=0,"-",(AB11/(AA11+AB11)))</f>
        <v>0.29761904761904762</v>
      </c>
      <c r="AE11" s="16"/>
      <c r="AF11" s="16"/>
      <c r="AG11" s="16"/>
      <c r="AH11" s="16"/>
      <c r="AI11" s="16"/>
      <c r="AJ11" s="16"/>
      <c r="AK11" s="16"/>
      <c r="AL11" s="16"/>
      <c r="AM11" s="16"/>
    </row>
    <row r="12" spans="1:40" s="6" customFormat="1" ht="15" customHeight="1" x14ac:dyDescent="0.3">
      <c r="A12" s="5" t="s">
        <v>14</v>
      </c>
      <c r="B12" s="19">
        <v>18</v>
      </c>
      <c r="C12" s="19">
        <v>3</v>
      </c>
      <c r="D12" s="19" t="s">
        <v>188</v>
      </c>
      <c r="E12" s="20">
        <f t="shared" si="0"/>
        <v>0.14285714285714285</v>
      </c>
      <c r="F12" s="19"/>
      <c r="G12" s="19">
        <v>20</v>
      </c>
      <c r="H12" s="19">
        <v>0</v>
      </c>
      <c r="I12" s="19" t="s">
        <v>188</v>
      </c>
      <c r="J12" s="20">
        <f t="shared" si="1"/>
        <v>0</v>
      </c>
      <c r="K12" s="19"/>
      <c r="L12" s="14">
        <f t="shared" si="2"/>
        <v>38</v>
      </c>
      <c r="M12" s="14">
        <f t="shared" si="3"/>
        <v>3</v>
      </c>
      <c r="N12" s="19" t="s">
        <v>188</v>
      </c>
      <c r="O12" s="20">
        <f t="shared" si="4"/>
        <v>7.3170731707317069E-2</v>
      </c>
      <c r="P12" s="19"/>
      <c r="Q12" s="19">
        <v>2</v>
      </c>
      <c r="R12" s="19">
        <v>7</v>
      </c>
      <c r="S12" s="19" t="s">
        <v>188</v>
      </c>
      <c r="T12" s="20">
        <f t="shared" si="5"/>
        <v>0.77777777777777779</v>
      </c>
      <c r="U12" s="19"/>
      <c r="V12" s="19">
        <v>19</v>
      </c>
      <c r="W12" s="19">
        <v>23</v>
      </c>
      <c r="X12" s="19" t="s">
        <v>188</v>
      </c>
      <c r="Y12" s="20">
        <f t="shared" si="6"/>
        <v>0.54761904761904767</v>
      </c>
      <c r="Z12" s="19"/>
      <c r="AA12" s="14">
        <f t="shared" si="7"/>
        <v>59</v>
      </c>
      <c r="AB12" s="14">
        <f t="shared" si="8"/>
        <v>33</v>
      </c>
      <c r="AC12" s="19" t="s">
        <v>188</v>
      </c>
      <c r="AD12" s="20">
        <f t="shared" si="9"/>
        <v>0.35869565217391303</v>
      </c>
      <c r="AE12" s="16"/>
      <c r="AF12" s="16"/>
      <c r="AG12" s="16"/>
      <c r="AH12" s="16"/>
      <c r="AI12" s="16"/>
      <c r="AJ12" s="16"/>
      <c r="AK12" s="16"/>
      <c r="AL12" s="16"/>
      <c r="AM12" s="16"/>
    </row>
    <row r="13" spans="1:40" s="6" customFormat="1" ht="15" customHeight="1" x14ac:dyDescent="0.3">
      <c r="A13" s="5" t="s">
        <v>15</v>
      </c>
      <c r="B13" s="19">
        <v>10</v>
      </c>
      <c r="C13" s="19">
        <v>1</v>
      </c>
      <c r="D13" s="19" t="s">
        <v>188</v>
      </c>
      <c r="E13" s="20">
        <f t="shared" si="0"/>
        <v>9.0909090909090912E-2</v>
      </c>
      <c r="F13" s="19"/>
      <c r="G13" s="19">
        <v>18</v>
      </c>
      <c r="H13" s="19">
        <v>2</v>
      </c>
      <c r="I13" s="19" t="s">
        <v>188</v>
      </c>
      <c r="J13" s="20">
        <f t="shared" si="1"/>
        <v>0.1</v>
      </c>
      <c r="K13" s="19"/>
      <c r="L13" s="14">
        <f t="shared" si="2"/>
        <v>28</v>
      </c>
      <c r="M13" s="14">
        <f t="shared" si="3"/>
        <v>3</v>
      </c>
      <c r="N13" s="19" t="s">
        <v>188</v>
      </c>
      <c r="O13" s="20">
        <f t="shared" si="4"/>
        <v>9.6774193548387094E-2</v>
      </c>
      <c r="P13" s="19"/>
      <c r="Q13" s="19">
        <v>0</v>
      </c>
      <c r="R13" s="19">
        <v>0</v>
      </c>
      <c r="S13" s="19" t="s">
        <v>188</v>
      </c>
      <c r="T13" s="20" t="str">
        <f t="shared" si="5"/>
        <v>-</v>
      </c>
      <c r="U13" s="19"/>
      <c r="V13" s="19">
        <v>4</v>
      </c>
      <c r="W13" s="19">
        <v>9</v>
      </c>
      <c r="X13" s="19" t="s">
        <v>188</v>
      </c>
      <c r="Y13" s="20">
        <f t="shared" si="6"/>
        <v>0.69230769230769229</v>
      </c>
      <c r="Z13" s="19"/>
      <c r="AA13" s="14">
        <f t="shared" si="7"/>
        <v>32</v>
      </c>
      <c r="AB13" s="14">
        <f t="shared" si="8"/>
        <v>12</v>
      </c>
      <c r="AC13" s="19" t="s">
        <v>188</v>
      </c>
      <c r="AD13" s="20">
        <f t="shared" si="9"/>
        <v>0.27272727272727271</v>
      </c>
      <c r="AE13" s="16"/>
      <c r="AF13" s="16"/>
      <c r="AG13" s="16"/>
      <c r="AH13" s="16"/>
      <c r="AI13" s="16"/>
      <c r="AJ13" s="16"/>
      <c r="AK13" s="16"/>
      <c r="AL13" s="16"/>
      <c r="AM13" s="16"/>
    </row>
    <row r="14" spans="1:40" s="6" customFormat="1" ht="15" customHeight="1" x14ac:dyDescent="0.3">
      <c r="A14" s="5" t="s">
        <v>16</v>
      </c>
      <c r="B14" s="19">
        <v>7</v>
      </c>
      <c r="C14" s="19">
        <v>0</v>
      </c>
      <c r="D14" s="19" t="s">
        <v>188</v>
      </c>
      <c r="E14" s="20">
        <f t="shared" si="0"/>
        <v>0</v>
      </c>
      <c r="F14" s="19"/>
      <c r="G14" s="19">
        <v>27</v>
      </c>
      <c r="H14" s="19">
        <v>3</v>
      </c>
      <c r="I14" s="19" t="s">
        <v>188</v>
      </c>
      <c r="J14" s="20">
        <f t="shared" si="1"/>
        <v>0.1</v>
      </c>
      <c r="K14" s="19"/>
      <c r="L14" s="14">
        <f t="shared" si="2"/>
        <v>34</v>
      </c>
      <c r="M14" s="14">
        <f t="shared" si="3"/>
        <v>3</v>
      </c>
      <c r="N14" s="19" t="s">
        <v>188</v>
      </c>
      <c r="O14" s="20">
        <f t="shared" si="4"/>
        <v>8.1081081081081086E-2</v>
      </c>
      <c r="P14" s="19"/>
      <c r="Q14" s="19">
        <v>5</v>
      </c>
      <c r="R14" s="19">
        <v>4</v>
      </c>
      <c r="S14" s="19" t="s">
        <v>188</v>
      </c>
      <c r="T14" s="20">
        <f t="shared" si="5"/>
        <v>0.44444444444444442</v>
      </c>
      <c r="U14" s="19"/>
      <c r="V14" s="19">
        <v>12</v>
      </c>
      <c r="W14" s="19">
        <v>12</v>
      </c>
      <c r="X14" s="19" t="s">
        <v>188</v>
      </c>
      <c r="Y14" s="20">
        <f t="shared" si="6"/>
        <v>0.5</v>
      </c>
      <c r="Z14" s="19"/>
      <c r="AA14" s="14">
        <f t="shared" si="7"/>
        <v>51</v>
      </c>
      <c r="AB14" s="14">
        <f t="shared" si="8"/>
        <v>19</v>
      </c>
      <c r="AC14" s="19" t="s">
        <v>188</v>
      </c>
      <c r="AD14" s="20">
        <f t="shared" si="9"/>
        <v>0.27142857142857141</v>
      </c>
      <c r="AE14" s="16"/>
      <c r="AF14" s="16"/>
      <c r="AG14" s="16"/>
      <c r="AH14" s="16"/>
      <c r="AI14" s="16"/>
      <c r="AJ14" s="16"/>
      <c r="AK14" s="16"/>
      <c r="AL14" s="16"/>
      <c r="AM14" s="16"/>
    </row>
    <row r="15" spans="1:40" s="6" customFormat="1" ht="15" customHeight="1" x14ac:dyDescent="0.3">
      <c r="A15" s="5" t="s">
        <v>17</v>
      </c>
      <c r="B15" s="19">
        <v>18</v>
      </c>
      <c r="C15" s="19">
        <v>1</v>
      </c>
      <c r="D15" s="19" t="s">
        <v>188</v>
      </c>
      <c r="E15" s="20">
        <f t="shared" si="0"/>
        <v>5.2631578947368418E-2</v>
      </c>
      <c r="F15" s="19"/>
      <c r="G15" s="19">
        <v>19</v>
      </c>
      <c r="H15" s="19">
        <v>2</v>
      </c>
      <c r="I15" s="19" t="s">
        <v>188</v>
      </c>
      <c r="J15" s="20">
        <f t="shared" si="1"/>
        <v>9.5238095238095233E-2</v>
      </c>
      <c r="K15" s="19"/>
      <c r="L15" s="14">
        <f t="shared" si="2"/>
        <v>37</v>
      </c>
      <c r="M15" s="14">
        <f t="shared" si="3"/>
        <v>3</v>
      </c>
      <c r="N15" s="19" t="s">
        <v>188</v>
      </c>
      <c r="O15" s="20">
        <f t="shared" si="4"/>
        <v>7.4999999999999997E-2</v>
      </c>
      <c r="P15" s="19"/>
      <c r="Q15" s="19">
        <v>0</v>
      </c>
      <c r="R15" s="19">
        <v>0</v>
      </c>
      <c r="S15" s="19" t="s">
        <v>188</v>
      </c>
      <c r="T15" s="20" t="str">
        <f t="shared" si="5"/>
        <v>-</v>
      </c>
      <c r="U15" s="19"/>
      <c r="V15" s="19">
        <v>19</v>
      </c>
      <c r="W15" s="19">
        <v>19</v>
      </c>
      <c r="X15" s="19" t="s">
        <v>188</v>
      </c>
      <c r="Y15" s="20">
        <f t="shared" si="6"/>
        <v>0.5</v>
      </c>
      <c r="Z15" s="19"/>
      <c r="AA15" s="14">
        <f t="shared" si="7"/>
        <v>56</v>
      </c>
      <c r="AB15" s="14">
        <f t="shared" si="8"/>
        <v>22</v>
      </c>
      <c r="AC15" s="19" t="s">
        <v>188</v>
      </c>
      <c r="AD15" s="20">
        <f t="shared" si="9"/>
        <v>0.28205128205128205</v>
      </c>
      <c r="AE15" s="16"/>
      <c r="AF15" s="16"/>
      <c r="AG15" s="16"/>
      <c r="AH15" s="16"/>
      <c r="AI15" s="16"/>
      <c r="AJ15" s="16"/>
      <c r="AK15" s="16"/>
      <c r="AL15" s="16"/>
      <c r="AM15" s="16"/>
    </row>
    <row r="16" spans="1:40" s="6" customFormat="1" ht="15" customHeight="1" x14ac:dyDescent="0.3">
      <c r="A16" s="5" t="s">
        <v>18</v>
      </c>
      <c r="B16" s="19">
        <v>21</v>
      </c>
      <c r="C16" s="19">
        <v>1</v>
      </c>
      <c r="D16" s="19" t="s">
        <v>188</v>
      </c>
      <c r="E16" s="20">
        <f t="shared" si="0"/>
        <v>4.5454545454545456E-2</v>
      </c>
      <c r="F16" s="19"/>
      <c r="G16" s="19">
        <v>10</v>
      </c>
      <c r="H16" s="19">
        <v>1</v>
      </c>
      <c r="I16" s="19" t="s">
        <v>188</v>
      </c>
      <c r="J16" s="20">
        <f t="shared" si="1"/>
        <v>9.0909090909090912E-2</v>
      </c>
      <c r="K16" s="19"/>
      <c r="L16" s="14">
        <f t="shared" si="2"/>
        <v>31</v>
      </c>
      <c r="M16" s="14">
        <f t="shared" si="3"/>
        <v>2</v>
      </c>
      <c r="N16" s="19" t="s">
        <v>188</v>
      </c>
      <c r="O16" s="20">
        <f t="shared" si="4"/>
        <v>6.0606060606060608E-2</v>
      </c>
      <c r="P16" s="19"/>
      <c r="Q16" s="19">
        <v>0</v>
      </c>
      <c r="R16" s="19">
        <v>1</v>
      </c>
      <c r="S16" s="19" t="s">
        <v>188</v>
      </c>
      <c r="T16" s="20">
        <f t="shared" si="5"/>
        <v>1</v>
      </c>
      <c r="U16" s="19"/>
      <c r="V16" s="19">
        <v>8</v>
      </c>
      <c r="W16" s="19">
        <v>5</v>
      </c>
      <c r="X16" s="19" t="s">
        <v>188</v>
      </c>
      <c r="Y16" s="20">
        <f t="shared" si="6"/>
        <v>0.38461538461538464</v>
      </c>
      <c r="Z16" s="19"/>
      <c r="AA16" s="14">
        <f t="shared" si="7"/>
        <v>39</v>
      </c>
      <c r="AB16" s="14">
        <f t="shared" si="8"/>
        <v>8</v>
      </c>
      <c r="AC16" s="19" t="s">
        <v>188</v>
      </c>
      <c r="AD16" s="20">
        <f t="shared" si="9"/>
        <v>0.1702127659574468</v>
      </c>
      <c r="AE16" s="16"/>
      <c r="AF16" s="16"/>
      <c r="AG16" s="16"/>
      <c r="AH16" s="16"/>
      <c r="AI16" s="16"/>
      <c r="AJ16" s="16"/>
      <c r="AK16" s="16"/>
      <c r="AL16" s="16"/>
      <c r="AM16" s="16"/>
    </row>
    <row r="17" spans="1:39" s="6" customFormat="1" ht="15" customHeight="1" x14ac:dyDescent="0.3">
      <c r="A17" s="5" t="s">
        <v>19</v>
      </c>
      <c r="B17" s="19">
        <v>3</v>
      </c>
      <c r="C17" s="19">
        <v>2</v>
      </c>
      <c r="D17" s="19" t="s">
        <v>188</v>
      </c>
      <c r="E17" s="20">
        <f t="shared" si="0"/>
        <v>0.4</v>
      </c>
      <c r="F17" s="19"/>
      <c r="G17" s="19">
        <v>23</v>
      </c>
      <c r="H17" s="19">
        <v>0</v>
      </c>
      <c r="I17" s="19" t="s">
        <v>188</v>
      </c>
      <c r="J17" s="20">
        <f t="shared" si="1"/>
        <v>0</v>
      </c>
      <c r="K17" s="19"/>
      <c r="L17" s="14">
        <f t="shared" si="2"/>
        <v>26</v>
      </c>
      <c r="M17" s="14">
        <f t="shared" si="3"/>
        <v>2</v>
      </c>
      <c r="N17" s="19" t="s">
        <v>188</v>
      </c>
      <c r="O17" s="20">
        <f t="shared" si="4"/>
        <v>7.1428571428571425E-2</v>
      </c>
      <c r="P17" s="19"/>
      <c r="Q17" s="19">
        <v>2</v>
      </c>
      <c r="R17" s="19">
        <v>1</v>
      </c>
      <c r="S17" s="19" t="s">
        <v>188</v>
      </c>
      <c r="T17" s="20">
        <f t="shared" si="5"/>
        <v>0.33333333333333331</v>
      </c>
      <c r="U17" s="19"/>
      <c r="V17" s="19">
        <v>3</v>
      </c>
      <c r="W17" s="19">
        <v>4</v>
      </c>
      <c r="X17" s="19" t="s">
        <v>188</v>
      </c>
      <c r="Y17" s="20">
        <f t="shared" si="6"/>
        <v>0.5714285714285714</v>
      </c>
      <c r="Z17" s="19"/>
      <c r="AA17" s="14">
        <f t="shared" si="7"/>
        <v>31</v>
      </c>
      <c r="AB17" s="14">
        <f t="shared" si="8"/>
        <v>7</v>
      </c>
      <c r="AC17" s="19" t="s">
        <v>188</v>
      </c>
      <c r="AD17" s="20">
        <f t="shared" si="9"/>
        <v>0.18421052631578946</v>
      </c>
      <c r="AE17" s="16"/>
      <c r="AF17" s="16"/>
      <c r="AG17" s="16"/>
      <c r="AH17" s="16"/>
      <c r="AI17" s="16"/>
      <c r="AJ17" s="16"/>
      <c r="AK17" s="16"/>
      <c r="AL17" s="16"/>
      <c r="AM17" s="16"/>
    </row>
    <row r="18" spans="1:39" s="6" customFormat="1" ht="15" customHeight="1" x14ac:dyDescent="0.3">
      <c r="A18" s="5" t="s">
        <v>20</v>
      </c>
      <c r="B18" s="19">
        <v>1</v>
      </c>
      <c r="C18" s="19">
        <v>0</v>
      </c>
      <c r="D18" s="19" t="s">
        <v>188</v>
      </c>
      <c r="E18" s="20">
        <f t="shared" si="0"/>
        <v>0</v>
      </c>
      <c r="F18" s="19"/>
      <c r="G18" s="19">
        <v>31</v>
      </c>
      <c r="H18" s="19">
        <v>3</v>
      </c>
      <c r="I18" s="19" t="s">
        <v>188</v>
      </c>
      <c r="J18" s="20">
        <f t="shared" si="1"/>
        <v>8.8235294117647065E-2</v>
      </c>
      <c r="K18" s="19"/>
      <c r="L18" s="14">
        <f t="shared" si="2"/>
        <v>32</v>
      </c>
      <c r="M18" s="14">
        <f t="shared" si="3"/>
        <v>3</v>
      </c>
      <c r="N18" s="19" t="s">
        <v>188</v>
      </c>
      <c r="O18" s="20">
        <f t="shared" si="4"/>
        <v>8.5714285714285715E-2</v>
      </c>
      <c r="P18" s="19"/>
      <c r="Q18" s="19">
        <v>0</v>
      </c>
      <c r="R18" s="19">
        <v>0</v>
      </c>
      <c r="S18" s="19" t="s">
        <v>188</v>
      </c>
      <c r="T18" s="20" t="str">
        <f t="shared" si="5"/>
        <v>-</v>
      </c>
      <c r="U18" s="19"/>
      <c r="V18" s="19">
        <v>0</v>
      </c>
      <c r="W18" s="19">
        <v>1</v>
      </c>
      <c r="X18" s="19" t="s">
        <v>188</v>
      </c>
      <c r="Y18" s="20">
        <f t="shared" si="6"/>
        <v>1</v>
      </c>
      <c r="Z18" s="19"/>
      <c r="AA18" s="14">
        <f t="shared" si="7"/>
        <v>32</v>
      </c>
      <c r="AB18" s="14">
        <f t="shared" si="8"/>
        <v>4</v>
      </c>
      <c r="AC18" s="19" t="s">
        <v>188</v>
      </c>
      <c r="AD18" s="20">
        <f t="shared" si="9"/>
        <v>0.1111111111111111</v>
      </c>
      <c r="AE18" s="16"/>
      <c r="AF18" s="16"/>
      <c r="AG18" s="16"/>
      <c r="AH18" s="16"/>
      <c r="AI18" s="16"/>
      <c r="AJ18" s="16"/>
      <c r="AK18" s="16"/>
      <c r="AL18" s="16"/>
      <c r="AM18" s="16"/>
    </row>
    <row r="19" spans="1:39" s="6" customFormat="1" ht="15" customHeight="1" x14ac:dyDescent="0.3">
      <c r="A19" s="21" t="s">
        <v>21</v>
      </c>
      <c r="B19" s="19">
        <v>3</v>
      </c>
      <c r="C19" s="19">
        <v>0</v>
      </c>
      <c r="D19" s="19" t="s">
        <v>188</v>
      </c>
      <c r="E19" s="20">
        <f t="shared" si="0"/>
        <v>0</v>
      </c>
      <c r="F19" s="19"/>
      <c r="G19" s="19">
        <v>26</v>
      </c>
      <c r="H19" s="19">
        <v>2</v>
      </c>
      <c r="I19" s="19" t="s">
        <v>188</v>
      </c>
      <c r="J19" s="20">
        <f t="shared" si="1"/>
        <v>7.1428571428571425E-2</v>
      </c>
      <c r="K19" s="19"/>
      <c r="L19" s="14">
        <f t="shared" si="2"/>
        <v>29</v>
      </c>
      <c r="M19" s="14">
        <f t="shared" si="3"/>
        <v>2</v>
      </c>
      <c r="N19" s="19" t="s">
        <v>188</v>
      </c>
      <c r="O19" s="20">
        <f t="shared" si="4"/>
        <v>6.4516129032258063E-2</v>
      </c>
      <c r="P19" s="19"/>
      <c r="Q19" s="19">
        <v>0</v>
      </c>
      <c r="R19" s="19">
        <v>4</v>
      </c>
      <c r="S19" s="19" t="s">
        <v>188</v>
      </c>
      <c r="T19" s="20">
        <f t="shared" si="5"/>
        <v>1</v>
      </c>
      <c r="U19" s="19"/>
      <c r="V19" s="19">
        <v>4</v>
      </c>
      <c r="W19" s="19">
        <v>10</v>
      </c>
      <c r="X19" s="19" t="s">
        <v>188</v>
      </c>
      <c r="Y19" s="20">
        <f t="shared" si="6"/>
        <v>0.7142857142857143</v>
      </c>
      <c r="Z19" s="19"/>
      <c r="AA19" s="14">
        <f t="shared" si="7"/>
        <v>33</v>
      </c>
      <c r="AB19" s="14">
        <f t="shared" si="8"/>
        <v>16</v>
      </c>
      <c r="AC19" s="19" t="s">
        <v>188</v>
      </c>
      <c r="AD19" s="20">
        <f t="shared" si="9"/>
        <v>0.32653061224489793</v>
      </c>
      <c r="AE19" s="16"/>
      <c r="AF19" s="16"/>
      <c r="AG19" s="16"/>
      <c r="AH19" s="16"/>
      <c r="AI19" s="16"/>
      <c r="AJ19" s="16"/>
      <c r="AK19" s="16"/>
      <c r="AL19" s="16"/>
      <c r="AM19" s="16"/>
    </row>
    <row r="20" spans="1:39" s="6" customFormat="1" ht="15" customHeight="1" x14ac:dyDescent="0.3">
      <c r="A20" s="21" t="s">
        <v>22</v>
      </c>
      <c r="B20" s="19">
        <v>27</v>
      </c>
      <c r="C20" s="19">
        <v>8</v>
      </c>
      <c r="D20" s="19" t="s">
        <v>188</v>
      </c>
      <c r="E20" s="20">
        <f t="shared" si="0"/>
        <v>0.22857142857142856</v>
      </c>
      <c r="F20" s="19"/>
      <c r="G20" s="19">
        <v>97</v>
      </c>
      <c r="H20" s="19">
        <v>11</v>
      </c>
      <c r="I20" s="19" t="s">
        <v>188</v>
      </c>
      <c r="J20" s="20">
        <f t="shared" si="1"/>
        <v>0.10185185185185185</v>
      </c>
      <c r="K20" s="19"/>
      <c r="L20" s="14">
        <f t="shared" si="2"/>
        <v>124</v>
      </c>
      <c r="M20" s="14">
        <f t="shared" si="3"/>
        <v>19</v>
      </c>
      <c r="N20" s="19" t="s">
        <v>188</v>
      </c>
      <c r="O20" s="20">
        <f t="shared" si="4"/>
        <v>0.13286713286713286</v>
      </c>
      <c r="P20" s="19"/>
      <c r="Q20" s="19">
        <v>1</v>
      </c>
      <c r="R20" s="19">
        <v>1</v>
      </c>
      <c r="S20" s="19" t="s">
        <v>188</v>
      </c>
      <c r="T20" s="20">
        <f t="shared" si="5"/>
        <v>0.5</v>
      </c>
      <c r="U20" s="19"/>
      <c r="V20" s="19">
        <v>19</v>
      </c>
      <c r="W20" s="19">
        <v>7</v>
      </c>
      <c r="X20" s="19" t="s">
        <v>188</v>
      </c>
      <c r="Y20" s="20">
        <f t="shared" si="6"/>
        <v>0.26923076923076922</v>
      </c>
      <c r="Z20" s="19"/>
      <c r="AA20" s="14">
        <f t="shared" si="7"/>
        <v>144</v>
      </c>
      <c r="AB20" s="14">
        <f t="shared" si="8"/>
        <v>27</v>
      </c>
      <c r="AC20" s="19" t="s">
        <v>188</v>
      </c>
      <c r="AD20" s="20">
        <f t="shared" si="9"/>
        <v>0.15789473684210525</v>
      </c>
      <c r="AE20" s="16"/>
      <c r="AF20" s="16"/>
      <c r="AG20" s="16"/>
      <c r="AH20" s="16"/>
      <c r="AI20" s="16"/>
      <c r="AJ20" s="16"/>
      <c r="AK20" s="16"/>
      <c r="AL20" s="16"/>
      <c r="AM20" s="16"/>
    </row>
    <row r="21" spans="1:39" s="6" customFormat="1" ht="15" customHeight="1" x14ac:dyDescent="0.3">
      <c r="A21" s="5" t="s">
        <v>23</v>
      </c>
      <c r="B21" s="19">
        <v>20</v>
      </c>
      <c r="C21" s="19">
        <v>1</v>
      </c>
      <c r="D21" s="19" t="s">
        <v>188</v>
      </c>
      <c r="E21" s="20">
        <f t="shared" si="0"/>
        <v>4.7619047619047616E-2</v>
      </c>
      <c r="F21" s="19"/>
      <c r="G21" s="19">
        <v>72</v>
      </c>
      <c r="H21" s="19">
        <v>6</v>
      </c>
      <c r="I21" s="19" t="s">
        <v>188</v>
      </c>
      <c r="J21" s="20">
        <f t="shared" si="1"/>
        <v>7.6923076923076927E-2</v>
      </c>
      <c r="K21" s="19"/>
      <c r="L21" s="14">
        <f t="shared" si="2"/>
        <v>92</v>
      </c>
      <c r="M21" s="14">
        <f t="shared" si="3"/>
        <v>7</v>
      </c>
      <c r="N21" s="19" t="s">
        <v>188</v>
      </c>
      <c r="O21" s="20">
        <f t="shared" si="4"/>
        <v>7.0707070707070704E-2</v>
      </c>
      <c r="P21" s="19"/>
      <c r="Q21" s="19">
        <v>4</v>
      </c>
      <c r="R21" s="19">
        <v>0</v>
      </c>
      <c r="S21" s="19" t="s">
        <v>188</v>
      </c>
      <c r="T21" s="20">
        <f t="shared" si="5"/>
        <v>0</v>
      </c>
      <c r="U21" s="19"/>
      <c r="V21" s="19">
        <v>10</v>
      </c>
      <c r="W21" s="19">
        <v>15</v>
      </c>
      <c r="X21" s="19" t="s">
        <v>188</v>
      </c>
      <c r="Y21" s="20">
        <f t="shared" si="6"/>
        <v>0.6</v>
      </c>
      <c r="Z21" s="19"/>
      <c r="AA21" s="14">
        <f t="shared" si="7"/>
        <v>106</v>
      </c>
      <c r="AB21" s="14">
        <f t="shared" si="8"/>
        <v>22</v>
      </c>
      <c r="AC21" s="19" t="s">
        <v>188</v>
      </c>
      <c r="AD21" s="20">
        <f t="shared" si="9"/>
        <v>0.171875</v>
      </c>
      <c r="AE21" s="16"/>
      <c r="AF21" s="16"/>
      <c r="AG21" s="16"/>
      <c r="AH21" s="16"/>
      <c r="AI21" s="16"/>
      <c r="AJ21" s="16"/>
      <c r="AK21" s="16"/>
      <c r="AL21" s="16"/>
      <c r="AM21" s="16"/>
    </row>
    <row r="22" spans="1:39" s="6" customFormat="1" ht="15" customHeight="1" x14ac:dyDescent="0.3">
      <c r="A22" s="5" t="s">
        <v>24</v>
      </c>
      <c r="B22" s="19">
        <v>15</v>
      </c>
      <c r="C22" s="19">
        <v>7</v>
      </c>
      <c r="D22" s="19" t="s">
        <v>188</v>
      </c>
      <c r="E22" s="20">
        <f t="shared" si="0"/>
        <v>0.31818181818181818</v>
      </c>
      <c r="F22" s="19"/>
      <c r="G22" s="19">
        <v>25</v>
      </c>
      <c r="H22" s="19">
        <v>2</v>
      </c>
      <c r="I22" s="19" t="s">
        <v>188</v>
      </c>
      <c r="J22" s="20">
        <f t="shared" si="1"/>
        <v>7.407407407407407E-2</v>
      </c>
      <c r="K22" s="19"/>
      <c r="L22" s="14">
        <f t="shared" si="2"/>
        <v>40</v>
      </c>
      <c r="M22" s="14">
        <f t="shared" si="3"/>
        <v>9</v>
      </c>
      <c r="N22" s="19" t="s">
        <v>188</v>
      </c>
      <c r="O22" s="20">
        <f t="shared" si="4"/>
        <v>0.18367346938775511</v>
      </c>
      <c r="P22" s="19"/>
      <c r="Q22" s="19">
        <v>0</v>
      </c>
      <c r="R22" s="19">
        <v>0</v>
      </c>
      <c r="S22" s="19" t="s">
        <v>188</v>
      </c>
      <c r="T22" s="20" t="str">
        <f t="shared" si="5"/>
        <v>-</v>
      </c>
      <c r="U22" s="19"/>
      <c r="V22" s="19">
        <v>10</v>
      </c>
      <c r="W22" s="19">
        <v>8</v>
      </c>
      <c r="X22" s="19" t="s">
        <v>188</v>
      </c>
      <c r="Y22" s="20">
        <f t="shared" si="6"/>
        <v>0.44444444444444442</v>
      </c>
      <c r="Z22" s="19"/>
      <c r="AA22" s="14">
        <f t="shared" si="7"/>
        <v>50</v>
      </c>
      <c r="AB22" s="14">
        <f t="shared" si="8"/>
        <v>17</v>
      </c>
      <c r="AC22" s="19" t="s">
        <v>188</v>
      </c>
      <c r="AD22" s="20">
        <f t="shared" si="9"/>
        <v>0.2537313432835821</v>
      </c>
      <c r="AE22" s="16"/>
      <c r="AF22" s="16"/>
      <c r="AG22" s="16"/>
      <c r="AH22" s="16"/>
      <c r="AI22" s="16"/>
      <c r="AJ22" s="16"/>
      <c r="AK22" s="16"/>
      <c r="AL22" s="16"/>
      <c r="AM22" s="16"/>
    </row>
    <row r="23" spans="1:39" s="6" customFormat="1" ht="15" customHeight="1" x14ac:dyDescent="0.3">
      <c r="A23" s="5" t="s">
        <v>25</v>
      </c>
      <c r="B23" s="19">
        <v>6</v>
      </c>
      <c r="C23" s="19">
        <v>2</v>
      </c>
      <c r="D23" s="19" t="s">
        <v>188</v>
      </c>
      <c r="E23" s="20">
        <f t="shared" si="0"/>
        <v>0.25</v>
      </c>
      <c r="F23" s="19"/>
      <c r="G23" s="19">
        <v>21</v>
      </c>
      <c r="H23" s="19">
        <v>1</v>
      </c>
      <c r="I23" s="19" t="s">
        <v>188</v>
      </c>
      <c r="J23" s="20">
        <f t="shared" si="1"/>
        <v>4.5454545454545456E-2</v>
      </c>
      <c r="K23" s="19"/>
      <c r="L23" s="14">
        <f t="shared" si="2"/>
        <v>27</v>
      </c>
      <c r="M23" s="14">
        <f t="shared" si="3"/>
        <v>3</v>
      </c>
      <c r="N23" s="19" t="s">
        <v>188</v>
      </c>
      <c r="O23" s="20">
        <f t="shared" si="4"/>
        <v>0.1</v>
      </c>
      <c r="P23" s="19"/>
      <c r="Q23" s="19">
        <v>3</v>
      </c>
      <c r="R23" s="19">
        <v>1</v>
      </c>
      <c r="S23" s="19" t="s">
        <v>188</v>
      </c>
      <c r="T23" s="20">
        <f t="shared" si="5"/>
        <v>0.25</v>
      </c>
      <c r="U23" s="19"/>
      <c r="V23" s="19">
        <v>4</v>
      </c>
      <c r="W23" s="19">
        <v>19</v>
      </c>
      <c r="X23" s="19" t="s">
        <v>188</v>
      </c>
      <c r="Y23" s="20">
        <f t="shared" si="6"/>
        <v>0.82608695652173914</v>
      </c>
      <c r="Z23" s="19"/>
      <c r="AA23" s="14">
        <f t="shared" si="7"/>
        <v>34</v>
      </c>
      <c r="AB23" s="14">
        <f t="shared" si="8"/>
        <v>23</v>
      </c>
      <c r="AC23" s="19" t="s">
        <v>188</v>
      </c>
      <c r="AD23" s="20">
        <f t="shared" si="9"/>
        <v>0.40350877192982454</v>
      </c>
      <c r="AE23" s="16"/>
      <c r="AF23" s="16"/>
      <c r="AG23" s="16"/>
      <c r="AH23" s="16"/>
      <c r="AI23" s="16"/>
      <c r="AJ23" s="16"/>
      <c r="AK23" s="16"/>
      <c r="AL23" s="16"/>
      <c r="AM23" s="16"/>
    </row>
    <row r="24" spans="1:39" s="6" customFormat="1" ht="15" customHeight="1" x14ac:dyDescent="0.3">
      <c r="A24" s="5" t="s">
        <v>26</v>
      </c>
      <c r="B24" s="19">
        <v>22</v>
      </c>
      <c r="C24" s="19">
        <v>0</v>
      </c>
      <c r="D24" s="19" t="s">
        <v>188</v>
      </c>
      <c r="E24" s="20">
        <f t="shared" si="0"/>
        <v>0</v>
      </c>
      <c r="F24" s="19"/>
      <c r="G24" s="19">
        <v>88</v>
      </c>
      <c r="H24" s="19">
        <v>0</v>
      </c>
      <c r="I24" s="19" t="s">
        <v>188</v>
      </c>
      <c r="J24" s="20">
        <f t="shared" si="1"/>
        <v>0</v>
      </c>
      <c r="K24" s="19"/>
      <c r="L24" s="14">
        <f t="shared" si="2"/>
        <v>110</v>
      </c>
      <c r="M24" s="14">
        <f t="shared" si="3"/>
        <v>0</v>
      </c>
      <c r="N24" s="19" t="s">
        <v>188</v>
      </c>
      <c r="O24" s="20">
        <f t="shared" si="4"/>
        <v>0</v>
      </c>
      <c r="P24" s="19"/>
      <c r="Q24" s="19">
        <v>1</v>
      </c>
      <c r="R24" s="19">
        <v>2</v>
      </c>
      <c r="S24" s="19" t="s">
        <v>188</v>
      </c>
      <c r="T24" s="20">
        <f t="shared" si="5"/>
        <v>0.66666666666666663</v>
      </c>
      <c r="U24" s="19"/>
      <c r="V24" s="19">
        <v>22</v>
      </c>
      <c r="W24" s="19">
        <v>39</v>
      </c>
      <c r="X24" s="19" t="s">
        <v>188</v>
      </c>
      <c r="Y24" s="20">
        <f t="shared" si="6"/>
        <v>0.63934426229508201</v>
      </c>
      <c r="Z24" s="19"/>
      <c r="AA24" s="14">
        <f t="shared" si="7"/>
        <v>133</v>
      </c>
      <c r="AB24" s="14">
        <f t="shared" si="8"/>
        <v>41</v>
      </c>
      <c r="AC24" s="19" t="s">
        <v>188</v>
      </c>
      <c r="AD24" s="20">
        <f t="shared" si="9"/>
        <v>0.23563218390804597</v>
      </c>
      <c r="AE24" s="16"/>
      <c r="AF24" s="16"/>
      <c r="AG24" s="16"/>
      <c r="AH24" s="16"/>
      <c r="AI24" s="16"/>
      <c r="AJ24" s="16"/>
      <c r="AK24" s="16"/>
      <c r="AL24" s="16"/>
      <c r="AM24" s="16"/>
    </row>
    <row r="25" spans="1:39" s="6" customFormat="1" ht="15" customHeight="1" x14ac:dyDescent="0.3">
      <c r="A25" s="5" t="s">
        <v>27</v>
      </c>
      <c r="B25" s="19">
        <v>16</v>
      </c>
      <c r="C25" s="19">
        <v>19</v>
      </c>
      <c r="D25" s="19" t="s">
        <v>188</v>
      </c>
      <c r="E25" s="20">
        <f t="shared" si="0"/>
        <v>0.54285714285714282</v>
      </c>
      <c r="F25" s="19"/>
      <c r="G25" s="19">
        <v>32</v>
      </c>
      <c r="H25" s="19">
        <v>6</v>
      </c>
      <c r="I25" s="19" t="s">
        <v>188</v>
      </c>
      <c r="J25" s="20">
        <f t="shared" si="1"/>
        <v>0.15789473684210525</v>
      </c>
      <c r="K25" s="19"/>
      <c r="L25" s="14">
        <f t="shared" si="2"/>
        <v>48</v>
      </c>
      <c r="M25" s="14">
        <f t="shared" si="3"/>
        <v>25</v>
      </c>
      <c r="N25" s="19" t="s">
        <v>188</v>
      </c>
      <c r="O25" s="20">
        <f t="shared" si="4"/>
        <v>0.34246575342465752</v>
      </c>
      <c r="P25" s="19"/>
      <c r="Q25" s="19">
        <v>2</v>
      </c>
      <c r="R25" s="19">
        <v>4</v>
      </c>
      <c r="S25" s="19" t="s">
        <v>188</v>
      </c>
      <c r="T25" s="20">
        <f t="shared" si="5"/>
        <v>0.66666666666666663</v>
      </c>
      <c r="U25" s="19"/>
      <c r="V25" s="19">
        <v>6</v>
      </c>
      <c r="W25" s="19">
        <v>3</v>
      </c>
      <c r="X25" s="19" t="s">
        <v>188</v>
      </c>
      <c r="Y25" s="20">
        <f t="shared" si="6"/>
        <v>0.33333333333333331</v>
      </c>
      <c r="Z25" s="19"/>
      <c r="AA25" s="14">
        <f t="shared" si="7"/>
        <v>56</v>
      </c>
      <c r="AB25" s="14">
        <f t="shared" si="8"/>
        <v>32</v>
      </c>
      <c r="AC25" s="19" t="s">
        <v>188</v>
      </c>
      <c r="AD25" s="20">
        <f t="shared" si="9"/>
        <v>0.36363636363636365</v>
      </c>
      <c r="AE25" s="16"/>
      <c r="AF25" s="16"/>
      <c r="AG25" s="16"/>
      <c r="AH25" s="16"/>
      <c r="AI25" s="16"/>
      <c r="AJ25" s="16"/>
      <c r="AK25" s="16"/>
      <c r="AL25" s="16"/>
      <c r="AM25" s="16"/>
    </row>
    <row r="26" spans="1:39" s="6" customFormat="1" ht="15" customHeight="1" x14ac:dyDescent="0.3">
      <c r="A26" s="5" t="s">
        <v>28</v>
      </c>
      <c r="B26" s="19">
        <v>53</v>
      </c>
      <c r="C26" s="19">
        <v>3</v>
      </c>
      <c r="D26" s="19" t="s">
        <v>188</v>
      </c>
      <c r="E26" s="20">
        <f t="shared" si="0"/>
        <v>5.3571428571428568E-2</v>
      </c>
      <c r="F26" s="19"/>
      <c r="G26" s="19">
        <v>90</v>
      </c>
      <c r="H26" s="19">
        <v>9</v>
      </c>
      <c r="I26" s="19" t="s">
        <v>188</v>
      </c>
      <c r="J26" s="20">
        <f t="shared" si="1"/>
        <v>9.0909090909090912E-2</v>
      </c>
      <c r="K26" s="19"/>
      <c r="L26" s="14">
        <f t="shared" si="2"/>
        <v>143</v>
      </c>
      <c r="M26" s="14">
        <f t="shared" si="3"/>
        <v>12</v>
      </c>
      <c r="N26" s="19" t="s">
        <v>188</v>
      </c>
      <c r="O26" s="20">
        <f t="shared" si="4"/>
        <v>7.7419354838709681E-2</v>
      </c>
      <c r="P26" s="19"/>
      <c r="Q26" s="19">
        <v>0</v>
      </c>
      <c r="R26" s="19">
        <v>2</v>
      </c>
      <c r="S26" s="19" t="s">
        <v>188</v>
      </c>
      <c r="T26" s="20">
        <f t="shared" si="5"/>
        <v>1</v>
      </c>
      <c r="U26" s="19"/>
      <c r="V26" s="19">
        <v>22</v>
      </c>
      <c r="W26" s="19">
        <v>30</v>
      </c>
      <c r="X26" s="19" t="s">
        <v>188</v>
      </c>
      <c r="Y26" s="20">
        <f t="shared" si="6"/>
        <v>0.57692307692307687</v>
      </c>
      <c r="Z26" s="19"/>
      <c r="AA26" s="14">
        <f t="shared" si="7"/>
        <v>165</v>
      </c>
      <c r="AB26" s="14">
        <f t="shared" si="8"/>
        <v>44</v>
      </c>
      <c r="AC26" s="19" t="s">
        <v>188</v>
      </c>
      <c r="AD26" s="20">
        <f t="shared" si="9"/>
        <v>0.21052631578947367</v>
      </c>
      <c r="AE26" s="16"/>
      <c r="AF26" s="16"/>
      <c r="AG26" s="16"/>
      <c r="AH26" s="16"/>
      <c r="AI26" s="16"/>
      <c r="AJ26" s="16"/>
      <c r="AK26" s="16"/>
      <c r="AL26" s="16"/>
      <c r="AM26" s="16"/>
    </row>
    <row r="27" spans="1:39" s="6" customFormat="1" ht="15" customHeight="1" x14ac:dyDescent="0.3">
      <c r="A27" s="5" t="s">
        <v>29</v>
      </c>
      <c r="B27" s="19">
        <v>18</v>
      </c>
      <c r="C27" s="19">
        <v>3</v>
      </c>
      <c r="D27" s="19" t="s">
        <v>188</v>
      </c>
      <c r="E27" s="20">
        <f t="shared" si="0"/>
        <v>0.14285714285714285</v>
      </c>
      <c r="F27" s="19"/>
      <c r="G27" s="19">
        <v>34</v>
      </c>
      <c r="H27" s="19">
        <v>3</v>
      </c>
      <c r="I27" s="19" t="s">
        <v>188</v>
      </c>
      <c r="J27" s="20">
        <f t="shared" si="1"/>
        <v>8.1081081081081086E-2</v>
      </c>
      <c r="K27" s="19"/>
      <c r="L27" s="14">
        <f t="shared" si="2"/>
        <v>52</v>
      </c>
      <c r="M27" s="14">
        <f t="shared" si="3"/>
        <v>6</v>
      </c>
      <c r="N27" s="19" t="s">
        <v>188</v>
      </c>
      <c r="O27" s="20">
        <f t="shared" si="4"/>
        <v>0.10344827586206896</v>
      </c>
      <c r="P27" s="19"/>
      <c r="Q27" s="19">
        <v>1</v>
      </c>
      <c r="R27" s="19">
        <v>1</v>
      </c>
      <c r="S27" s="19" t="s">
        <v>188</v>
      </c>
      <c r="T27" s="20">
        <f t="shared" si="5"/>
        <v>0.5</v>
      </c>
      <c r="U27" s="19"/>
      <c r="V27" s="19">
        <v>12</v>
      </c>
      <c r="W27" s="19">
        <v>2</v>
      </c>
      <c r="X27" s="19" t="s">
        <v>188</v>
      </c>
      <c r="Y27" s="20">
        <f t="shared" si="6"/>
        <v>0.14285714285714285</v>
      </c>
      <c r="Z27" s="19"/>
      <c r="AA27" s="14">
        <f t="shared" si="7"/>
        <v>65</v>
      </c>
      <c r="AB27" s="14">
        <f t="shared" si="8"/>
        <v>9</v>
      </c>
      <c r="AC27" s="19" t="s">
        <v>188</v>
      </c>
      <c r="AD27" s="20">
        <f t="shared" si="9"/>
        <v>0.12162162162162163</v>
      </c>
      <c r="AE27" s="16"/>
      <c r="AF27" s="16"/>
      <c r="AG27" s="16"/>
      <c r="AH27" s="16"/>
      <c r="AI27" s="16"/>
      <c r="AJ27" s="16"/>
      <c r="AK27" s="16"/>
      <c r="AL27" s="16"/>
      <c r="AM27" s="16"/>
    </row>
    <row r="28" spans="1:39" s="6" customFormat="1" ht="15" customHeight="1" x14ac:dyDescent="0.3">
      <c r="A28" s="5" t="s">
        <v>30</v>
      </c>
      <c r="B28" s="19">
        <v>36</v>
      </c>
      <c r="C28" s="19">
        <v>1</v>
      </c>
      <c r="D28" s="19" t="s">
        <v>188</v>
      </c>
      <c r="E28" s="20">
        <f t="shared" si="0"/>
        <v>2.7027027027027029E-2</v>
      </c>
      <c r="F28" s="19"/>
      <c r="G28" s="19">
        <v>31</v>
      </c>
      <c r="H28" s="19">
        <v>4</v>
      </c>
      <c r="I28" s="19" t="s">
        <v>188</v>
      </c>
      <c r="J28" s="20">
        <f t="shared" si="1"/>
        <v>0.11428571428571428</v>
      </c>
      <c r="K28" s="19"/>
      <c r="L28" s="14">
        <f t="shared" si="2"/>
        <v>67</v>
      </c>
      <c r="M28" s="14">
        <f t="shared" si="3"/>
        <v>5</v>
      </c>
      <c r="N28" s="19" t="s">
        <v>188</v>
      </c>
      <c r="O28" s="20">
        <f t="shared" si="4"/>
        <v>6.9444444444444448E-2</v>
      </c>
      <c r="P28" s="19"/>
      <c r="Q28" s="19">
        <v>0</v>
      </c>
      <c r="R28" s="19">
        <v>0</v>
      </c>
      <c r="S28" s="19" t="s">
        <v>188</v>
      </c>
      <c r="T28" s="20" t="str">
        <f t="shared" si="5"/>
        <v>-</v>
      </c>
      <c r="U28" s="19"/>
      <c r="V28" s="19">
        <v>9</v>
      </c>
      <c r="W28" s="19">
        <v>11</v>
      </c>
      <c r="X28" s="19" t="s">
        <v>188</v>
      </c>
      <c r="Y28" s="20">
        <f t="shared" si="6"/>
        <v>0.55000000000000004</v>
      </c>
      <c r="Z28" s="19"/>
      <c r="AA28" s="14">
        <f t="shared" si="7"/>
        <v>76</v>
      </c>
      <c r="AB28" s="14">
        <f t="shared" si="8"/>
        <v>16</v>
      </c>
      <c r="AC28" s="19" t="s">
        <v>188</v>
      </c>
      <c r="AD28" s="20">
        <f t="shared" si="9"/>
        <v>0.17391304347826086</v>
      </c>
      <c r="AE28" s="16"/>
      <c r="AF28" s="16"/>
      <c r="AG28" s="16"/>
      <c r="AH28" s="16"/>
      <c r="AI28" s="16"/>
      <c r="AJ28" s="16"/>
      <c r="AK28" s="16"/>
      <c r="AL28" s="16"/>
      <c r="AM28" s="16"/>
    </row>
    <row r="29" spans="1:39" s="6" customFormat="1" ht="15" customHeight="1" x14ac:dyDescent="0.3">
      <c r="A29" s="5" t="s">
        <v>31</v>
      </c>
      <c r="B29" s="19">
        <v>22</v>
      </c>
      <c r="C29" s="19">
        <v>0</v>
      </c>
      <c r="D29" s="19" t="s">
        <v>188</v>
      </c>
      <c r="E29" s="20">
        <f t="shared" si="0"/>
        <v>0</v>
      </c>
      <c r="F29" s="19"/>
      <c r="G29" s="19">
        <v>43</v>
      </c>
      <c r="H29" s="19">
        <v>3</v>
      </c>
      <c r="I29" s="19" t="s">
        <v>188</v>
      </c>
      <c r="J29" s="20">
        <f t="shared" si="1"/>
        <v>6.5217391304347824E-2</v>
      </c>
      <c r="K29" s="19"/>
      <c r="L29" s="14">
        <f t="shared" si="2"/>
        <v>65</v>
      </c>
      <c r="M29" s="14">
        <f t="shared" si="3"/>
        <v>3</v>
      </c>
      <c r="N29" s="19" t="s">
        <v>188</v>
      </c>
      <c r="O29" s="20">
        <f t="shared" si="4"/>
        <v>4.4117647058823532E-2</v>
      </c>
      <c r="P29" s="19"/>
      <c r="Q29" s="19">
        <v>0</v>
      </c>
      <c r="R29" s="19">
        <v>2</v>
      </c>
      <c r="S29" s="19" t="s">
        <v>188</v>
      </c>
      <c r="T29" s="20">
        <f t="shared" si="5"/>
        <v>1</v>
      </c>
      <c r="U29" s="19"/>
      <c r="V29" s="19">
        <v>13</v>
      </c>
      <c r="W29" s="19">
        <v>21</v>
      </c>
      <c r="X29" s="19" t="s">
        <v>188</v>
      </c>
      <c r="Y29" s="20">
        <f t="shared" si="6"/>
        <v>0.61764705882352944</v>
      </c>
      <c r="Z29" s="19"/>
      <c r="AA29" s="14">
        <f t="shared" si="7"/>
        <v>78</v>
      </c>
      <c r="AB29" s="14">
        <f t="shared" si="8"/>
        <v>26</v>
      </c>
      <c r="AC29" s="19" t="s">
        <v>188</v>
      </c>
      <c r="AD29" s="20">
        <f t="shared" si="9"/>
        <v>0.25</v>
      </c>
      <c r="AE29" s="16"/>
      <c r="AF29" s="16"/>
      <c r="AG29" s="16"/>
      <c r="AH29" s="16"/>
      <c r="AI29" s="16"/>
      <c r="AJ29" s="16"/>
      <c r="AK29" s="16"/>
      <c r="AL29" s="16"/>
      <c r="AM29" s="16"/>
    </row>
    <row r="30" spans="1:39" s="6" customFormat="1" ht="15" customHeight="1" x14ac:dyDescent="0.3">
      <c r="A30" s="5" t="s">
        <v>32</v>
      </c>
      <c r="B30" s="19">
        <v>0</v>
      </c>
      <c r="C30" s="19">
        <v>0</v>
      </c>
      <c r="D30" s="19" t="s">
        <v>188</v>
      </c>
      <c r="E30" s="20" t="str">
        <f t="shared" si="0"/>
        <v>-</v>
      </c>
      <c r="F30" s="19"/>
      <c r="G30" s="19">
        <v>0</v>
      </c>
      <c r="H30" s="19">
        <v>0</v>
      </c>
      <c r="I30" s="19" t="s">
        <v>188</v>
      </c>
      <c r="J30" s="20" t="str">
        <f t="shared" si="1"/>
        <v>-</v>
      </c>
      <c r="K30" s="19"/>
      <c r="L30" s="14">
        <f t="shared" si="2"/>
        <v>0</v>
      </c>
      <c r="M30" s="14">
        <f t="shared" si="3"/>
        <v>0</v>
      </c>
      <c r="N30" s="19" t="s">
        <v>188</v>
      </c>
      <c r="O30" s="20" t="str">
        <f t="shared" si="4"/>
        <v>-</v>
      </c>
      <c r="P30" s="19"/>
      <c r="Q30" s="19">
        <v>0</v>
      </c>
      <c r="R30" s="19">
        <v>0</v>
      </c>
      <c r="S30" s="19" t="s">
        <v>188</v>
      </c>
      <c r="T30" s="20" t="str">
        <f t="shared" si="5"/>
        <v>-</v>
      </c>
      <c r="U30" s="19"/>
      <c r="V30" s="19">
        <v>2</v>
      </c>
      <c r="W30" s="19">
        <v>0</v>
      </c>
      <c r="X30" s="19" t="s">
        <v>188</v>
      </c>
      <c r="Y30" s="20">
        <f t="shared" si="6"/>
        <v>0</v>
      </c>
      <c r="Z30" s="19"/>
      <c r="AA30" s="14">
        <f t="shared" si="7"/>
        <v>2</v>
      </c>
      <c r="AB30" s="14">
        <f t="shared" si="8"/>
        <v>0</v>
      </c>
      <c r="AC30" s="19" t="s">
        <v>188</v>
      </c>
      <c r="AD30" s="20">
        <f t="shared" si="9"/>
        <v>0</v>
      </c>
      <c r="AE30" s="16"/>
      <c r="AF30" s="16"/>
      <c r="AG30" s="16"/>
      <c r="AH30" s="16"/>
      <c r="AI30" s="16"/>
      <c r="AJ30" s="16"/>
      <c r="AK30" s="16"/>
      <c r="AL30" s="16"/>
      <c r="AM30" s="16"/>
    </row>
    <row r="31" spans="1:39" s="6" customFormat="1" ht="15" customHeight="1" x14ac:dyDescent="0.3">
      <c r="A31" s="6" t="s">
        <v>33</v>
      </c>
      <c r="B31" s="19">
        <v>25</v>
      </c>
      <c r="C31" s="19">
        <v>4</v>
      </c>
      <c r="D31" s="19" t="s">
        <v>188</v>
      </c>
      <c r="E31" s="20">
        <f t="shared" si="0"/>
        <v>0.13793103448275862</v>
      </c>
      <c r="F31" s="19"/>
      <c r="G31" s="19">
        <v>53</v>
      </c>
      <c r="H31" s="19">
        <v>3</v>
      </c>
      <c r="I31" s="19" t="s">
        <v>188</v>
      </c>
      <c r="J31" s="20">
        <f t="shared" si="1"/>
        <v>5.3571428571428568E-2</v>
      </c>
      <c r="K31" s="19"/>
      <c r="L31" s="14">
        <f t="shared" si="2"/>
        <v>78</v>
      </c>
      <c r="M31" s="14">
        <f t="shared" si="3"/>
        <v>7</v>
      </c>
      <c r="N31" s="19" t="s">
        <v>188</v>
      </c>
      <c r="O31" s="20">
        <f t="shared" si="4"/>
        <v>8.2352941176470587E-2</v>
      </c>
      <c r="P31" s="19"/>
      <c r="Q31" s="19">
        <v>3</v>
      </c>
      <c r="R31" s="19">
        <v>5</v>
      </c>
      <c r="S31" s="19" t="s">
        <v>188</v>
      </c>
      <c r="T31" s="20">
        <f t="shared" si="5"/>
        <v>0.625</v>
      </c>
      <c r="U31" s="19"/>
      <c r="V31" s="19">
        <v>25</v>
      </c>
      <c r="W31" s="19">
        <v>27</v>
      </c>
      <c r="X31" s="19" t="s">
        <v>188</v>
      </c>
      <c r="Y31" s="20">
        <f t="shared" si="6"/>
        <v>0.51923076923076927</v>
      </c>
      <c r="Z31" s="19"/>
      <c r="AA31" s="14">
        <f t="shared" si="7"/>
        <v>106</v>
      </c>
      <c r="AB31" s="14">
        <f t="shared" si="8"/>
        <v>39</v>
      </c>
      <c r="AC31" s="19" t="s">
        <v>188</v>
      </c>
      <c r="AD31" s="20">
        <f t="shared" si="9"/>
        <v>0.26896551724137929</v>
      </c>
      <c r="AE31" s="16"/>
      <c r="AF31" s="16"/>
      <c r="AG31" s="16"/>
      <c r="AH31" s="16"/>
      <c r="AI31" s="16"/>
      <c r="AJ31" s="16"/>
      <c r="AK31" s="16"/>
      <c r="AL31" s="16"/>
      <c r="AM31" s="16"/>
    </row>
    <row r="32" spans="1:39" s="6" customFormat="1" ht="15" customHeight="1" x14ac:dyDescent="0.3">
      <c r="A32" s="6" t="s">
        <v>34</v>
      </c>
      <c r="B32" s="19">
        <v>51</v>
      </c>
      <c r="C32" s="19">
        <v>5</v>
      </c>
      <c r="D32" s="19" t="s">
        <v>188</v>
      </c>
      <c r="E32" s="20">
        <f t="shared" si="0"/>
        <v>8.9285714285714288E-2</v>
      </c>
      <c r="F32" s="19"/>
      <c r="G32" s="19">
        <v>53</v>
      </c>
      <c r="H32" s="19">
        <v>4</v>
      </c>
      <c r="I32" s="19" t="s">
        <v>188</v>
      </c>
      <c r="J32" s="20">
        <f t="shared" si="1"/>
        <v>7.0175438596491224E-2</v>
      </c>
      <c r="K32" s="19"/>
      <c r="L32" s="14">
        <f t="shared" si="2"/>
        <v>104</v>
      </c>
      <c r="M32" s="14">
        <f t="shared" si="3"/>
        <v>9</v>
      </c>
      <c r="N32" s="19" t="s">
        <v>188</v>
      </c>
      <c r="O32" s="20">
        <f t="shared" si="4"/>
        <v>7.9646017699115043E-2</v>
      </c>
      <c r="P32" s="19"/>
      <c r="Q32" s="19">
        <v>0</v>
      </c>
      <c r="R32" s="19">
        <v>0</v>
      </c>
      <c r="S32" s="19" t="s">
        <v>188</v>
      </c>
      <c r="T32" s="20" t="str">
        <f t="shared" si="5"/>
        <v>-</v>
      </c>
      <c r="U32" s="19"/>
      <c r="V32" s="19">
        <v>24</v>
      </c>
      <c r="W32" s="19">
        <v>21</v>
      </c>
      <c r="X32" s="19" t="s">
        <v>188</v>
      </c>
      <c r="Y32" s="20">
        <f t="shared" si="6"/>
        <v>0.46666666666666667</v>
      </c>
      <c r="Z32" s="19"/>
      <c r="AA32" s="14">
        <f t="shared" si="7"/>
        <v>128</v>
      </c>
      <c r="AB32" s="14">
        <f t="shared" si="8"/>
        <v>30</v>
      </c>
      <c r="AC32" s="19" t="s">
        <v>188</v>
      </c>
      <c r="AD32" s="20">
        <f t="shared" si="9"/>
        <v>0.189873417721519</v>
      </c>
      <c r="AE32" s="16"/>
      <c r="AF32" s="16"/>
      <c r="AG32" s="16"/>
      <c r="AH32" s="16"/>
      <c r="AI32" s="16"/>
      <c r="AJ32" s="16"/>
      <c r="AK32" s="16"/>
      <c r="AL32" s="16"/>
      <c r="AM32" s="16"/>
    </row>
    <row r="33" spans="1:39" s="6" customFormat="1" ht="15" customHeight="1" x14ac:dyDescent="0.3">
      <c r="A33" s="5" t="s">
        <v>35</v>
      </c>
      <c r="B33" s="19">
        <v>21</v>
      </c>
      <c r="C33" s="19">
        <v>4</v>
      </c>
      <c r="D33" s="19" t="s">
        <v>188</v>
      </c>
      <c r="E33" s="20">
        <f t="shared" si="0"/>
        <v>0.16</v>
      </c>
      <c r="F33" s="19"/>
      <c r="G33" s="19">
        <v>25</v>
      </c>
      <c r="H33" s="19">
        <v>2</v>
      </c>
      <c r="I33" s="19" t="s">
        <v>188</v>
      </c>
      <c r="J33" s="20">
        <f t="shared" si="1"/>
        <v>7.407407407407407E-2</v>
      </c>
      <c r="K33" s="19"/>
      <c r="L33" s="14">
        <f t="shared" si="2"/>
        <v>46</v>
      </c>
      <c r="M33" s="14">
        <f t="shared" si="3"/>
        <v>6</v>
      </c>
      <c r="N33" s="19" t="s">
        <v>188</v>
      </c>
      <c r="O33" s="20">
        <f t="shared" si="4"/>
        <v>0.11538461538461539</v>
      </c>
      <c r="P33" s="19"/>
      <c r="Q33" s="19">
        <v>2</v>
      </c>
      <c r="R33" s="19">
        <v>0</v>
      </c>
      <c r="S33" s="19" t="s">
        <v>188</v>
      </c>
      <c r="T33" s="20">
        <f t="shared" si="5"/>
        <v>0</v>
      </c>
      <c r="U33" s="19"/>
      <c r="V33" s="19">
        <v>2</v>
      </c>
      <c r="W33" s="19">
        <v>10</v>
      </c>
      <c r="X33" s="19" t="s">
        <v>188</v>
      </c>
      <c r="Y33" s="20">
        <f t="shared" si="6"/>
        <v>0.83333333333333337</v>
      </c>
      <c r="Z33" s="19"/>
      <c r="AA33" s="14">
        <f t="shared" si="7"/>
        <v>50</v>
      </c>
      <c r="AB33" s="14">
        <f t="shared" si="8"/>
        <v>16</v>
      </c>
      <c r="AC33" s="19" t="s">
        <v>188</v>
      </c>
      <c r="AD33" s="20">
        <f t="shared" si="9"/>
        <v>0.24242424242424243</v>
      </c>
      <c r="AE33" s="16"/>
      <c r="AF33" s="16"/>
      <c r="AG33" s="16"/>
      <c r="AH33" s="16"/>
      <c r="AI33" s="16"/>
      <c r="AJ33" s="16"/>
      <c r="AK33" s="16"/>
      <c r="AL33" s="16"/>
      <c r="AM33" s="16"/>
    </row>
    <row r="34" spans="1:39" s="6" customFormat="1" ht="15" customHeight="1" x14ac:dyDescent="0.3">
      <c r="A34" s="6" t="s">
        <v>36</v>
      </c>
      <c r="B34" s="19">
        <v>9</v>
      </c>
      <c r="C34" s="19">
        <v>1</v>
      </c>
      <c r="D34" s="19" t="s">
        <v>188</v>
      </c>
      <c r="E34" s="20">
        <f t="shared" si="0"/>
        <v>0.1</v>
      </c>
      <c r="F34" s="19"/>
      <c r="G34" s="19">
        <v>41</v>
      </c>
      <c r="H34" s="19">
        <v>4</v>
      </c>
      <c r="I34" s="19" t="s">
        <v>188</v>
      </c>
      <c r="J34" s="20">
        <f t="shared" si="1"/>
        <v>8.8888888888888892E-2</v>
      </c>
      <c r="K34" s="19"/>
      <c r="L34" s="14">
        <f t="shared" si="2"/>
        <v>50</v>
      </c>
      <c r="M34" s="14">
        <f t="shared" si="3"/>
        <v>5</v>
      </c>
      <c r="N34" s="19" t="s">
        <v>188</v>
      </c>
      <c r="O34" s="20">
        <f t="shared" si="4"/>
        <v>9.0909090909090912E-2</v>
      </c>
      <c r="P34" s="19"/>
      <c r="Q34" s="19">
        <v>0</v>
      </c>
      <c r="R34" s="19">
        <v>2</v>
      </c>
      <c r="S34" s="19" t="s">
        <v>188</v>
      </c>
      <c r="T34" s="20">
        <f t="shared" si="5"/>
        <v>1</v>
      </c>
      <c r="U34" s="19"/>
      <c r="V34" s="19">
        <v>2</v>
      </c>
      <c r="W34" s="19">
        <v>1</v>
      </c>
      <c r="X34" s="19" t="s">
        <v>188</v>
      </c>
      <c r="Y34" s="20">
        <f t="shared" si="6"/>
        <v>0.33333333333333331</v>
      </c>
      <c r="Z34" s="19"/>
      <c r="AA34" s="14">
        <f t="shared" si="7"/>
        <v>52</v>
      </c>
      <c r="AB34" s="14">
        <f t="shared" si="8"/>
        <v>8</v>
      </c>
      <c r="AC34" s="19" t="s">
        <v>188</v>
      </c>
      <c r="AD34" s="20">
        <f t="shared" si="9"/>
        <v>0.13333333333333333</v>
      </c>
      <c r="AE34" s="16"/>
      <c r="AF34" s="16"/>
      <c r="AG34" s="16"/>
      <c r="AH34" s="16"/>
      <c r="AI34" s="16"/>
      <c r="AJ34" s="16"/>
      <c r="AK34" s="16"/>
      <c r="AL34" s="16"/>
      <c r="AM34" s="16"/>
    </row>
    <row r="35" spans="1:39" s="6" customFormat="1" ht="15" customHeight="1" x14ac:dyDescent="0.3">
      <c r="A35" s="6" t="s">
        <v>37</v>
      </c>
      <c r="B35" s="19">
        <v>19</v>
      </c>
      <c r="C35" s="19">
        <v>0</v>
      </c>
      <c r="D35" s="19" t="s">
        <v>188</v>
      </c>
      <c r="E35" s="20">
        <f t="shared" si="0"/>
        <v>0</v>
      </c>
      <c r="F35" s="19"/>
      <c r="G35" s="19">
        <v>48</v>
      </c>
      <c r="H35" s="19">
        <v>8</v>
      </c>
      <c r="I35" s="19" t="s">
        <v>188</v>
      </c>
      <c r="J35" s="20">
        <f t="shared" si="1"/>
        <v>0.14285714285714285</v>
      </c>
      <c r="K35" s="19"/>
      <c r="L35" s="14">
        <f t="shared" si="2"/>
        <v>67</v>
      </c>
      <c r="M35" s="14">
        <f t="shared" si="3"/>
        <v>8</v>
      </c>
      <c r="N35" s="19" t="s">
        <v>188</v>
      </c>
      <c r="O35" s="20">
        <f t="shared" si="4"/>
        <v>0.10666666666666667</v>
      </c>
      <c r="P35" s="19"/>
      <c r="Q35" s="19">
        <v>2</v>
      </c>
      <c r="R35" s="19">
        <v>2</v>
      </c>
      <c r="S35" s="19" t="s">
        <v>188</v>
      </c>
      <c r="T35" s="20">
        <f t="shared" si="5"/>
        <v>0.5</v>
      </c>
      <c r="U35" s="19"/>
      <c r="V35" s="19">
        <v>6</v>
      </c>
      <c r="W35" s="19">
        <v>10</v>
      </c>
      <c r="X35" s="19" t="s">
        <v>188</v>
      </c>
      <c r="Y35" s="20">
        <f t="shared" si="6"/>
        <v>0.625</v>
      </c>
      <c r="Z35" s="19"/>
      <c r="AA35" s="14">
        <f t="shared" si="7"/>
        <v>75</v>
      </c>
      <c r="AB35" s="14">
        <f t="shared" si="8"/>
        <v>20</v>
      </c>
      <c r="AC35" s="19" t="s">
        <v>188</v>
      </c>
      <c r="AD35" s="20">
        <f t="shared" si="9"/>
        <v>0.21052631578947367</v>
      </c>
      <c r="AE35" s="16"/>
      <c r="AF35" s="16"/>
      <c r="AG35" s="16"/>
      <c r="AH35" s="16"/>
      <c r="AI35" s="16"/>
      <c r="AJ35" s="16"/>
      <c r="AK35" s="16"/>
      <c r="AL35" s="16"/>
      <c r="AM35" s="16"/>
    </row>
    <row r="36" spans="1:39" s="6" customFormat="1" ht="15" customHeight="1" x14ac:dyDescent="0.3">
      <c r="A36" s="5" t="s">
        <v>38</v>
      </c>
      <c r="B36" s="19">
        <v>0</v>
      </c>
      <c r="C36" s="19">
        <v>0</v>
      </c>
      <c r="D36" s="19" t="s">
        <v>188</v>
      </c>
      <c r="E36" s="20" t="str">
        <f t="shared" si="0"/>
        <v>-</v>
      </c>
      <c r="F36" s="19"/>
      <c r="G36" s="19">
        <v>0</v>
      </c>
      <c r="H36" s="19">
        <v>0</v>
      </c>
      <c r="I36" s="19" t="s">
        <v>188</v>
      </c>
      <c r="J36" s="20" t="str">
        <f t="shared" si="1"/>
        <v>-</v>
      </c>
      <c r="K36" s="19"/>
      <c r="L36" s="14">
        <f t="shared" si="2"/>
        <v>0</v>
      </c>
      <c r="M36" s="14">
        <f t="shared" si="3"/>
        <v>0</v>
      </c>
      <c r="N36" s="19" t="s">
        <v>188</v>
      </c>
      <c r="O36" s="20" t="str">
        <f t="shared" si="4"/>
        <v>-</v>
      </c>
      <c r="P36" s="19"/>
      <c r="Q36" s="19">
        <v>4</v>
      </c>
      <c r="R36" s="19">
        <v>6</v>
      </c>
      <c r="S36" s="19" t="s">
        <v>188</v>
      </c>
      <c r="T36" s="20">
        <f t="shared" si="5"/>
        <v>0.6</v>
      </c>
      <c r="U36" s="19"/>
      <c r="V36" s="19">
        <v>0</v>
      </c>
      <c r="W36" s="19">
        <v>0</v>
      </c>
      <c r="X36" s="19" t="s">
        <v>188</v>
      </c>
      <c r="Y36" s="20" t="str">
        <f t="shared" si="6"/>
        <v>-</v>
      </c>
      <c r="Z36" s="19"/>
      <c r="AA36" s="14">
        <f t="shared" si="7"/>
        <v>4</v>
      </c>
      <c r="AB36" s="14">
        <f t="shared" si="8"/>
        <v>6</v>
      </c>
      <c r="AC36" s="19" t="s">
        <v>188</v>
      </c>
      <c r="AD36" s="20">
        <f t="shared" si="9"/>
        <v>0.6</v>
      </c>
      <c r="AE36" s="16"/>
      <c r="AF36" s="16"/>
      <c r="AG36" s="16"/>
      <c r="AH36" s="16"/>
      <c r="AI36" s="16"/>
      <c r="AJ36" s="16"/>
      <c r="AK36" s="16"/>
      <c r="AL36" s="16"/>
      <c r="AM36" s="16"/>
    </row>
    <row r="37" spans="1:39" s="6" customFormat="1" ht="15" customHeight="1" x14ac:dyDescent="0.3">
      <c r="A37" s="6" t="s">
        <v>39</v>
      </c>
      <c r="B37" s="19">
        <v>4</v>
      </c>
      <c r="C37" s="19">
        <v>0</v>
      </c>
      <c r="D37" s="19" t="s">
        <v>188</v>
      </c>
      <c r="E37" s="20">
        <f t="shared" si="0"/>
        <v>0</v>
      </c>
      <c r="F37" s="19"/>
      <c r="G37" s="19">
        <v>50</v>
      </c>
      <c r="H37" s="19">
        <v>3</v>
      </c>
      <c r="I37" s="19" t="s">
        <v>188</v>
      </c>
      <c r="J37" s="20">
        <f t="shared" si="1"/>
        <v>5.6603773584905662E-2</v>
      </c>
      <c r="K37" s="19"/>
      <c r="L37" s="14">
        <f t="shared" si="2"/>
        <v>54</v>
      </c>
      <c r="M37" s="14">
        <f t="shared" si="3"/>
        <v>3</v>
      </c>
      <c r="N37" s="19" t="s">
        <v>188</v>
      </c>
      <c r="O37" s="20">
        <f t="shared" si="4"/>
        <v>5.2631578947368418E-2</v>
      </c>
      <c r="P37" s="19"/>
      <c r="Q37" s="19">
        <v>1</v>
      </c>
      <c r="R37" s="19">
        <v>2</v>
      </c>
      <c r="S37" s="19" t="s">
        <v>188</v>
      </c>
      <c r="T37" s="20">
        <f t="shared" si="5"/>
        <v>0.66666666666666663</v>
      </c>
      <c r="U37" s="19"/>
      <c r="V37" s="19">
        <v>8</v>
      </c>
      <c r="W37" s="19">
        <v>12</v>
      </c>
      <c r="X37" s="19" t="s">
        <v>188</v>
      </c>
      <c r="Y37" s="20">
        <f t="shared" si="6"/>
        <v>0.6</v>
      </c>
      <c r="Z37" s="19"/>
      <c r="AA37" s="14">
        <f t="shared" si="7"/>
        <v>63</v>
      </c>
      <c r="AB37" s="14">
        <f t="shared" si="8"/>
        <v>17</v>
      </c>
      <c r="AC37" s="19" t="s">
        <v>188</v>
      </c>
      <c r="AD37" s="20">
        <f t="shared" si="9"/>
        <v>0.21249999999999999</v>
      </c>
      <c r="AE37" s="16"/>
      <c r="AF37" s="16"/>
      <c r="AG37" s="16"/>
      <c r="AH37" s="16"/>
      <c r="AI37" s="16"/>
      <c r="AJ37" s="16"/>
      <c r="AK37" s="16"/>
      <c r="AL37" s="16"/>
      <c r="AM37" s="16"/>
    </row>
    <row r="38" spans="1:39" s="6" customFormat="1" ht="15" customHeight="1" x14ac:dyDescent="0.3">
      <c r="A38" s="6" t="s">
        <v>40</v>
      </c>
      <c r="B38" s="19">
        <v>10</v>
      </c>
      <c r="C38" s="19">
        <v>3</v>
      </c>
      <c r="D38" s="19" t="s">
        <v>188</v>
      </c>
      <c r="E38" s="20">
        <f t="shared" si="0"/>
        <v>0.23076923076923078</v>
      </c>
      <c r="F38" s="19"/>
      <c r="G38" s="19">
        <v>31</v>
      </c>
      <c r="H38" s="19">
        <v>3</v>
      </c>
      <c r="I38" s="19" t="s">
        <v>188</v>
      </c>
      <c r="J38" s="20">
        <f t="shared" si="1"/>
        <v>8.8235294117647065E-2</v>
      </c>
      <c r="K38" s="19"/>
      <c r="L38" s="14">
        <f t="shared" si="2"/>
        <v>41</v>
      </c>
      <c r="M38" s="14">
        <f t="shared" si="3"/>
        <v>6</v>
      </c>
      <c r="N38" s="19" t="s">
        <v>188</v>
      </c>
      <c r="O38" s="20">
        <f t="shared" si="4"/>
        <v>0.1276595744680851</v>
      </c>
      <c r="P38" s="19"/>
      <c r="Q38" s="19">
        <v>0</v>
      </c>
      <c r="R38" s="19">
        <v>0</v>
      </c>
      <c r="S38" s="19" t="s">
        <v>188</v>
      </c>
      <c r="T38" s="20" t="str">
        <f t="shared" si="5"/>
        <v>-</v>
      </c>
      <c r="U38" s="19"/>
      <c r="V38" s="19">
        <v>6</v>
      </c>
      <c r="W38" s="19">
        <v>4</v>
      </c>
      <c r="X38" s="19" t="s">
        <v>188</v>
      </c>
      <c r="Y38" s="20">
        <f t="shared" si="6"/>
        <v>0.4</v>
      </c>
      <c r="Z38" s="19"/>
      <c r="AA38" s="14">
        <f t="shared" si="7"/>
        <v>47</v>
      </c>
      <c r="AB38" s="14">
        <f t="shared" si="8"/>
        <v>10</v>
      </c>
      <c r="AC38" s="19" t="s">
        <v>188</v>
      </c>
      <c r="AD38" s="20">
        <f t="shared" si="9"/>
        <v>0.17543859649122806</v>
      </c>
      <c r="AE38" s="16"/>
      <c r="AF38" s="16"/>
      <c r="AG38" s="16"/>
      <c r="AH38" s="16"/>
      <c r="AI38" s="16"/>
      <c r="AJ38" s="16"/>
      <c r="AK38" s="16"/>
      <c r="AL38" s="16"/>
      <c r="AM38" s="16"/>
    </row>
    <row r="39" spans="1:39" s="6" customFormat="1" ht="15" customHeight="1" x14ac:dyDescent="0.3">
      <c r="A39" s="6" t="s">
        <v>41</v>
      </c>
      <c r="B39" s="19">
        <v>1</v>
      </c>
      <c r="C39" s="19">
        <v>0</v>
      </c>
      <c r="D39" s="19" t="s">
        <v>188</v>
      </c>
      <c r="E39" s="20">
        <f t="shared" si="0"/>
        <v>0</v>
      </c>
      <c r="F39" s="19"/>
      <c r="G39" s="19">
        <v>18</v>
      </c>
      <c r="H39" s="19">
        <v>0</v>
      </c>
      <c r="I39" s="19" t="s">
        <v>188</v>
      </c>
      <c r="J39" s="20">
        <f t="shared" si="1"/>
        <v>0</v>
      </c>
      <c r="K39" s="19"/>
      <c r="L39" s="14">
        <f t="shared" si="2"/>
        <v>19</v>
      </c>
      <c r="M39" s="14">
        <f t="shared" si="3"/>
        <v>0</v>
      </c>
      <c r="N39" s="19" t="s">
        <v>188</v>
      </c>
      <c r="O39" s="20">
        <f t="shared" si="4"/>
        <v>0</v>
      </c>
      <c r="P39" s="19"/>
      <c r="Q39" s="19">
        <v>0</v>
      </c>
      <c r="R39" s="19">
        <v>1</v>
      </c>
      <c r="S39" s="19" t="s">
        <v>188</v>
      </c>
      <c r="T39" s="20">
        <f t="shared" si="5"/>
        <v>1</v>
      </c>
      <c r="U39" s="19"/>
      <c r="V39" s="19">
        <v>1</v>
      </c>
      <c r="W39" s="19">
        <v>3</v>
      </c>
      <c r="X39" s="19" t="s">
        <v>188</v>
      </c>
      <c r="Y39" s="20">
        <f t="shared" si="6"/>
        <v>0.75</v>
      </c>
      <c r="Z39" s="19"/>
      <c r="AA39" s="14">
        <f t="shared" si="7"/>
        <v>20</v>
      </c>
      <c r="AB39" s="14">
        <f t="shared" si="8"/>
        <v>4</v>
      </c>
      <c r="AC39" s="19" t="s">
        <v>188</v>
      </c>
      <c r="AD39" s="20">
        <f t="shared" si="9"/>
        <v>0.16666666666666666</v>
      </c>
      <c r="AE39" s="16"/>
      <c r="AF39" s="16"/>
      <c r="AG39" s="16"/>
      <c r="AH39" s="16"/>
      <c r="AI39" s="16"/>
      <c r="AJ39" s="16"/>
      <c r="AK39" s="16"/>
      <c r="AL39" s="16"/>
      <c r="AM39" s="16"/>
    </row>
    <row r="40" spans="1:39" s="6" customFormat="1" ht="15" customHeight="1" x14ac:dyDescent="0.3">
      <c r="A40" s="5" t="s">
        <v>42</v>
      </c>
      <c r="B40" s="19">
        <v>13</v>
      </c>
      <c r="C40" s="19">
        <v>0</v>
      </c>
      <c r="D40" s="19" t="s">
        <v>188</v>
      </c>
      <c r="E40" s="20">
        <f t="shared" si="0"/>
        <v>0</v>
      </c>
      <c r="F40" s="19"/>
      <c r="G40" s="19">
        <v>32</v>
      </c>
      <c r="H40" s="19">
        <v>4</v>
      </c>
      <c r="I40" s="19" t="s">
        <v>188</v>
      </c>
      <c r="J40" s="20">
        <f t="shared" si="1"/>
        <v>0.1111111111111111</v>
      </c>
      <c r="K40" s="19"/>
      <c r="L40" s="14">
        <f t="shared" si="2"/>
        <v>45</v>
      </c>
      <c r="M40" s="14">
        <f t="shared" si="3"/>
        <v>4</v>
      </c>
      <c r="N40" s="19" t="s">
        <v>188</v>
      </c>
      <c r="O40" s="20">
        <f t="shared" si="4"/>
        <v>8.1632653061224483E-2</v>
      </c>
      <c r="P40" s="19"/>
      <c r="Q40" s="19">
        <v>1</v>
      </c>
      <c r="R40" s="19">
        <v>0</v>
      </c>
      <c r="S40" s="19" t="s">
        <v>188</v>
      </c>
      <c r="T40" s="20">
        <f t="shared" si="5"/>
        <v>0</v>
      </c>
      <c r="U40" s="19"/>
      <c r="V40" s="19">
        <v>8</v>
      </c>
      <c r="W40" s="19">
        <v>11</v>
      </c>
      <c r="X40" s="19" t="s">
        <v>188</v>
      </c>
      <c r="Y40" s="20">
        <f t="shared" si="6"/>
        <v>0.57894736842105265</v>
      </c>
      <c r="Z40" s="19"/>
      <c r="AA40" s="14">
        <f t="shared" si="7"/>
        <v>54</v>
      </c>
      <c r="AB40" s="14">
        <f t="shared" si="8"/>
        <v>15</v>
      </c>
      <c r="AC40" s="19" t="s">
        <v>188</v>
      </c>
      <c r="AD40" s="20">
        <f t="shared" si="9"/>
        <v>0.21739130434782608</v>
      </c>
      <c r="AE40" s="16"/>
      <c r="AF40" s="16"/>
      <c r="AG40" s="16"/>
      <c r="AH40" s="16"/>
      <c r="AI40" s="16"/>
      <c r="AJ40" s="16"/>
      <c r="AK40" s="16"/>
      <c r="AL40" s="16"/>
      <c r="AM40" s="16"/>
    </row>
    <row r="41" spans="1:39" s="6" customFormat="1" ht="15" customHeight="1" x14ac:dyDescent="0.3">
      <c r="A41" s="5" t="s">
        <v>43</v>
      </c>
      <c r="B41" s="19">
        <v>0</v>
      </c>
      <c r="C41" s="19">
        <v>0</v>
      </c>
      <c r="D41" s="19" t="s">
        <v>188</v>
      </c>
      <c r="E41" s="20" t="str">
        <f t="shared" si="0"/>
        <v>-</v>
      </c>
      <c r="F41" s="19"/>
      <c r="G41" s="19">
        <v>70</v>
      </c>
      <c r="H41" s="19">
        <v>4</v>
      </c>
      <c r="I41" s="19" t="s">
        <v>188</v>
      </c>
      <c r="J41" s="20">
        <f t="shared" si="1"/>
        <v>5.4054054054054057E-2</v>
      </c>
      <c r="K41" s="19"/>
      <c r="L41" s="14">
        <f t="shared" si="2"/>
        <v>70</v>
      </c>
      <c r="M41" s="14">
        <f t="shared" si="3"/>
        <v>4</v>
      </c>
      <c r="N41" s="19" t="s">
        <v>188</v>
      </c>
      <c r="O41" s="20">
        <f t="shared" si="4"/>
        <v>5.4054054054054057E-2</v>
      </c>
      <c r="P41" s="19"/>
      <c r="Q41" s="19">
        <v>0</v>
      </c>
      <c r="R41" s="19">
        <v>0</v>
      </c>
      <c r="S41" s="19" t="s">
        <v>188</v>
      </c>
      <c r="T41" s="20" t="str">
        <f t="shared" si="5"/>
        <v>-</v>
      </c>
      <c r="U41" s="19"/>
      <c r="V41" s="19">
        <v>2</v>
      </c>
      <c r="W41" s="19">
        <v>2</v>
      </c>
      <c r="X41" s="19" t="s">
        <v>188</v>
      </c>
      <c r="Y41" s="20">
        <f t="shared" si="6"/>
        <v>0.5</v>
      </c>
      <c r="Z41" s="19"/>
      <c r="AA41" s="14">
        <f t="shared" si="7"/>
        <v>72</v>
      </c>
      <c r="AB41" s="14">
        <f t="shared" si="8"/>
        <v>6</v>
      </c>
      <c r="AC41" s="19" t="s">
        <v>188</v>
      </c>
      <c r="AD41" s="20">
        <f t="shared" si="9"/>
        <v>7.6923076923076927E-2</v>
      </c>
      <c r="AE41" s="16"/>
      <c r="AF41" s="16"/>
      <c r="AG41" s="16"/>
      <c r="AH41" s="16"/>
      <c r="AI41" s="16"/>
      <c r="AJ41" s="16"/>
      <c r="AK41" s="16"/>
      <c r="AL41" s="16"/>
      <c r="AM41" s="16"/>
    </row>
    <row r="42" spans="1:39" s="6" customFormat="1" ht="15" customHeight="1" x14ac:dyDescent="0.3">
      <c r="A42" s="5" t="s">
        <v>44</v>
      </c>
      <c r="B42" s="19">
        <v>4</v>
      </c>
      <c r="C42" s="19">
        <v>1</v>
      </c>
      <c r="D42" s="19" t="s">
        <v>188</v>
      </c>
      <c r="E42" s="20">
        <f t="shared" si="0"/>
        <v>0.2</v>
      </c>
      <c r="F42" s="19"/>
      <c r="G42" s="19">
        <v>22</v>
      </c>
      <c r="H42" s="19">
        <v>4</v>
      </c>
      <c r="I42" s="19" t="s">
        <v>188</v>
      </c>
      <c r="J42" s="20">
        <f t="shared" si="1"/>
        <v>0.15384615384615385</v>
      </c>
      <c r="K42" s="19"/>
      <c r="L42" s="14">
        <f t="shared" si="2"/>
        <v>26</v>
      </c>
      <c r="M42" s="14">
        <f t="shared" si="3"/>
        <v>5</v>
      </c>
      <c r="N42" s="19" t="s">
        <v>188</v>
      </c>
      <c r="O42" s="20">
        <f t="shared" si="4"/>
        <v>0.16129032258064516</v>
      </c>
      <c r="P42" s="19"/>
      <c r="Q42" s="19">
        <v>0</v>
      </c>
      <c r="R42" s="19">
        <v>1</v>
      </c>
      <c r="S42" s="19" t="s">
        <v>188</v>
      </c>
      <c r="T42" s="20">
        <f t="shared" si="5"/>
        <v>1</v>
      </c>
      <c r="U42" s="19"/>
      <c r="V42" s="19">
        <v>3</v>
      </c>
      <c r="W42" s="19">
        <v>6</v>
      </c>
      <c r="X42" s="19" t="s">
        <v>188</v>
      </c>
      <c r="Y42" s="20">
        <f t="shared" si="6"/>
        <v>0.66666666666666663</v>
      </c>
      <c r="Z42" s="19"/>
      <c r="AA42" s="14">
        <f t="shared" si="7"/>
        <v>29</v>
      </c>
      <c r="AB42" s="14">
        <f t="shared" si="8"/>
        <v>12</v>
      </c>
      <c r="AC42" s="19" t="s">
        <v>188</v>
      </c>
      <c r="AD42" s="20">
        <f t="shared" si="9"/>
        <v>0.29268292682926828</v>
      </c>
      <c r="AE42" s="16"/>
      <c r="AF42" s="16"/>
      <c r="AG42" s="16"/>
      <c r="AH42" s="16"/>
      <c r="AI42" s="16"/>
      <c r="AJ42" s="16"/>
      <c r="AK42" s="16"/>
      <c r="AL42" s="16"/>
      <c r="AM42" s="16"/>
    </row>
    <row r="43" spans="1:39" s="6" customFormat="1" ht="15" customHeight="1" x14ac:dyDescent="0.3">
      <c r="A43" s="5" t="s">
        <v>45</v>
      </c>
      <c r="B43" s="19">
        <v>6</v>
      </c>
      <c r="C43" s="19">
        <v>2</v>
      </c>
      <c r="D43" s="19" t="s">
        <v>188</v>
      </c>
      <c r="E43" s="20">
        <f t="shared" si="0"/>
        <v>0.25</v>
      </c>
      <c r="F43" s="19"/>
      <c r="G43" s="19">
        <v>14</v>
      </c>
      <c r="H43" s="19">
        <v>2</v>
      </c>
      <c r="I43" s="19" t="s">
        <v>188</v>
      </c>
      <c r="J43" s="20">
        <f t="shared" si="1"/>
        <v>0.125</v>
      </c>
      <c r="K43" s="19"/>
      <c r="L43" s="14">
        <f t="shared" si="2"/>
        <v>20</v>
      </c>
      <c r="M43" s="14">
        <f t="shared" si="3"/>
        <v>4</v>
      </c>
      <c r="N43" s="19" t="s">
        <v>188</v>
      </c>
      <c r="O43" s="20">
        <f t="shared" si="4"/>
        <v>0.16666666666666666</v>
      </c>
      <c r="P43" s="19"/>
      <c r="Q43" s="19">
        <v>0</v>
      </c>
      <c r="R43" s="19">
        <v>0</v>
      </c>
      <c r="S43" s="19" t="s">
        <v>188</v>
      </c>
      <c r="T43" s="20" t="str">
        <f t="shared" si="5"/>
        <v>-</v>
      </c>
      <c r="U43" s="19"/>
      <c r="V43" s="19">
        <v>7</v>
      </c>
      <c r="W43" s="19">
        <v>3</v>
      </c>
      <c r="X43" s="19" t="s">
        <v>188</v>
      </c>
      <c r="Y43" s="20">
        <f t="shared" si="6"/>
        <v>0.3</v>
      </c>
      <c r="Z43" s="19"/>
      <c r="AA43" s="14">
        <f t="shared" si="7"/>
        <v>27</v>
      </c>
      <c r="AB43" s="14">
        <f t="shared" si="8"/>
        <v>7</v>
      </c>
      <c r="AC43" s="19" t="s">
        <v>188</v>
      </c>
      <c r="AD43" s="20">
        <f t="shared" si="9"/>
        <v>0.20588235294117646</v>
      </c>
      <c r="AE43" s="16"/>
      <c r="AF43" s="16"/>
      <c r="AG43" s="16"/>
      <c r="AH43" s="16"/>
      <c r="AI43" s="16"/>
      <c r="AJ43" s="16"/>
      <c r="AK43" s="16"/>
      <c r="AL43" s="16"/>
      <c r="AM43" s="16"/>
    </row>
    <row r="44" spans="1:39" s="6" customFormat="1" ht="15" customHeight="1" x14ac:dyDescent="0.3">
      <c r="A44" s="5" t="s">
        <v>46</v>
      </c>
      <c r="B44" s="19">
        <v>2</v>
      </c>
      <c r="C44" s="19">
        <v>0</v>
      </c>
      <c r="D44" s="19" t="s">
        <v>188</v>
      </c>
      <c r="E44" s="20">
        <f t="shared" si="0"/>
        <v>0</v>
      </c>
      <c r="F44" s="19"/>
      <c r="G44" s="19">
        <v>45</v>
      </c>
      <c r="H44" s="19">
        <v>4</v>
      </c>
      <c r="I44" s="19" t="s">
        <v>188</v>
      </c>
      <c r="J44" s="20">
        <f t="shared" si="1"/>
        <v>8.1632653061224483E-2</v>
      </c>
      <c r="K44" s="19"/>
      <c r="L44" s="14">
        <f t="shared" si="2"/>
        <v>47</v>
      </c>
      <c r="M44" s="14">
        <f t="shared" si="3"/>
        <v>4</v>
      </c>
      <c r="N44" s="19" t="s">
        <v>188</v>
      </c>
      <c r="O44" s="20">
        <f t="shared" si="4"/>
        <v>7.8431372549019607E-2</v>
      </c>
      <c r="P44" s="19"/>
      <c r="Q44" s="19">
        <v>0</v>
      </c>
      <c r="R44" s="19">
        <v>0</v>
      </c>
      <c r="S44" s="19" t="s">
        <v>188</v>
      </c>
      <c r="T44" s="20" t="str">
        <f t="shared" si="5"/>
        <v>-</v>
      </c>
      <c r="U44" s="19"/>
      <c r="V44" s="19">
        <v>4</v>
      </c>
      <c r="W44" s="19">
        <v>2</v>
      </c>
      <c r="X44" s="19" t="s">
        <v>188</v>
      </c>
      <c r="Y44" s="20">
        <f t="shared" si="6"/>
        <v>0.33333333333333331</v>
      </c>
      <c r="Z44" s="19"/>
      <c r="AA44" s="14">
        <f t="shared" si="7"/>
        <v>51</v>
      </c>
      <c r="AB44" s="14">
        <f t="shared" si="8"/>
        <v>6</v>
      </c>
      <c r="AC44" s="19" t="s">
        <v>188</v>
      </c>
      <c r="AD44" s="20">
        <f t="shared" si="9"/>
        <v>0.10526315789473684</v>
      </c>
      <c r="AE44" s="16"/>
      <c r="AF44" s="16"/>
      <c r="AG44" s="16"/>
      <c r="AH44" s="16"/>
      <c r="AI44" s="16"/>
      <c r="AJ44" s="16"/>
      <c r="AK44" s="16"/>
      <c r="AL44" s="16"/>
      <c r="AM44" s="16"/>
    </row>
    <row r="45" spans="1:39" s="6" customFormat="1" ht="15" customHeight="1" x14ac:dyDescent="0.3">
      <c r="A45" s="5" t="s">
        <v>47</v>
      </c>
      <c r="B45" s="19">
        <v>8</v>
      </c>
      <c r="C45" s="19">
        <v>0</v>
      </c>
      <c r="D45" s="19" t="s">
        <v>188</v>
      </c>
      <c r="E45" s="20">
        <f t="shared" si="0"/>
        <v>0</v>
      </c>
      <c r="F45" s="19"/>
      <c r="G45" s="19">
        <v>9</v>
      </c>
      <c r="H45" s="19">
        <v>0</v>
      </c>
      <c r="I45" s="19" t="s">
        <v>188</v>
      </c>
      <c r="J45" s="20">
        <f t="shared" si="1"/>
        <v>0</v>
      </c>
      <c r="K45" s="19"/>
      <c r="L45" s="14">
        <f t="shared" si="2"/>
        <v>17</v>
      </c>
      <c r="M45" s="14">
        <f t="shared" si="3"/>
        <v>0</v>
      </c>
      <c r="N45" s="19" t="s">
        <v>188</v>
      </c>
      <c r="O45" s="20">
        <f t="shared" si="4"/>
        <v>0</v>
      </c>
      <c r="P45" s="19"/>
      <c r="Q45" s="19">
        <v>0</v>
      </c>
      <c r="R45" s="19">
        <v>3</v>
      </c>
      <c r="S45" s="19" t="s">
        <v>188</v>
      </c>
      <c r="T45" s="20">
        <f t="shared" si="5"/>
        <v>1</v>
      </c>
      <c r="U45" s="19"/>
      <c r="V45" s="19">
        <v>1</v>
      </c>
      <c r="W45" s="19">
        <v>0</v>
      </c>
      <c r="X45" s="19" t="s">
        <v>188</v>
      </c>
      <c r="Y45" s="20">
        <f t="shared" si="6"/>
        <v>0</v>
      </c>
      <c r="Z45" s="19"/>
      <c r="AA45" s="14">
        <f t="shared" si="7"/>
        <v>18</v>
      </c>
      <c r="AB45" s="14">
        <f t="shared" si="8"/>
        <v>3</v>
      </c>
      <c r="AC45" s="19" t="s">
        <v>188</v>
      </c>
      <c r="AD45" s="20">
        <f t="shared" si="9"/>
        <v>0.14285714285714285</v>
      </c>
      <c r="AE45" s="16"/>
      <c r="AF45" s="16"/>
      <c r="AG45" s="16"/>
      <c r="AH45" s="16"/>
      <c r="AI45" s="16"/>
      <c r="AJ45" s="16"/>
      <c r="AK45" s="16"/>
      <c r="AL45" s="16"/>
      <c r="AM45" s="16"/>
    </row>
    <row r="46" spans="1:39" s="6" customFormat="1" ht="15" customHeight="1" x14ac:dyDescent="0.3">
      <c r="A46" s="5" t="s">
        <v>48</v>
      </c>
      <c r="B46" s="19">
        <v>26</v>
      </c>
      <c r="C46" s="19">
        <v>5</v>
      </c>
      <c r="D46" s="19" t="s">
        <v>188</v>
      </c>
      <c r="E46" s="20">
        <f t="shared" si="0"/>
        <v>0.16129032258064516</v>
      </c>
      <c r="F46" s="19"/>
      <c r="G46" s="19">
        <v>18</v>
      </c>
      <c r="H46" s="19">
        <v>2</v>
      </c>
      <c r="I46" s="19" t="s">
        <v>188</v>
      </c>
      <c r="J46" s="20">
        <f t="shared" si="1"/>
        <v>0.1</v>
      </c>
      <c r="K46" s="19"/>
      <c r="L46" s="14">
        <f t="shared" si="2"/>
        <v>44</v>
      </c>
      <c r="M46" s="14">
        <f t="shared" si="3"/>
        <v>7</v>
      </c>
      <c r="N46" s="19" t="s">
        <v>188</v>
      </c>
      <c r="O46" s="20">
        <f t="shared" si="4"/>
        <v>0.13725490196078433</v>
      </c>
      <c r="P46" s="19"/>
      <c r="Q46" s="19">
        <v>0</v>
      </c>
      <c r="R46" s="19">
        <v>3</v>
      </c>
      <c r="S46" s="19" t="s">
        <v>188</v>
      </c>
      <c r="T46" s="20">
        <f t="shared" si="5"/>
        <v>1</v>
      </c>
      <c r="U46" s="19"/>
      <c r="V46" s="19">
        <v>9</v>
      </c>
      <c r="W46" s="19">
        <v>11</v>
      </c>
      <c r="X46" s="19" t="s">
        <v>188</v>
      </c>
      <c r="Y46" s="20">
        <f t="shared" si="6"/>
        <v>0.55000000000000004</v>
      </c>
      <c r="Z46" s="19"/>
      <c r="AA46" s="14">
        <f t="shared" si="7"/>
        <v>53</v>
      </c>
      <c r="AB46" s="14">
        <f t="shared" si="8"/>
        <v>21</v>
      </c>
      <c r="AC46" s="19" t="s">
        <v>188</v>
      </c>
      <c r="AD46" s="20">
        <f t="shared" si="9"/>
        <v>0.28378378378378377</v>
      </c>
      <c r="AE46" s="16"/>
      <c r="AF46" s="16"/>
      <c r="AG46" s="16"/>
      <c r="AH46" s="16"/>
      <c r="AI46" s="16"/>
      <c r="AJ46" s="16"/>
      <c r="AK46" s="16"/>
      <c r="AL46" s="16"/>
      <c r="AM46" s="16"/>
    </row>
    <row r="47" spans="1:39" s="6" customFormat="1" ht="15" customHeight="1" x14ac:dyDescent="0.3">
      <c r="A47" s="5" t="s">
        <v>49</v>
      </c>
      <c r="B47" s="19">
        <v>18</v>
      </c>
      <c r="C47" s="19">
        <v>6</v>
      </c>
      <c r="D47" s="19" t="s">
        <v>188</v>
      </c>
      <c r="E47" s="20">
        <f t="shared" si="0"/>
        <v>0.25</v>
      </c>
      <c r="F47" s="19"/>
      <c r="G47" s="19">
        <v>45</v>
      </c>
      <c r="H47" s="19">
        <v>2</v>
      </c>
      <c r="I47" s="19" t="s">
        <v>188</v>
      </c>
      <c r="J47" s="20">
        <f t="shared" si="1"/>
        <v>4.2553191489361701E-2</v>
      </c>
      <c r="K47" s="19"/>
      <c r="L47" s="14">
        <f t="shared" si="2"/>
        <v>63</v>
      </c>
      <c r="M47" s="14">
        <f t="shared" si="3"/>
        <v>8</v>
      </c>
      <c r="N47" s="19" t="s">
        <v>188</v>
      </c>
      <c r="O47" s="20">
        <f t="shared" si="4"/>
        <v>0.11267605633802817</v>
      </c>
      <c r="P47" s="19"/>
      <c r="Q47" s="19">
        <v>0</v>
      </c>
      <c r="R47" s="19">
        <v>0</v>
      </c>
      <c r="S47" s="19" t="s">
        <v>188</v>
      </c>
      <c r="T47" s="20" t="str">
        <f t="shared" si="5"/>
        <v>-</v>
      </c>
      <c r="U47" s="19"/>
      <c r="V47" s="19">
        <v>5</v>
      </c>
      <c r="W47" s="19">
        <v>5</v>
      </c>
      <c r="X47" s="19" t="s">
        <v>188</v>
      </c>
      <c r="Y47" s="20">
        <f t="shared" si="6"/>
        <v>0.5</v>
      </c>
      <c r="Z47" s="19"/>
      <c r="AA47" s="14">
        <f t="shared" si="7"/>
        <v>68</v>
      </c>
      <c r="AB47" s="14">
        <f t="shared" si="8"/>
        <v>13</v>
      </c>
      <c r="AC47" s="19" t="s">
        <v>188</v>
      </c>
      <c r="AD47" s="20">
        <f t="shared" si="9"/>
        <v>0.16049382716049382</v>
      </c>
      <c r="AE47" s="16"/>
      <c r="AF47" s="16"/>
      <c r="AG47" s="16"/>
      <c r="AH47" s="16"/>
      <c r="AI47" s="16"/>
      <c r="AJ47" s="16"/>
      <c r="AK47" s="16"/>
      <c r="AL47" s="16"/>
      <c r="AM47" s="16"/>
    </row>
    <row r="48" spans="1:39" s="6" customFormat="1" ht="15" customHeight="1" x14ac:dyDescent="0.3">
      <c r="A48" s="5" t="s">
        <v>50</v>
      </c>
      <c r="B48" s="19">
        <v>0</v>
      </c>
      <c r="C48" s="19">
        <v>0</v>
      </c>
      <c r="D48" s="19" t="s">
        <v>188</v>
      </c>
      <c r="E48" s="20" t="str">
        <f t="shared" si="0"/>
        <v>-</v>
      </c>
      <c r="F48" s="19"/>
      <c r="G48" s="19">
        <v>2</v>
      </c>
      <c r="H48" s="19">
        <v>0</v>
      </c>
      <c r="I48" s="19" t="s">
        <v>188</v>
      </c>
      <c r="J48" s="20">
        <f t="shared" si="1"/>
        <v>0</v>
      </c>
      <c r="K48" s="19"/>
      <c r="L48" s="14">
        <f t="shared" si="2"/>
        <v>2</v>
      </c>
      <c r="M48" s="14">
        <f t="shared" si="3"/>
        <v>0</v>
      </c>
      <c r="N48" s="19" t="s">
        <v>188</v>
      </c>
      <c r="O48" s="20">
        <f t="shared" si="4"/>
        <v>0</v>
      </c>
      <c r="P48" s="19"/>
      <c r="Q48" s="19">
        <v>0</v>
      </c>
      <c r="R48" s="19">
        <v>0</v>
      </c>
      <c r="S48" s="19" t="s">
        <v>188</v>
      </c>
      <c r="T48" s="20" t="str">
        <f t="shared" si="5"/>
        <v>-</v>
      </c>
      <c r="U48" s="19"/>
      <c r="V48" s="19">
        <v>0</v>
      </c>
      <c r="W48" s="19">
        <v>0</v>
      </c>
      <c r="X48" s="19" t="s">
        <v>188</v>
      </c>
      <c r="Y48" s="20" t="str">
        <f t="shared" si="6"/>
        <v>-</v>
      </c>
      <c r="Z48" s="19"/>
      <c r="AA48" s="14">
        <f t="shared" si="7"/>
        <v>2</v>
      </c>
      <c r="AB48" s="14">
        <f t="shared" si="8"/>
        <v>0</v>
      </c>
      <c r="AC48" s="19" t="s">
        <v>188</v>
      </c>
      <c r="AD48" s="20">
        <f t="shared" si="9"/>
        <v>0</v>
      </c>
      <c r="AE48" s="16"/>
      <c r="AF48" s="16"/>
      <c r="AG48" s="16"/>
      <c r="AH48" s="16"/>
      <c r="AI48" s="16"/>
      <c r="AJ48" s="16"/>
      <c r="AK48" s="16"/>
      <c r="AL48" s="16"/>
      <c r="AM48" s="16"/>
    </row>
    <row r="49" spans="1:39" s="6" customFormat="1" ht="15" customHeight="1" x14ac:dyDescent="0.3">
      <c r="A49" s="22" t="s">
        <v>51</v>
      </c>
      <c r="B49" s="14">
        <f>SUM(B50:B56)</f>
        <v>374</v>
      </c>
      <c r="C49" s="14">
        <f>SUM(C50:C56)</f>
        <v>66</v>
      </c>
      <c r="D49" s="19" t="s">
        <v>188</v>
      </c>
      <c r="E49" s="15">
        <f t="shared" si="0"/>
        <v>0.15</v>
      </c>
      <c r="F49" s="14"/>
      <c r="G49" s="14">
        <f>SUM(G50:G56)</f>
        <v>49</v>
      </c>
      <c r="H49" s="14">
        <f>SUM(H50:H56)</f>
        <v>6</v>
      </c>
      <c r="I49" s="19" t="s">
        <v>188</v>
      </c>
      <c r="J49" s="15">
        <f t="shared" si="1"/>
        <v>0.10909090909090909</v>
      </c>
      <c r="K49" s="14"/>
      <c r="L49" s="14">
        <f t="shared" si="2"/>
        <v>423</v>
      </c>
      <c r="M49" s="14">
        <f t="shared" si="3"/>
        <v>72</v>
      </c>
      <c r="N49" s="19" t="s">
        <v>188</v>
      </c>
      <c r="O49" s="15">
        <f t="shared" si="4"/>
        <v>0.14545454545454545</v>
      </c>
      <c r="P49" s="14"/>
      <c r="Q49" s="14">
        <f>SUM(Q50:Q56)</f>
        <v>9</v>
      </c>
      <c r="R49" s="14">
        <f>SUM(R50:R56)</f>
        <v>24</v>
      </c>
      <c r="S49" s="19" t="s">
        <v>188</v>
      </c>
      <c r="T49" s="15">
        <f t="shared" si="5"/>
        <v>0.72727272727272729</v>
      </c>
      <c r="U49" s="14"/>
      <c r="V49" s="14">
        <f>SUM(V50:V56)</f>
        <v>147</v>
      </c>
      <c r="W49" s="14">
        <f>SUM(W50:W56)</f>
        <v>155</v>
      </c>
      <c r="X49" s="19" t="s">
        <v>188</v>
      </c>
      <c r="Y49" s="15">
        <f t="shared" si="6"/>
        <v>0.51324503311258274</v>
      </c>
      <c r="Z49" s="14"/>
      <c r="AA49" s="14">
        <f t="shared" si="7"/>
        <v>579</v>
      </c>
      <c r="AB49" s="14">
        <f t="shared" si="8"/>
        <v>251</v>
      </c>
      <c r="AC49" s="19" t="s">
        <v>188</v>
      </c>
      <c r="AD49" s="15">
        <f t="shared" si="9"/>
        <v>0.30240963855421688</v>
      </c>
      <c r="AE49" s="16"/>
      <c r="AF49" s="16"/>
      <c r="AG49" s="16"/>
      <c r="AH49" s="16"/>
      <c r="AI49" s="16"/>
      <c r="AJ49" s="16"/>
      <c r="AK49" s="16"/>
      <c r="AL49" s="16"/>
      <c r="AM49" s="16"/>
    </row>
    <row r="50" spans="1:39" s="6" customFormat="1" ht="15" customHeight="1" x14ac:dyDescent="0.3">
      <c r="A50" s="5" t="s">
        <v>52</v>
      </c>
      <c r="B50" s="19">
        <v>38</v>
      </c>
      <c r="C50" s="19">
        <v>17</v>
      </c>
      <c r="D50" s="19" t="s">
        <v>188</v>
      </c>
      <c r="E50" s="20">
        <f t="shared" si="0"/>
        <v>0.30909090909090908</v>
      </c>
      <c r="F50" s="19"/>
      <c r="G50" s="19">
        <v>0</v>
      </c>
      <c r="H50" s="19">
        <v>0</v>
      </c>
      <c r="I50" s="19" t="s">
        <v>188</v>
      </c>
      <c r="J50" s="20" t="str">
        <f t="shared" si="1"/>
        <v>-</v>
      </c>
      <c r="K50" s="19"/>
      <c r="L50" s="14">
        <f t="shared" si="2"/>
        <v>38</v>
      </c>
      <c r="M50" s="14">
        <f t="shared" si="3"/>
        <v>17</v>
      </c>
      <c r="N50" s="19" t="s">
        <v>188</v>
      </c>
      <c r="O50" s="20">
        <f t="shared" si="4"/>
        <v>0.30909090909090908</v>
      </c>
      <c r="P50" s="19"/>
      <c r="Q50" s="19">
        <v>0</v>
      </c>
      <c r="R50" s="19">
        <v>0</v>
      </c>
      <c r="S50" s="19" t="s">
        <v>188</v>
      </c>
      <c r="T50" s="20" t="str">
        <f t="shared" si="5"/>
        <v>-</v>
      </c>
      <c r="U50" s="19"/>
      <c r="V50" s="19">
        <v>43</v>
      </c>
      <c r="W50" s="19">
        <v>37</v>
      </c>
      <c r="X50" s="19" t="s">
        <v>188</v>
      </c>
      <c r="Y50" s="20">
        <f t="shared" si="6"/>
        <v>0.46250000000000002</v>
      </c>
      <c r="Z50" s="19"/>
      <c r="AA50" s="14">
        <f t="shared" si="7"/>
        <v>81</v>
      </c>
      <c r="AB50" s="14">
        <f t="shared" si="8"/>
        <v>54</v>
      </c>
      <c r="AC50" s="19" t="s">
        <v>188</v>
      </c>
      <c r="AD50" s="20">
        <f t="shared" si="9"/>
        <v>0.4</v>
      </c>
      <c r="AE50" s="16"/>
      <c r="AF50" s="16"/>
      <c r="AG50" s="16"/>
      <c r="AH50" s="16"/>
      <c r="AI50" s="16"/>
      <c r="AJ50" s="16"/>
      <c r="AK50" s="16"/>
      <c r="AL50" s="16"/>
      <c r="AM50" s="16"/>
    </row>
    <row r="51" spans="1:39" s="6" customFormat="1" ht="15" customHeight="1" x14ac:dyDescent="0.3">
      <c r="A51" s="5" t="s">
        <v>53</v>
      </c>
      <c r="B51" s="19">
        <v>26</v>
      </c>
      <c r="C51" s="19">
        <v>6</v>
      </c>
      <c r="D51" s="19" t="s">
        <v>188</v>
      </c>
      <c r="E51" s="20">
        <f t="shared" si="0"/>
        <v>0.1875</v>
      </c>
      <c r="F51" s="19"/>
      <c r="G51" s="19">
        <v>13</v>
      </c>
      <c r="H51" s="19">
        <v>3</v>
      </c>
      <c r="I51" s="19" t="s">
        <v>188</v>
      </c>
      <c r="J51" s="20">
        <f t="shared" si="1"/>
        <v>0.1875</v>
      </c>
      <c r="K51" s="19"/>
      <c r="L51" s="14">
        <f t="shared" si="2"/>
        <v>39</v>
      </c>
      <c r="M51" s="14">
        <f t="shared" si="3"/>
        <v>9</v>
      </c>
      <c r="N51" s="19" t="s">
        <v>188</v>
      </c>
      <c r="O51" s="20">
        <f t="shared" si="4"/>
        <v>0.1875</v>
      </c>
      <c r="P51" s="19"/>
      <c r="Q51" s="19">
        <v>1</v>
      </c>
      <c r="R51" s="19">
        <v>6</v>
      </c>
      <c r="S51" s="19" t="s">
        <v>188</v>
      </c>
      <c r="T51" s="20">
        <f t="shared" si="5"/>
        <v>0.8571428571428571</v>
      </c>
      <c r="U51" s="19"/>
      <c r="V51" s="19">
        <v>13</v>
      </c>
      <c r="W51" s="19">
        <v>4</v>
      </c>
      <c r="X51" s="19" t="s">
        <v>188</v>
      </c>
      <c r="Y51" s="20">
        <f t="shared" si="6"/>
        <v>0.23529411764705882</v>
      </c>
      <c r="Z51" s="19"/>
      <c r="AA51" s="14">
        <f t="shared" si="7"/>
        <v>53</v>
      </c>
      <c r="AB51" s="14">
        <f t="shared" si="8"/>
        <v>19</v>
      </c>
      <c r="AC51" s="19" t="s">
        <v>188</v>
      </c>
      <c r="AD51" s="20">
        <f t="shared" si="9"/>
        <v>0.2638888888888889</v>
      </c>
      <c r="AE51" s="16"/>
      <c r="AF51" s="16"/>
      <c r="AG51" s="16"/>
      <c r="AH51" s="16"/>
      <c r="AI51" s="16"/>
      <c r="AJ51" s="16"/>
      <c r="AK51" s="16"/>
      <c r="AL51" s="16"/>
      <c r="AM51" s="16"/>
    </row>
    <row r="52" spans="1:39" s="6" customFormat="1" ht="15" customHeight="1" x14ac:dyDescent="0.3">
      <c r="A52" s="5" t="s">
        <v>54</v>
      </c>
      <c r="B52" s="19">
        <v>30</v>
      </c>
      <c r="C52" s="19">
        <v>2</v>
      </c>
      <c r="D52" s="19" t="s">
        <v>188</v>
      </c>
      <c r="E52" s="20">
        <f t="shared" si="0"/>
        <v>6.25E-2</v>
      </c>
      <c r="F52" s="19"/>
      <c r="G52" s="19">
        <v>24</v>
      </c>
      <c r="H52" s="19">
        <v>2</v>
      </c>
      <c r="I52" s="19" t="s">
        <v>188</v>
      </c>
      <c r="J52" s="20">
        <f t="shared" si="1"/>
        <v>7.6923076923076927E-2</v>
      </c>
      <c r="K52" s="19"/>
      <c r="L52" s="14">
        <f t="shared" si="2"/>
        <v>54</v>
      </c>
      <c r="M52" s="14">
        <f t="shared" si="3"/>
        <v>4</v>
      </c>
      <c r="N52" s="19" t="s">
        <v>188</v>
      </c>
      <c r="O52" s="20">
        <f t="shared" si="4"/>
        <v>6.8965517241379309E-2</v>
      </c>
      <c r="P52" s="19"/>
      <c r="Q52" s="19">
        <v>1</v>
      </c>
      <c r="R52" s="19">
        <v>2</v>
      </c>
      <c r="S52" s="19" t="s">
        <v>188</v>
      </c>
      <c r="T52" s="20">
        <f t="shared" si="5"/>
        <v>0.66666666666666663</v>
      </c>
      <c r="U52" s="19"/>
      <c r="V52" s="19">
        <v>16</v>
      </c>
      <c r="W52" s="19">
        <v>21</v>
      </c>
      <c r="X52" s="19" t="s">
        <v>188</v>
      </c>
      <c r="Y52" s="20">
        <f t="shared" si="6"/>
        <v>0.56756756756756754</v>
      </c>
      <c r="Z52" s="19"/>
      <c r="AA52" s="14">
        <f t="shared" si="7"/>
        <v>71</v>
      </c>
      <c r="AB52" s="14">
        <f t="shared" si="8"/>
        <v>27</v>
      </c>
      <c r="AC52" s="19" t="s">
        <v>188</v>
      </c>
      <c r="AD52" s="20">
        <f t="shared" si="9"/>
        <v>0.27551020408163263</v>
      </c>
      <c r="AE52" s="16"/>
      <c r="AF52" s="16"/>
      <c r="AG52" s="16"/>
      <c r="AH52" s="16"/>
      <c r="AI52" s="16"/>
      <c r="AJ52" s="16"/>
      <c r="AK52" s="16"/>
      <c r="AL52" s="16"/>
      <c r="AM52" s="16"/>
    </row>
    <row r="53" spans="1:39" s="6" customFormat="1" ht="15" customHeight="1" x14ac:dyDescent="0.3">
      <c r="A53" s="2" t="s">
        <v>55</v>
      </c>
      <c r="B53" s="19">
        <v>4</v>
      </c>
      <c r="C53" s="19">
        <v>2</v>
      </c>
      <c r="D53" s="19" t="s">
        <v>188</v>
      </c>
      <c r="E53" s="20">
        <f t="shared" si="0"/>
        <v>0.33333333333333331</v>
      </c>
      <c r="F53" s="19"/>
      <c r="G53" s="19">
        <v>5</v>
      </c>
      <c r="H53" s="19">
        <v>1</v>
      </c>
      <c r="I53" s="19" t="s">
        <v>188</v>
      </c>
      <c r="J53" s="20">
        <f t="shared" si="1"/>
        <v>0.16666666666666666</v>
      </c>
      <c r="K53" s="19"/>
      <c r="L53" s="14">
        <f t="shared" si="2"/>
        <v>9</v>
      </c>
      <c r="M53" s="14">
        <f t="shared" si="3"/>
        <v>3</v>
      </c>
      <c r="N53" s="19" t="s">
        <v>188</v>
      </c>
      <c r="O53" s="20">
        <f t="shared" si="4"/>
        <v>0.25</v>
      </c>
      <c r="P53" s="19"/>
      <c r="Q53" s="19">
        <v>0</v>
      </c>
      <c r="R53" s="19">
        <v>1</v>
      </c>
      <c r="S53" s="19" t="s">
        <v>188</v>
      </c>
      <c r="T53" s="20">
        <f t="shared" si="5"/>
        <v>1</v>
      </c>
      <c r="U53" s="19"/>
      <c r="V53" s="19">
        <v>12</v>
      </c>
      <c r="W53" s="19">
        <v>13</v>
      </c>
      <c r="X53" s="19" t="s">
        <v>188</v>
      </c>
      <c r="Y53" s="20">
        <f t="shared" si="6"/>
        <v>0.52</v>
      </c>
      <c r="Z53" s="19"/>
      <c r="AA53" s="14">
        <f t="shared" si="7"/>
        <v>21</v>
      </c>
      <c r="AB53" s="14">
        <f t="shared" si="8"/>
        <v>17</v>
      </c>
      <c r="AC53" s="19" t="s">
        <v>188</v>
      </c>
      <c r="AD53" s="20">
        <f t="shared" si="9"/>
        <v>0.44736842105263158</v>
      </c>
      <c r="AE53" s="16"/>
      <c r="AF53" s="16"/>
      <c r="AG53" s="16"/>
      <c r="AH53" s="16"/>
      <c r="AI53" s="16"/>
      <c r="AJ53" s="16"/>
      <c r="AK53" s="16"/>
      <c r="AL53" s="16"/>
      <c r="AM53" s="16"/>
    </row>
    <row r="54" spans="1:39" s="6" customFormat="1" ht="15" customHeight="1" x14ac:dyDescent="0.3">
      <c r="A54" s="2" t="s">
        <v>56</v>
      </c>
      <c r="B54" s="19">
        <v>57</v>
      </c>
      <c r="C54" s="19">
        <v>16</v>
      </c>
      <c r="D54" s="19" t="s">
        <v>188</v>
      </c>
      <c r="E54" s="20">
        <f t="shared" si="0"/>
        <v>0.21917808219178081</v>
      </c>
      <c r="F54" s="19"/>
      <c r="G54" s="19">
        <v>0</v>
      </c>
      <c r="H54" s="19">
        <v>0</v>
      </c>
      <c r="I54" s="19" t="s">
        <v>188</v>
      </c>
      <c r="J54" s="20" t="str">
        <f t="shared" si="1"/>
        <v>-</v>
      </c>
      <c r="K54" s="19"/>
      <c r="L54" s="14">
        <f t="shared" si="2"/>
        <v>57</v>
      </c>
      <c r="M54" s="14">
        <f t="shared" si="3"/>
        <v>16</v>
      </c>
      <c r="N54" s="19" t="s">
        <v>188</v>
      </c>
      <c r="O54" s="20">
        <f t="shared" si="4"/>
        <v>0.21917808219178081</v>
      </c>
      <c r="P54" s="19"/>
      <c r="Q54" s="19">
        <v>0</v>
      </c>
      <c r="R54" s="19">
        <v>2</v>
      </c>
      <c r="S54" s="19" t="s">
        <v>188</v>
      </c>
      <c r="T54" s="20">
        <f t="shared" si="5"/>
        <v>1</v>
      </c>
      <c r="U54" s="19"/>
      <c r="V54" s="19">
        <v>5</v>
      </c>
      <c r="W54" s="19">
        <v>14</v>
      </c>
      <c r="X54" s="19" t="s">
        <v>188</v>
      </c>
      <c r="Y54" s="20">
        <f t="shared" si="6"/>
        <v>0.73684210526315785</v>
      </c>
      <c r="Z54" s="19"/>
      <c r="AA54" s="14">
        <f t="shared" si="7"/>
        <v>62</v>
      </c>
      <c r="AB54" s="14">
        <f t="shared" si="8"/>
        <v>32</v>
      </c>
      <c r="AC54" s="19" t="s">
        <v>188</v>
      </c>
      <c r="AD54" s="20">
        <f t="shared" si="9"/>
        <v>0.34042553191489361</v>
      </c>
      <c r="AE54" s="16"/>
      <c r="AF54" s="16"/>
      <c r="AG54" s="16"/>
      <c r="AH54" s="16"/>
      <c r="AI54" s="16"/>
      <c r="AJ54" s="16"/>
      <c r="AK54" s="16"/>
      <c r="AL54" s="16"/>
      <c r="AM54" s="16"/>
    </row>
    <row r="55" spans="1:39" s="6" customFormat="1" ht="15" customHeight="1" x14ac:dyDescent="0.3">
      <c r="A55" s="2" t="s">
        <v>57</v>
      </c>
      <c r="B55" s="19">
        <v>35</v>
      </c>
      <c r="C55" s="19">
        <v>1</v>
      </c>
      <c r="D55" s="19" t="s">
        <v>188</v>
      </c>
      <c r="E55" s="20">
        <f t="shared" si="0"/>
        <v>2.7777777777777776E-2</v>
      </c>
      <c r="F55" s="19"/>
      <c r="G55" s="19">
        <v>7</v>
      </c>
      <c r="H55" s="19">
        <v>0</v>
      </c>
      <c r="I55" s="19" t="s">
        <v>188</v>
      </c>
      <c r="J55" s="20">
        <f t="shared" si="1"/>
        <v>0</v>
      </c>
      <c r="K55" s="19"/>
      <c r="L55" s="14">
        <f t="shared" si="2"/>
        <v>42</v>
      </c>
      <c r="M55" s="14">
        <f t="shared" si="3"/>
        <v>1</v>
      </c>
      <c r="N55" s="19" t="s">
        <v>188</v>
      </c>
      <c r="O55" s="20">
        <f t="shared" si="4"/>
        <v>2.3255813953488372E-2</v>
      </c>
      <c r="P55" s="19"/>
      <c r="Q55" s="19">
        <v>0</v>
      </c>
      <c r="R55" s="19">
        <v>0</v>
      </c>
      <c r="S55" s="19" t="s">
        <v>188</v>
      </c>
      <c r="T55" s="20" t="str">
        <f t="shared" si="5"/>
        <v>-</v>
      </c>
      <c r="U55" s="19"/>
      <c r="V55" s="19">
        <v>25</v>
      </c>
      <c r="W55" s="19">
        <v>25</v>
      </c>
      <c r="X55" s="19" t="s">
        <v>188</v>
      </c>
      <c r="Y55" s="20">
        <f t="shared" si="6"/>
        <v>0.5</v>
      </c>
      <c r="Z55" s="19"/>
      <c r="AA55" s="14">
        <f t="shared" si="7"/>
        <v>67</v>
      </c>
      <c r="AB55" s="14">
        <f t="shared" si="8"/>
        <v>26</v>
      </c>
      <c r="AC55" s="19" t="s">
        <v>188</v>
      </c>
      <c r="AD55" s="20">
        <f t="shared" si="9"/>
        <v>0.27956989247311825</v>
      </c>
      <c r="AE55" s="16"/>
      <c r="AF55" s="16"/>
      <c r="AG55" s="16"/>
      <c r="AH55" s="16"/>
      <c r="AI55" s="16"/>
      <c r="AJ55" s="16"/>
      <c r="AK55" s="16"/>
      <c r="AL55" s="16"/>
      <c r="AM55" s="16"/>
    </row>
    <row r="56" spans="1:39" s="6" customFormat="1" ht="15" customHeight="1" thickBot="1" x14ac:dyDescent="0.35">
      <c r="A56" s="23" t="s">
        <v>58</v>
      </c>
      <c r="B56" s="19">
        <v>184</v>
      </c>
      <c r="C56" s="19">
        <v>22</v>
      </c>
      <c r="D56" s="19" t="s">
        <v>188</v>
      </c>
      <c r="E56" s="20">
        <f t="shared" si="0"/>
        <v>0.10679611650485436</v>
      </c>
      <c r="F56" s="24"/>
      <c r="G56" s="19">
        <v>0</v>
      </c>
      <c r="H56" s="19">
        <v>0</v>
      </c>
      <c r="I56" s="19" t="s">
        <v>188</v>
      </c>
      <c r="J56" s="20" t="str">
        <f t="shared" si="1"/>
        <v>-</v>
      </c>
      <c r="K56" s="24"/>
      <c r="L56" s="14">
        <f t="shared" si="2"/>
        <v>184</v>
      </c>
      <c r="M56" s="14">
        <f t="shared" si="3"/>
        <v>22</v>
      </c>
      <c r="N56" s="19" t="s">
        <v>188</v>
      </c>
      <c r="O56" s="20">
        <f t="shared" si="4"/>
        <v>0.10679611650485436</v>
      </c>
      <c r="P56" s="24"/>
      <c r="Q56" s="19">
        <v>7</v>
      </c>
      <c r="R56" s="19">
        <v>13</v>
      </c>
      <c r="S56" s="19" t="s">
        <v>188</v>
      </c>
      <c r="T56" s="20">
        <f t="shared" si="5"/>
        <v>0.65</v>
      </c>
      <c r="U56" s="24"/>
      <c r="V56" s="19">
        <v>33</v>
      </c>
      <c r="W56" s="19">
        <v>41</v>
      </c>
      <c r="X56" s="19" t="s">
        <v>188</v>
      </c>
      <c r="Y56" s="20">
        <f t="shared" si="6"/>
        <v>0.55405405405405406</v>
      </c>
      <c r="Z56" s="24"/>
      <c r="AA56" s="14">
        <f t="shared" si="7"/>
        <v>224</v>
      </c>
      <c r="AB56" s="14">
        <f t="shared" si="8"/>
        <v>76</v>
      </c>
      <c r="AC56" s="19" t="s">
        <v>188</v>
      </c>
      <c r="AD56" s="20">
        <f t="shared" si="9"/>
        <v>0.25333333333333335</v>
      </c>
      <c r="AE56" s="16"/>
      <c r="AF56" s="16"/>
      <c r="AG56" s="16"/>
      <c r="AH56" s="16"/>
      <c r="AI56" s="16"/>
      <c r="AJ56" s="16"/>
      <c r="AK56" s="16"/>
      <c r="AL56" s="16"/>
      <c r="AM56" s="16"/>
    </row>
    <row r="57" spans="1:39" s="6" customFormat="1" ht="1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6"/>
      <c r="AF57" s="16"/>
      <c r="AG57" s="16"/>
      <c r="AH57" s="16"/>
      <c r="AI57" s="16"/>
      <c r="AJ57" s="16"/>
      <c r="AK57" s="16"/>
      <c r="AL57" s="16"/>
      <c r="AM57" s="16"/>
    </row>
    <row r="58" spans="1:39" x14ac:dyDescent="0.3">
      <c r="A58" s="138" t="s">
        <v>59</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1:39" x14ac:dyDescent="0.3">
      <c r="A59" s="32" t="s">
        <v>69</v>
      </c>
      <c r="B59" s="32"/>
      <c r="C59" s="32"/>
      <c r="D59" s="122"/>
      <c r="E59" s="32"/>
      <c r="F59" s="32"/>
      <c r="G59" s="32"/>
      <c r="H59" s="32"/>
      <c r="I59" s="122"/>
      <c r="J59" s="32"/>
      <c r="K59" s="32"/>
      <c r="L59" s="32"/>
      <c r="M59" s="32"/>
      <c r="N59" s="122"/>
      <c r="O59" s="32"/>
      <c r="P59" s="32"/>
      <c r="Q59" s="32"/>
      <c r="R59" s="32"/>
      <c r="S59" s="122"/>
      <c r="T59" s="32"/>
      <c r="U59" s="32"/>
      <c r="V59" s="32"/>
      <c r="W59" s="32"/>
      <c r="X59" s="122"/>
      <c r="Y59" s="32"/>
      <c r="Z59" s="32"/>
      <c r="AA59" s="32"/>
      <c r="AB59" s="32"/>
      <c r="AC59" s="122"/>
      <c r="AD59" s="32"/>
    </row>
    <row r="60" spans="1:39" x14ac:dyDescent="0.3">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row>
    <row r="61" spans="1:39" x14ac:dyDescent="0.3">
      <c r="A61" s="28" t="s">
        <v>60</v>
      </c>
    </row>
    <row r="62" spans="1:39" x14ac:dyDescent="0.3">
      <c r="A62" s="137" t="s">
        <v>61</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row>
    <row r="64" spans="1:39" x14ac:dyDescent="0.3">
      <c r="A64" s="5" t="s">
        <v>62</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0" x14ac:dyDescent="0.3">
      <c r="A65" s="30" t="s">
        <v>63</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7" spans="1:30" x14ac:dyDescent="0.3">
      <c r="A67" s="138" t="s">
        <v>64</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row>
    <row r="68" spans="1:30" x14ac:dyDescent="0.3">
      <c r="A68" s="30"/>
      <c r="AD68" s="6"/>
    </row>
    <row r="69" spans="1:30" x14ac:dyDescent="0.3">
      <c r="A69" s="5" t="s">
        <v>65</v>
      </c>
      <c r="AD69" s="37" t="s">
        <v>66</v>
      </c>
    </row>
    <row r="70" spans="1:30" x14ac:dyDescent="0.3">
      <c r="A70" s="30" t="s">
        <v>67</v>
      </c>
      <c r="AD70" s="31" t="s">
        <v>68</v>
      </c>
    </row>
  </sheetData>
  <mergeCells count="11">
    <mergeCell ref="A58:AD58"/>
    <mergeCell ref="A60:AD60"/>
    <mergeCell ref="A62:AD62"/>
    <mergeCell ref="A67:AD67"/>
    <mergeCell ref="A1:AD1"/>
    <mergeCell ref="B6:E6"/>
    <mergeCell ref="G6:J6"/>
    <mergeCell ref="L6:O6"/>
    <mergeCell ref="Q6:T6"/>
    <mergeCell ref="V6:Y6"/>
    <mergeCell ref="AA6:AD6"/>
  </mergeCells>
  <hyperlinks>
    <hyperlink ref="A65" r:id="rId1" xr:uid="{00000000-0004-0000-0100-000000000000}"/>
    <hyperlink ref="A70" r:id="rId2" xr:uid="{00000000-0004-0000-0100-000001000000}"/>
    <hyperlink ref="AD69" r:id="rId3" xr:uid="{00000000-0004-0000-0100-000002000000}"/>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3C6B-06E2-43A6-8702-8D99D68B61DF}">
  <sheetPr codeName="Sheet8">
    <tabColor rgb="FFFF0000"/>
  </sheetPr>
  <dimension ref="A1:AN70"/>
  <sheetViews>
    <sheetView zoomScale="90" zoomScaleNormal="90" workbookViewId="0">
      <selection activeCell="A7" sqref="A7"/>
    </sheetView>
  </sheetViews>
  <sheetFormatPr defaultColWidth="9.21875" defaultRowHeight="14.4" x14ac:dyDescent="0.3"/>
  <cols>
    <col min="1" max="1" width="50.77734375" style="5" customWidth="1"/>
    <col min="2" max="4" width="8.77734375" style="5" customWidth="1"/>
    <col min="5" max="5" width="12.77734375" style="5" customWidth="1"/>
    <col min="6" max="6" width="2.77734375" style="5" customWidth="1"/>
    <col min="7" max="9" width="8.77734375" style="5" customWidth="1"/>
    <col min="10" max="10" width="12.77734375" style="5" customWidth="1"/>
    <col min="11" max="11" width="2.77734375" style="5" customWidth="1"/>
    <col min="12" max="14" width="8.77734375" style="5" customWidth="1"/>
    <col min="15" max="15" width="12.77734375" style="5" customWidth="1"/>
    <col min="16" max="16" width="7.77734375" style="5" customWidth="1"/>
    <col min="17" max="19" width="8.77734375" style="5" customWidth="1"/>
    <col min="20" max="20" width="12.77734375" style="5" customWidth="1"/>
    <col min="21" max="21" width="2.77734375" style="5" customWidth="1"/>
    <col min="22" max="24" width="8.77734375" style="5" customWidth="1"/>
    <col min="25" max="25" width="12.77734375" style="5" customWidth="1"/>
    <col min="26" max="26" width="2.77734375" style="5" customWidth="1"/>
    <col min="27" max="29" width="8.77734375" style="5" customWidth="1"/>
    <col min="30" max="30" width="12.77734375" style="5" customWidth="1"/>
    <col min="31" max="16384" width="9.21875" style="5"/>
  </cols>
  <sheetData>
    <row r="1" spans="1:40" s="1" customFormat="1" ht="23.25" customHeight="1" x14ac:dyDescent="0.45">
      <c r="A1" s="139" t="s">
        <v>185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40" s="4" customFormat="1" x14ac:dyDescent="0.3">
      <c r="A2" s="2">
        <v>2019</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35">
      <c r="A6" s="5"/>
      <c r="B6" s="140" t="s">
        <v>87</v>
      </c>
      <c r="C6" s="140"/>
      <c r="D6" s="140"/>
      <c r="E6" s="140"/>
      <c r="F6" s="3"/>
      <c r="G6" s="140" t="s">
        <v>94</v>
      </c>
      <c r="H6" s="140"/>
      <c r="I6" s="140"/>
      <c r="J6" s="140"/>
      <c r="K6" s="3"/>
      <c r="L6" s="141" t="s">
        <v>2</v>
      </c>
      <c r="M6" s="141"/>
      <c r="N6" s="141"/>
      <c r="O6" s="141"/>
      <c r="P6" s="3"/>
      <c r="Q6" s="140" t="s">
        <v>3</v>
      </c>
      <c r="R6" s="140"/>
      <c r="S6" s="140"/>
      <c r="T6" s="140"/>
      <c r="U6" s="3"/>
      <c r="V6" s="140" t="s">
        <v>4</v>
      </c>
      <c r="W6" s="140"/>
      <c r="X6" s="140"/>
      <c r="Y6" s="140"/>
      <c r="Z6" s="3"/>
      <c r="AA6" s="141" t="s">
        <v>5</v>
      </c>
      <c r="AB6" s="141"/>
      <c r="AC6" s="141"/>
      <c r="AD6" s="141"/>
    </row>
    <row r="7" spans="1:40" s="12" customFormat="1" ht="43.8" thickBot="1" x14ac:dyDescent="0.35">
      <c r="A7" s="7" t="s">
        <v>6</v>
      </c>
      <c r="B7" s="62" t="s">
        <v>7</v>
      </c>
      <c r="C7" s="62" t="s">
        <v>8</v>
      </c>
      <c r="D7" s="123" t="s">
        <v>182</v>
      </c>
      <c r="E7" s="9" t="s">
        <v>9</v>
      </c>
      <c r="F7" s="62"/>
      <c r="G7" s="62" t="s">
        <v>7</v>
      </c>
      <c r="H7" s="62" t="s">
        <v>8</v>
      </c>
      <c r="I7" s="123" t="s">
        <v>182</v>
      </c>
      <c r="J7" s="9" t="s">
        <v>9</v>
      </c>
      <c r="K7" s="62"/>
      <c r="L7" s="63" t="s">
        <v>7</v>
      </c>
      <c r="M7" s="63" t="s">
        <v>8</v>
      </c>
      <c r="N7" s="124" t="s">
        <v>182</v>
      </c>
      <c r="O7" s="11" t="s">
        <v>9</v>
      </c>
      <c r="P7" s="62"/>
      <c r="Q7" s="62" t="s">
        <v>7</v>
      </c>
      <c r="R7" s="62" t="s">
        <v>8</v>
      </c>
      <c r="S7" s="123" t="s">
        <v>182</v>
      </c>
      <c r="T7" s="9" t="s">
        <v>9</v>
      </c>
      <c r="U7" s="62"/>
      <c r="V7" s="62" t="s">
        <v>7</v>
      </c>
      <c r="W7" s="62" t="s">
        <v>8</v>
      </c>
      <c r="X7" s="123" t="s">
        <v>182</v>
      </c>
      <c r="Y7" s="9" t="s">
        <v>9</v>
      </c>
      <c r="Z7" s="62"/>
      <c r="AA7" s="63" t="s">
        <v>7</v>
      </c>
      <c r="AB7" s="63" t="s">
        <v>8</v>
      </c>
      <c r="AC7" s="124" t="s">
        <v>182</v>
      </c>
      <c r="AD7" s="11" t="s">
        <v>9</v>
      </c>
    </row>
    <row r="8" spans="1:40" s="6" customFormat="1" ht="15" customHeight="1" x14ac:dyDescent="0.3">
      <c r="A8" s="13" t="s">
        <v>10</v>
      </c>
      <c r="B8" s="14">
        <f>B9+B49</f>
        <v>1369</v>
      </c>
      <c r="C8" s="14">
        <f>C9+C49</f>
        <v>225</v>
      </c>
      <c r="D8" s="14" t="s">
        <v>188</v>
      </c>
      <c r="E8" s="15">
        <f>IF(B8+C8=0,"-",(C8/(B8+C8)))</f>
        <v>0.1411543287327478</v>
      </c>
      <c r="F8" s="14"/>
      <c r="G8" s="14">
        <f>G9+G49</f>
        <v>1411</v>
      </c>
      <c r="H8" s="14">
        <f>H9+H49</f>
        <v>176</v>
      </c>
      <c r="I8" s="14" t="s">
        <v>188</v>
      </c>
      <c r="J8" s="15">
        <f>IF(G8+H8=0,"-",(H8/(G8+H8)))</f>
        <v>0.11090107120352867</v>
      </c>
      <c r="K8" s="14"/>
      <c r="L8" s="14">
        <f>L9+L49</f>
        <v>2780</v>
      </c>
      <c r="M8" s="14">
        <f>M9+M49</f>
        <v>401</v>
      </c>
      <c r="N8" s="14" t="s">
        <v>188</v>
      </c>
      <c r="O8" s="15">
        <f>IF(L8+M8=0,"-",(M8/(L8+M8)))</f>
        <v>0.12606098711097138</v>
      </c>
      <c r="P8" s="14"/>
      <c r="Q8" s="14">
        <f>Q9+Q49</f>
        <v>25</v>
      </c>
      <c r="R8" s="14">
        <f>R9+R49</f>
        <v>67</v>
      </c>
      <c r="S8" s="14" t="s">
        <v>188</v>
      </c>
      <c r="T8" s="15">
        <f>IF(Q8+R8=0,"-",(R8/(Q8+R8)))</f>
        <v>0.72826086956521741</v>
      </c>
      <c r="U8" s="14"/>
      <c r="V8" s="14">
        <f>V9+V49</f>
        <v>453</v>
      </c>
      <c r="W8" s="14">
        <f>W9+W49</f>
        <v>529</v>
      </c>
      <c r="X8" s="14" t="s">
        <v>188</v>
      </c>
      <c r="Y8" s="15">
        <f>IF(V8+W8=0,"-",(W8/(V8+W8)))</f>
        <v>0.53869653767820769</v>
      </c>
      <c r="Z8" s="14"/>
      <c r="AA8" s="14">
        <f>AA9+AA49</f>
        <v>3258</v>
      </c>
      <c r="AB8" s="14">
        <f>AB9+AB49</f>
        <v>997</v>
      </c>
      <c r="AC8" s="14" t="s">
        <v>188</v>
      </c>
      <c r="AD8" s="15">
        <f>IF(AA8+AB8=0,"-",(AB8/(AA8+AB8)))</f>
        <v>0.23431257344300824</v>
      </c>
      <c r="AE8" s="16"/>
      <c r="AF8" s="16"/>
      <c r="AG8" s="16"/>
      <c r="AH8" s="16"/>
      <c r="AI8" s="16"/>
      <c r="AJ8" s="16"/>
      <c r="AK8" s="16"/>
      <c r="AL8" s="16"/>
      <c r="AM8" s="16"/>
      <c r="AN8" s="17"/>
    </row>
    <row r="9" spans="1:40" s="6" customFormat="1" ht="15" customHeight="1" x14ac:dyDescent="0.3">
      <c r="A9" s="18" t="s">
        <v>11</v>
      </c>
      <c r="B9" s="14">
        <f>SUM(B10:B48)</f>
        <v>678</v>
      </c>
      <c r="C9" s="14">
        <f>SUM(C10:C48)</f>
        <v>107</v>
      </c>
      <c r="D9" s="14" t="s">
        <v>188</v>
      </c>
      <c r="E9" s="15">
        <f t="shared" ref="E9:E56" si="0">IF(B9+C9=0,"-",(C9/(B9+C9)))</f>
        <v>0.13630573248407643</v>
      </c>
      <c r="F9" s="14"/>
      <c r="G9" s="14">
        <f>SUM(G10:G48)</f>
        <v>1370</v>
      </c>
      <c r="H9" s="14">
        <f>SUM(H10:H48)</f>
        <v>169</v>
      </c>
      <c r="I9" s="14" t="s">
        <v>188</v>
      </c>
      <c r="J9" s="15">
        <f t="shared" ref="J9:J56" si="1">IF(G9+H9=0,"-",(H9/(G9+H9)))</f>
        <v>0.10981156595191682</v>
      </c>
      <c r="K9" s="14"/>
      <c r="L9" s="14">
        <f>SUM(L10:L48)</f>
        <v>2048</v>
      </c>
      <c r="M9" s="14">
        <f>SUM(M10:M48)</f>
        <v>276</v>
      </c>
      <c r="N9" s="14" t="s">
        <v>188</v>
      </c>
      <c r="O9" s="15">
        <f t="shared" ref="O9:O56" si="2">IF(L9+M9=0,"-",(M9/(L9+M9)))</f>
        <v>0.11876075731497418</v>
      </c>
      <c r="P9" s="14"/>
      <c r="Q9" s="14">
        <f>SUM(Q10:Q48)</f>
        <v>20</v>
      </c>
      <c r="R9" s="14">
        <f>SUM(R10:R48)</f>
        <v>50</v>
      </c>
      <c r="S9" s="14" t="s">
        <v>188</v>
      </c>
      <c r="T9" s="15">
        <f t="shared" ref="T9:T56" si="3">IF(Q9+R9=0,"-",(R9/(Q9+R9)))</f>
        <v>0.7142857142857143</v>
      </c>
      <c r="U9" s="14"/>
      <c r="V9" s="14">
        <f>SUM(V10:V48)</f>
        <v>302</v>
      </c>
      <c r="W9" s="14">
        <f>SUM(W10:W48)</f>
        <v>346</v>
      </c>
      <c r="X9" s="14" t="s">
        <v>188</v>
      </c>
      <c r="Y9" s="15">
        <f t="shared" ref="Y9:Y56" si="4">IF(V9+W9=0,"-",(W9/(V9+W9)))</f>
        <v>0.53395061728395066</v>
      </c>
      <c r="Z9" s="14"/>
      <c r="AA9" s="14">
        <f>SUM(AA10:AA48)</f>
        <v>2370</v>
      </c>
      <c r="AB9" s="14">
        <f>SUM(AB10:AB48)</f>
        <v>672</v>
      </c>
      <c r="AC9" s="14" t="s">
        <v>188</v>
      </c>
      <c r="AD9" s="15">
        <f t="shared" ref="AD9:AD56" si="5">IF(AA9+AB9=0,"-",(AB9/(AA9+AB9)))</f>
        <v>0.22090729783037474</v>
      </c>
      <c r="AE9" s="16"/>
      <c r="AF9" s="16"/>
      <c r="AG9" s="16"/>
      <c r="AH9" s="16"/>
      <c r="AI9" s="16"/>
      <c r="AJ9" s="16"/>
      <c r="AK9" s="16"/>
      <c r="AL9" s="16"/>
      <c r="AM9" s="16"/>
    </row>
    <row r="10" spans="1:40" s="6" customFormat="1" ht="15" customHeight="1" x14ac:dyDescent="0.3">
      <c r="A10" s="5" t="s">
        <v>12</v>
      </c>
      <c r="B10" s="19">
        <f>SUMPRODUCT((raw!$A$2:$A$3691='(2018-19)'!$A$2)*(raw!$B$2:$B$3691='(2018-19)'!$A10)*(raw!$E$2:$E$3691='(2018-19)'!$B$6:$E$6)*(raw!$F$2:$F$3691='(2018-19)'!B$7)*(raw!$G$2:$G$3691))</f>
        <v>12</v>
      </c>
      <c r="C10" s="19">
        <f>SUMPRODUCT((raw!$A$2:$A$3691='(2018-19)'!$A$2)*(raw!$B$2:$B$3691='(2018-19)'!$A10)*(raw!$E$2:$E$3691='(2018-19)'!$B$6:$E$6)*(raw!$F$2:$F$3691='(2018-19)'!C$7)*(raw!$G$2:$G$3691))</f>
        <v>3</v>
      </c>
      <c r="D10" s="19" t="s">
        <v>188</v>
      </c>
      <c r="E10" s="15">
        <f t="shared" si="0"/>
        <v>0.2</v>
      </c>
      <c r="F10" s="19"/>
      <c r="G10" s="19">
        <f>SUMPRODUCT((raw!$A$2:$A$3691='(2018-19)'!$A$2)*(raw!$B$2:$B$3691='(2018-19)'!$A10)*(raw!$E$2:$E$3691='(2018-19)'!$G$6)*(raw!$F$2:$F$3691='(2018-19)'!G$7)*(raw!$G$2:$G$3691))</f>
        <v>17</v>
      </c>
      <c r="H10" s="19">
        <f>SUMPRODUCT((raw!$A$2:$A$3691='(2018-19)'!$A$2)*(raw!$B$2:$B$3691='(2018-19)'!$A10)*(raw!$E$2:$E$3691='(2018-19)'!$G$6)*(raw!$F$2:$F$3691='(2018-19)'!H$7)*(raw!$G$2:$G$3691))</f>
        <v>2</v>
      </c>
      <c r="I10" s="19" t="s">
        <v>188</v>
      </c>
      <c r="J10" s="15">
        <f t="shared" si="1"/>
        <v>0.10526315789473684</v>
      </c>
      <c r="K10" s="19"/>
      <c r="L10" s="14">
        <f>B10+G10</f>
        <v>29</v>
      </c>
      <c r="M10" s="14">
        <f>C10+H10</f>
        <v>5</v>
      </c>
      <c r="N10" s="19" t="s">
        <v>188</v>
      </c>
      <c r="O10" s="15">
        <f t="shared" si="2"/>
        <v>0.14705882352941177</v>
      </c>
      <c r="P10" s="19"/>
      <c r="Q10" s="19">
        <f>SUMPRODUCT((raw!$A$2:$A$3691='(2018-19)'!$A$2)*(raw!$B$2:$B$3691='(2018-19)'!$A10)*(raw!$E$2:$E$3691='(2018-19)'!$Q$6)*(raw!$F$2:$F$3691='(2018-19)'!Q$7)*(raw!$G$2:$G$3691))</f>
        <v>0</v>
      </c>
      <c r="R10" s="19">
        <f>SUMPRODUCT((raw!$A$2:$A$3691='(2018-19)'!$A$2)*(raw!$B$2:$B$3691='(2018-19)'!$A10)*(raw!$E$2:$E$3691='(2018-19)'!$Q$6)*(raw!$F$2:$F$3691='(2018-19)'!R$7)*(raw!$G$2:$G$3691))</f>
        <v>3</v>
      </c>
      <c r="S10" s="19" t="s">
        <v>188</v>
      </c>
      <c r="T10" s="15">
        <f t="shared" si="3"/>
        <v>1</v>
      </c>
      <c r="U10" s="19"/>
      <c r="V10" s="19">
        <f>SUMPRODUCT((raw!$A$2:$A$3691='(2018-19)'!$A$2)*(raw!$B$2:$B$3691='(2018-19)'!$A10)*(raw!$E$2:$E$3691='(2018-19)'!$V$6)*(raw!$F$2:$F$3691='(2018-19)'!V$7)*(raw!$G$2:$G$3691))</f>
        <v>10</v>
      </c>
      <c r="W10" s="19">
        <f>SUMPRODUCT((raw!$A$2:$A$3691='(2018-19)'!$A$2)*(raw!$B$2:$B$3691='(2018-19)'!$A10)*(raw!$E$2:$E$3691='(2018-19)'!$V$6)*(raw!$F$2:$F$3691='(2018-19)'!W$7)*(raw!$G$2:$G$3691))</f>
        <v>15</v>
      </c>
      <c r="X10" s="19" t="s">
        <v>188</v>
      </c>
      <c r="Y10" s="15">
        <f t="shared" si="4"/>
        <v>0.6</v>
      </c>
      <c r="Z10" s="19"/>
      <c r="AA10" s="14">
        <f>L10+Q10+V10</f>
        <v>39</v>
      </c>
      <c r="AB10" s="14">
        <f>M10+R10+W10</f>
        <v>23</v>
      </c>
      <c r="AC10" s="19" t="s">
        <v>188</v>
      </c>
      <c r="AD10" s="15">
        <f t="shared" si="5"/>
        <v>0.37096774193548387</v>
      </c>
      <c r="AE10" s="16"/>
      <c r="AF10" s="16"/>
      <c r="AG10" s="16"/>
      <c r="AH10" s="16"/>
      <c r="AI10" s="16"/>
      <c r="AJ10" s="16"/>
      <c r="AK10" s="16"/>
      <c r="AL10" s="16"/>
      <c r="AM10" s="16"/>
    </row>
    <row r="11" spans="1:40" s="6" customFormat="1" ht="15" customHeight="1" x14ac:dyDescent="0.3">
      <c r="A11" s="5" t="s">
        <v>13</v>
      </c>
      <c r="B11" s="19">
        <f>SUMPRODUCT((raw!$A$2:$A$3691='(2018-19)'!$A$2)*(raw!$B$2:$B$3691='(2018-19)'!$A11)*(raw!$E$2:$E$3691='(2018-19)'!$B$6:$E$6)*(raw!$F$2:$F$3691='(2018-19)'!B$7)*(raw!$G$2:$G$3691))</f>
        <v>17</v>
      </c>
      <c r="C11" s="19">
        <f>SUMPRODUCT((raw!$A$2:$A$3691='(2018-19)'!$A$2)*(raw!$B$2:$B$3691='(2018-19)'!$A11)*(raw!$E$2:$E$3691='(2018-19)'!$B$6:$E$6)*(raw!$F$2:$F$3691='(2018-19)'!C$7)*(raw!$G$2:$G$3691))</f>
        <v>1</v>
      </c>
      <c r="D11" s="19" t="s">
        <v>188</v>
      </c>
      <c r="E11" s="15">
        <f t="shared" si="0"/>
        <v>5.5555555555555552E-2</v>
      </c>
      <c r="F11" s="19"/>
      <c r="G11" s="19">
        <f>SUMPRODUCT((raw!$A$2:$A$3691='(2018-19)'!$A$2)*(raw!$B$2:$B$3691='(2018-19)'!$A11)*(raw!$E$2:$E$3691='(2018-19)'!$G$6)*(raw!$F$2:$F$3691='(2018-19)'!G$7)*(raw!$G$2:$G$3691))</f>
        <v>24</v>
      </c>
      <c r="H11" s="19">
        <f>SUMPRODUCT((raw!$A$2:$A$3691='(2018-19)'!$A$2)*(raw!$B$2:$B$3691='(2018-19)'!$A11)*(raw!$E$2:$E$3691='(2018-19)'!$G$6)*(raw!$F$2:$F$3691='(2018-19)'!H$7)*(raw!$G$2:$G$3691))</f>
        <v>2</v>
      </c>
      <c r="I11" s="19" t="s">
        <v>188</v>
      </c>
      <c r="J11" s="15">
        <f t="shared" si="1"/>
        <v>7.6923076923076927E-2</v>
      </c>
      <c r="K11" s="19"/>
      <c r="L11" s="14">
        <f t="shared" ref="L11:L56" si="6">B11+G11</f>
        <v>41</v>
      </c>
      <c r="M11" s="14">
        <f t="shared" ref="M11:M56" si="7">C11+H11</f>
        <v>3</v>
      </c>
      <c r="N11" s="19" t="s">
        <v>188</v>
      </c>
      <c r="O11" s="15">
        <f t="shared" si="2"/>
        <v>6.8181818181818177E-2</v>
      </c>
      <c r="P11" s="19"/>
      <c r="Q11" s="19">
        <f>SUMPRODUCT((raw!$A$2:$A$3691='(2018-19)'!$A$2)*(raw!$B$2:$B$3691='(2018-19)'!$A11)*(raw!$E$2:$E$3691='(2018-19)'!$Q$6)*(raw!$F$2:$F$3691='(2018-19)'!Q$7)*(raw!$G$2:$G$3691))</f>
        <v>0</v>
      </c>
      <c r="R11" s="19">
        <f>SUMPRODUCT((raw!$A$2:$A$3691='(2018-19)'!$A$2)*(raw!$B$2:$B$3691='(2018-19)'!$A11)*(raw!$E$2:$E$3691='(2018-19)'!$Q$6)*(raw!$F$2:$F$3691='(2018-19)'!R$7)*(raw!$G$2:$G$3691))</f>
        <v>2</v>
      </c>
      <c r="S11" s="19" t="s">
        <v>188</v>
      </c>
      <c r="T11" s="15">
        <f t="shared" si="3"/>
        <v>1</v>
      </c>
      <c r="U11" s="19"/>
      <c r="V11" s="19">
        <f>SUMPRODUCT((raw!$A$2:$A$3691='(2018-19)'!$A$2)*(raw!$B$2:$B$3691='(2018-19)'!$A11)*(raw!$E$2:$E$3691='(2018-19)'!$V$6)*(raw!$F$2:$F$3691='(2018-19)'!V$7)*(raw!$G$2:$G$3691))</f>
        <v>13</v>
      </c>
      <c r="W11" s="19">
        <f>SUMPRODUCT((raw!$A$2:$A$3691='(2018-19)'!$A$2)*(raw!$B$2:$B$3691='(2018-19)'!$A11)*(raw!$E$2:$E$3691='(2018-19)'!$V$6)*(raw!$F$2:$F$3691='(2018-19)'!W$7)*(raw!$G$2:$G$3691))</f>
        <v>9</v>
      </c>
      <c r="X11" s="19" t="s">
        <v>188</v>
      </c>
      <c r="Y11" s="15">
        <f t="shared" si="4"/>
        <v>0.40909090909090912</v>
      </c>
      <c r="Z11" s="19"/>
      <c r="AA11" s="14">
        <f t="shared" ref="AA11:AA56" si="8">L11+Q11+V11</f>
        <v>54</v>
      </c>
      <c r="AB11" s="14">
        <f t="shared" ref="AB11:AB56" si="9">M11+R11+W11</f>
        <v>14</v>
      </c>
      <c r="AC11" s="19" t="s">
        <v>188</v>
      </c>
      <c r="AD11" s="15">
        <f t="shared" si="5"/>
        <v>0.20588235294117646</v>
      </c>
      <c r="AE11" s="16"/>
      <c r="AF11" s="16"/>
      <c r="AG11" s="16"/>
      <c r="AH11" s="16"/>
      <c r="AI11" s="16"/>
      <c r="AJ11" s="16"/>
      <c r="AK11" s="16"/>
      <c r="AL11" s="16"/>
      <c r="AM11" s="16"/>
    </row>
    <row r="12" spans="1:40" s="6" customFormat="1" ht="15" customHeight="1" x14ac:dyDescent="0.3">
      <c r="A12" s="5" t="s">
        <v>14</v>
      </c>
      <c r="B12" s="19">
        <f>SUMPRODUCT((raw!$A$2:$A$3691='(2018-19)'!$A$2)*(raw!$B$2:$B$3691='(2018-19)'!$A12)*(raw!$E$2:$E$3691='(2018-19)'!$B$6:$E$6)*(raw!$F$2:$F$3691='(2018-19)'!B$7)*(raw!$G$2:$G$3691))</f>
        <v>14</v>
      </c>
      <c r="C12" s="19">
        <f>SUMPRODUCT((raw!$A$2:$A$3691='(2018-19)'!$A$2)*(raw!$B$2:$B$3691='(2018-19)'!$A12)*(raw!$E$2:$E$3691='(2018-19)'!$B$6:$E$6)*(raw!$F$2:$F$3691='(2018-19)'!C$7)*(raw!$G$2:$G$3691))</f>
        <v>0</v>
      </c>
      <c r="D12" s="19" t="s">
        <v>188</v>
      </c>
      <c r="E12" s="15">
        <f t="shared" si="0"/>
        <v>0</v>
      </c>
      <c r="F12" s="19"/>
      <c r="G12" s="19">
        <f>SUMPRODUCT((raw!$A$2:$A$3691='(2018-19)'!$A$2)*(raw!$B$2:$B$3691='(2018-19)'!$A12)*(raw!$E$2:$E$3691='(2018-19)'!$G$6)*(raw!$F$2:$F$3691='(2018-19)'!G$7)*(raw!$G$2:$G$3691))</f>
        <v>19</v>
      </c>
      <c r="H12" s="19">
        <f>SUMPRODUCT((raw!$A$2:$A$3691='(2018-19)'!$A$2)*(raw!$B$2:$B$3691='(2018-19)'!$A12)*(raw!$E$2:$E$3691='(2018-19)'!$G$6)*(raw!$F$2:$F$3691='(2018-19)'!H$7)*(raw!$G$2:$G$3691))</f>
        <v>4</v>
      </c>
      <c r="I12" s="19" t="s">
        <v>188</v>
      </c>
      <c r="J12" s="15">
        <f t="shared" si="1"/>
        <v>0.17391304347826086</v>
      </c>
      <c r="K12" s="19"/>
      <c r="L12" s="14">
        <f t="shared" si="6"/>
        <v>33</v>
      </c>
      <c r="M12" s="14">
        <f t="shared" si="7"/>
        <v>4</v>
      </c>
      <c r="N12" s="19" t="s">
        <v>188</v>
      </c>
      <c r="O12" s="15">
        <f t="shared" si="2"/>
        <v>0.10810810810810811</v>
      </c>
      <c r="P12" s="19"/>
      <c r="Q12" s="19">
        <f>SUMPRODUCT((raw!$A$2:$A$3691='(2018-19)'!$A$2)*(raw!$B$2:$B$3691='(2018-19)'!$A12)*(raw!$E$2:$E$3691='(2018-19)'!$Q$6)*(raw!$F$2:$F$3691='(2018-19)'!Q$7)*(raw!$G$2:$G$3691))</f>
        <v>3</v>
      </c>
      <c r="R12" s="19">
        <f>SUMPRODUCT((raw!$A$2:$A$3691='(2018-19)'!$A$2)*(raw!$B$2:$B$3691='(2018-19)'!$A12)*(raw!$E$2:$E$3691='(2018-19)'!$Q$6)*(raw!$F$2:$F$3691='(2018-19)'!R$7)*(raw!$G$2:$G$3691))</f>
        <v>2</v>
      </c>
      <c r="S12" s="19" t="s">
        <v>188</v>
      </c>
      <c r="T12" s="15">
        <f t="shared" si="3"/>
        <v>0.4</v>
      </c>
      <c r="U12" s="19"/>
      <c r="V12" s="19">
        <f>SUMPRODUCT((raw!$A$2:$A$3691='(2018-19)'!$A$2)*(raw!$B$2:$B$3691='(2018-19)'!$A12)*(raw!$E$2:$E$3691='(2018-19)'!$V$6)*(raw!$F$2:$F$3691='(2018-19)'!V$7)*(raw!$G$2:$G$3691))</f>
        <v>10</v>
      </c>
      <c r="W12" s="19">
        <f>SUMPRODUCT((raw!$A$2:$A$3691='(2018-19)'!$A$2)*(raw!$B$2:$B$3691='(2018-19)'!$A12)*(raw!$E$2:$E$3691='(2018-19)'!$V$6)*(raw!$F$2:$F$3691='(2018-19)'!W$7)*(raw!$G$2:$G$3691))</f>
        <v>19</v>
      </c>
      <c r="X12" s="19" t="s">
        <v>188</v>
      </c>
      <c r="Y12" s="15">
        <f t="shared" si="4"/>
        <v>0.65517241379310343</v>
      </c>
      <c r="Z12" s="19"/>
      <c r="AA12" s="14">
        <f t="shared" si="8"/>
        <v>46</v>
      </c>
      <c r="AB12" s="14">
        <f t="shared" si="9"/>
        <v>25</v>
      </c>
      <c r="AC12" s="19" t="s">
        <v>188</v>
      </c>
      <c r="AD12" s="15">
        <f t="shared" si="5"/>
        <v>0.352112676056338</v>
      </c>
      <c r="AE12" s="16"/>
      <c r="AF12" s="16"/>
      <c r="AG12" s="16"/>
      <c r="AH12" s="16"/>
      <c r="AI12" s="16"/>
      <c r="AJ12" s="16"/>
      <c r="AK12" s="16"/>
      <c r="AL12" s="16"/>
      <c r="AM12" s="16"/>
    </row>
    <row r="13" spans="1:40" s="6" customFormat="1" ht="15" customHeight="1" x14ac:dyDescent="0.3">
      <c r="A13" s="5" t="s">
        <v>15</v>
      </c>
      <c r="B13" s="19">
        <f>SUMPRODUCT((raw!$A$2:$A$3691='(2018-19)'!$A$2)*(raw!$B$2:$B$3691='(2018-19)'!$A13)*(raw!$E$2:$E$3691='(2018-19)'!$B$6:$E$6)*(raw!$F$2:$F$3691='(2018-19)'!B$7)*(raw!$G$2:$G$3691))</f>
        <v>24</v>
      </c>
      <c r="C13" s="19">
        <f>SUMPRODUCT((raw!$A$2:$A$3691='(2018-19)'!$A$2)*(raw!$B$2:$B$3691='(2018-19)'!$A13)*(raw!$E$2:$E$3691='(2018-19)'!$B$6:$E$6)*(raw!$F$2:$F$3691='(2018-19)'!C$7)*(raw!$G$2:$G$3691))</f>
        <v>4</v>
      </c>
      <c r="D13" s="19" t="s">
        <v>188</v>
      </c>
      <c r="E13" s="15">
        <f t="shared" si="0"/>
        <v>0.14285714285714285</v>
      </c>
      <c r="F13" s="19"/>
      <c r="G13" s="19">
        <f>SUMPRODUCT((raw!$A$2:$A$3691='(2018-19)'!$A$2)*(raw!$B$2:$B$3691='(2018-19)'!$A13)*(raw!$E$2:$E$3691='(2018-19)'!$G$6)*(raw!$F$2:$F$3691='(2018-19)'!G$7)*(raw!$G$2:$G$3691))</f>
        <v>16</v>
      </c>
      <c r="H13" s="19">
        <f>SUMPRODUCT((raw!$A$2:$A$3691='(2018-19)'!$A$2)*(raw!$B$2:$B$3691='(2018-19)'!$A13)*(raw!$E$2:$E$3691='(2018-19)'!$G$6)*(raw!$F$2:$F$3691='(2018-19)'!H$7)*(raw!$G$2:$G$3691))</f>
        <v>3</v>
      </c>
      <c r="I13" s="19" t="s">
        <v>188</v>
      </c>
      <c r="J13" s="15">
        <f t="shared" si="1"/>
        <v>0.15789473684210525</v>
      </c>
      <c r="K13" s="19"/>
      <c r="L13" s="14">
        <f t="shared" si="6"/>
        <v>40</v>
      </c>
      <c r="M13" s="14">
        <f t="shared" si="7"/>
        <v>7</v>
      </c>
      <c r="N13" s="19" t="s">
        <v>188</v>
      </c>
      <c r="O13" s="15">
        <f t="shared" si="2"/>
        <v>0.14893617021276595</v>
      </c>
      <c r="P13" s="19"/>
      <c r="Q13" s="19">
        <f>SUMPRODUCT((raw!$A$2:$A$3691='(2018-19)'!$A$2)*(raw!$B$2:$B$3691='(2018-19)'!$A13)*(raw!$E$2:$E$3691='(2018-19)'!$Q$6)*(raw!$F$2:$F$3691='(2018-19)'!Q$7)*(raw!$G$2:$G$3691))</f>
        <v>0</v>
      </c>
      <c r="R13" s="19">
        <f>SUMPRODUCT((raw!$A$2:$A$3691='(2018-19)'!$A$2)*(raw!$B$2:$B$3691='(2018-19)'!$A13)*(raw!$E$2:$E$3691='(2018-19)'!$Q$6)*(raw!$F$2:$F$3691='(2018-19)'!R$7)*(raw!$G$2:$G$3691))</f>
        <v>0</v>
      </c>
      <c r="S13" s="19" t="s">
        <v>188</v>
      </c>
      <c r="T13" s="15" t="str">
        <f t="shared" si="3"/>
        <v>-</v>
      </c>
      <c r="U13" s="19"/>
      <c r="V13" s="19">
        <f>SUMPRODUCT((raw!$A$2:$A$3691='(2018-19)'!$A$2)*(raw!$B$2:$B$3691='(2018-19)'!$A13)*(raw!$E$2:$E$3691='(2018-19)'!$V$6)*(raw!$F$2:$F$3691='(2018-19)'!V$7)*(raw!$G$2:$G$3691))</f>
        <v>2</v>
      </c>
      <c r="W13" s="19">
        <f>SUMPRODUCT((raw!$A$2:$A$3691='(2018-19)'!$A$2)*(raw!$B$2:$B$3691='(2018-19)'!$A13)*(raw!$E$2:$E$3691='(2018-19)'!$V$6)*(raw!$F$2:$F$3691='(2018-19)'!W$7)*(raw!$G$2:$G$3691))</f>
        <v>4</v>
      </c>
      <c r="X13" s="19" t="s">
        <v>188</v>
      </c>
      <c r="Y13" s="15">
        <f t="shared" si="4"/>
        <v>0.66666666666666663</v>
      </c>
      <c r="Z13" s="19"/>
      <c r="AA13" s="14">
        <f t="shared" si="8"/>
        <v>42</v>
      </c>
      <c r="AB13" s="14">
        <f t="shared" si="9"/>
        <v>11</v>
      </c>
      <c r="AC13" s="19" t="s">
        <v>188</v>
      </c>
      <c r="AD13" s="15">
        <f t="shared" si="5"/>
        <v>0.20754716981132076</v>
      </c>
      <c r="AE13" s="16"/>
      <c r="AF13" s="16"/>
      <c r="AG13" s="16"/>
      <c r="AH13" s="16"/>
      <c r="AI13" s="16"/>
      <c r="AJ13" s="16"/>
      <c r="AK13" s="16"/>
      <c r="AL13" s="16"/>
      <c r="AM13" s="16"/>
    </row>
    <row r="14" spans="1:40" s="6" customFormat="1" ht="15" customHeight="1" x14ac:dyDescent="0.3">
      <c r="A14" s="5" t="s">
        <v>16</v>
      </c>
      <c r="B14" s="19">
        <f>SUMPRODUCT((raw!$A$2:$A$3691='(2018-19)'!$A$2)*(raw!$B$2:$B$3691='(2018-19)'!$A14)*(raw!$E$2:$E$3691='(2018-19)'!$B$6:$E$6)*(raw!$F$2:$F$3691='(2018-19)'!B$7)*(raw!$G$2:$G$3691))</f>
        <v>12</v>
      </c>
      <c r="C14" s="19">
        <f>SUMPRODUCT((raw!$A$2:$A$3691='(2018-19)'!$A$2)*(raw!$B$2:$B$3691='(2018-19)'!$A14)*(raw!$E$2:$E$3691='(2018-19)'!$B$6:$E$6)*(raw!$F$2:$F$3691='(2018-19)'!C$7)*(raw!$G$2:$G$3691))</f>
        <v>2</v>
      </c>
      <c r="D14" s="19" t="s">
        <v>188</v>
      </c>
      <c r="E14" s="15">
        <f t="shared" si="0"/>
        <v>0.14285714285714285</v>
      </c>
      <c r="F14" s="19"/>
      <c r="G14" s="19">
        <f>SUMPRODUCT((raw!$A$2:$A$3691='(2018-19)'!$A$2)*(raw!$B$2:$B$3691='(2018-19)'!$A14)*(raw!$E$2:$E$3691='(2018-19)'!$G$6)*(raw!$F$2:$F$3691='(2018-19)'!G$7)*(raw!$G$2:$G$3691))</f>
        <v>34</v>
      </c>
      <c r="H14" s="19">
        <f>SUMPRODUCT((raw!$A$2:$A$3691='(2018-19)'!$A$2)*(raw!$B$2:$B$3691='(2018-19)'!$A14)*(raw!$E$2:$E$3691='(2018-19)'!$G$6)*(raw!$F$2:$F$3691='(2018-19)'!H$7)*(raw!$G$2:$G$3691))</f>
        <v>2</v>
      </c>
      <c r="I14" s="19" t="s">
        <v>188</v>
      </c>
      <c r="J14" s="15">
        <f t="shared" si="1"/>
        <v>5.5555555555555552E-2</v>
      </c>
      <c r="K14" s="19"/>
      <c r="L14" s="14">
        <f t="shared" si="6"/>
        <v>46</v>
      </c>
      <c r="M14" s="14">
        <f t="shared" si="7"/>
        <v>4</v>
      </c>
      <c r="N14" s="19" t="s">
        <v>188</v>
      </c>
      <c r="O14" s="15">
        <f t="shared" si="2"/>
        <v>0.08</v>
      </c>
      <c r="P14" s="19"/>
      <c r="Q14" s="19">
        <f>SUMPRODUCT((raw!$A$2:$A$3691='(2018-19)'!$A$2)*(raw!$B$2:$B$3691='(2018-19)'!$A14)*(raw!$E$2:$E$3691='(2018-19)'!$Q$6)*(raw!$F$2:$F$3691='(2018-19)'!Q$7)*(raw!$G$2:$G$3691))</f>
        <v>2</v>
      </c>
      <c r="R14" s="19">
        <f>SUMPRODUCT((raw!$A$2:$A$3691='(2018-19)'!$A$2)*(raw!$B$2:$B$3691='(2018-19)'!$A14)*(raw!$E$2:$E$3691='(2018-19)'!$Q$6)*(raw!$F$2:$F$3691='(2018-19)'!R$7)*(raw!$G$2:$G$3691))</f>
        <v>10</v>
      </c>
      <c r="S14" s="19" t="s">
        <v>188</v>
      </c>
      <c r="T14" s="15">
        <f t="shared" si="3"/>
        <v>0.83333333333333337</v>
      </c>
      <c r="U14" s="19"/>
      <c r="V14" s="19">
        <f>SUMPRODUCT((raw!$A$2:$A$3691='(2018-19)'!$A$2)*(raw!$B$2:$B$3691='(2018-19)'!$A14)*(raw!$E$2:$E$3691='(2018-19)'!$V$6)*(raw!$F$2:$F$3691='(2018-19)'!V$7)*(raw!$G$2:$G$3691))</f>
        <v>12</v>
      </c>
      <c r="W14" s="19">
        <f>SUMPRODUCT((raw!$A$2:$A$3691='(2018-19)'!$A$2)*(raw!$B$2:$B$3691='(2018-19)'!$A14)*(raw!$E$2:$E$3691='(2018-19)'!$V$6)*(raw!$F$2:$F$3691='(2018-19)'!W$7)*(raw!$G$2:$G$3691))</f>
        <v>9</v>
      </c>
      <c r="X14" s="19" t="s">
        <v>188</v>
      </c>
      <c r="Y14" s="15">
        <f t="shared" si="4"/>
        <v>0.42857142857142855</v>
      </c>
      <c r="Z14" s="19"/>
      <c r="AA14" s="14">
        <f t="shared" si="8"/>
        <v>60</v>
      </c>
      <c r="AB14" s="14">
        <f t="shared" si="9"/>
        <v>23</v>
      </c>
      <c r="AC14" s="19" t="s">
        <v>188</v>
      </c>
      <c r="AD14" s="15">
        <f t="shared" si="5"/>
        <v>0.27710843373493976</v>
      </c>
      <c r="AE14" s="16"/>
      <c r="AF14" s="16"/>
      <c r="AG14" s="16"/>
      <c r="AH14" s="16"/>
      <c r="AI14" s="16"/>
      <c r="AJ14" s="16"/>
      <c r="AK14" s="16"/>
      <c r="AL14" s="16"/>
      <c r="AM14" s="16"/>
    </row>
    <row r="15" spans="1:40" s="6" customFormat="1" ht="15" customHeight="1" x14ac:dyDescent="0.3">
      <c r="A15" s="5" t="s">
        <v>17</v>
      </c>
      <c r="B15" s="19">
        <f>SUMPRODUCT((raw!$A$2:$A$3691='(2018-19)'!$A$2)*(raw!$B$2:$B$3691='(2018-19)'!$A15)*(raw!$E$2:$E$3691='(2018-19)'!$B$6:$E$6)*(raw!$F$2:$F$3691='(2018-19)'!B$7)*(raw!$G$2:$G$3691))</f>
        <v>44</v>
      </c>
      <c r="C15" s="19">
        <f>SUMPRODUCT((raw!$A$2:$A$3691='(2018-19)'!$A$2)*(raw!$B$2:$B$3691='(2018-19)'!$A15)*(raw!$E$2:$E$3691='(2018-19)'!$B$6:$E$6)*(raw!$F$2:$F$3691='(2018-19)'!C$7)*(raw!$G$2:$G$3691))</f>
        <v>10</v>
      </c>
      <c r="D15" s="19" t="s">
        <v>188</v>
      </c>
      <c r="E15" s="15">
        <f t="shared" si="0"/>
        <v>0.18518518518518517</v>
      </c>
      <c r="F15" s="19"/>
      <c r="G15" s="19">
        <f>SUMPRODUCT((raw!$A$2:$A$3691='(2018-19)'!$A$2)*(raw!$B$2:$B$3691='(2018-19)'!$A15)*(raw!$E$2:$E$3691='(2018-19)'!$G$6)*(raw!$F$2:$F$3691='(2018-19)'!G$7)*(raw!$G$2:$G$3691))</f>
        <v>24</v>
      </c>
      <c r="H15" s="19">
        <f>SUMPRODUCT((raw!$A$2:$A$3691='(2018-19)'!$A$2)*(raw!$B$2:$B$3691='(2018-19)'!$A15)*(raw!$E$2:$E$3691='(2018-19)'!$G$6)*(raw!$F$2:$F$3691='(2018-19)'!H$7)*(raw!$G$2:$G$3691))</f>
        <v>4</v>
      </c>
      <c r="I15" s="19" t="s">
        <v>188</v>
      </c>
      <c r="J15" s="15">
        <f t="shared" si="1"/>
        <v>0.14285714285714285</v>
      </c>
      <c r="K15" s="19"/>
      <c r="L15" s="14">
        <f t="shared" si="6"/>
        <v>68</v>
      </c>
      <c r="M15" s="14">
        <f t="shared" si="7"/>
        <v>14</v>
      </c>
      <c r="N15" s="19" t="s">
        <v>188</v>
      </c>
      <c r="O15" s="15">
        <f t="shared" si="2"/>
        <v>0.17073170731707318</v>
      </c>
      <c r="P15" s="19"/>
      <c r="Q15" s="19">
        <f>SUMPRODUCT((raw!$A$2:$A$3691='(2018-19)'!$A$2)*(raw!$B$2:$B$3691='(2018-19)'!$A15)*(raw!$E$2:$E$3691='(2018-19)'!$Q$6)*(raw!$F$2:$F$3691='(2018-19)'!Q$7)*(raw!$G$2:$G$3691))</f>
        <v>0</v>
      </c>
      <c r="R15" s="19">
        <f>SUMPRODUCT((raw!$A$2:$A$3691='(2018-19)'!$A$2)*(raw!$B$2:$B$3691='(2018-19)'!$A15)*(raw!$E$2:$E$3691='(2018-19)'!$Q$6)*(raw!$F$2:$F$3691='(2018-19)'!R$7)*(raw!$G$2:$G$3691))</f>
        <v>0</v>
      </c>
      <c r="S15" s="19" t="s">
        <v>188</v>
      </c>
      <c r="T15" s="15" t="str">
        <f t="shared" si="3"/>
        <v>-</v>
      </c>
      <c r="U15" s="19"/>
      <c r="V15" s="19">
        <f>SUMPRODUCT((raw!$A$2:$A$3691='(2018-19)'!$A$2)*(raw!$B$2:$B$3691='(2018-19)'!$A15)*(raw!$E$2:$E$3691='(2018-19)'!$V$6)*(raw!$F$2:$F$3691='(2018-19)'!V$7)*(raw!$G$2:$G$3691))</f>
        <v>6</v>
      </c>
      <c r="W15" s="19">
        <f>SUMPRODUCT((raw!$A$2:$A$3691='(2018-19)'!$A$2)*(raw!$B$2:$B$3691='(2018-19)'!$A15)*(raw!$E$2:$E$3691='(2018-19)'!$V$6)*(raw!$F$2:$F$3691='(2018-19)'!W$7)*(raw!$G$2:$G$3691))</f>
        <v>10</v>
      </c>
      <c r="X15" s="19" t="s">
        <v>188</v>
      </c>
      <c r="Y15" s="15">
        <f t="shared" si="4"/>
        <v>0.625</v>
      </c>
      <c r="Z15" s="19"/>
      <c r="AA15" s="14">
        <f t="shared" si="8"/>
        <v>74</v>
      </c>
      <c r="AB15" s="14">
        <f t="shared" si="9"/>
        <v>24</v>
      </c>
      <c r="AC15" s="19" t="s">
        <v>188</v>
      </c>
      <c r="AD15" s="15">
        <f t="shared" si="5"/>
        <v>0.24489795918367346</v>
      </c>
      <c r="AE15" s="16"/>
      <c r="AF15" s="16"/>
      <c r="AG15" s="16"/>
      <c r="AH15" s="16"/>
      <c r="AI15" s="16"/>
      <c r="AJ15" s="16"/>
      <c r="AK15" s="16"/>
      <c r="AL15" s="16"/>
      <c r="AM15" s="16"/>
    </row>
    <row r="16" spans="1:40" s="6" customFormat="1" ht="15" customHeight="1" x14ac:dyDescent="0.3">
      <c r="A16" s="5" t="s">
        <v>18</v>
      </c>
      <c r="B16" s="19">
        <f>SUMPRODUCT((raw!$A$2:$A$3691='(2018-19)'!$A$2)*(raw!$B$2:$B$3691='(2018-19)'!$A16)*(raw!$E$2:$E$3691='(2018-19)'!$B$6:$E$6)*(raw!$F$2:$F$3691='(2018-19)'!B$7)*(raw!$G$2:$G$3691))</f>
        <v>34</v>
      </c>
      <c r="C16" s="19">
        <f>SUMPRODUCT((raw!$A$2:$A$3691='(2018-19)'!$A$2)*(raw!$B$2:$B$3691='(2018-19)'!$A16)*(raw!$E$2:$E$3691='(2018-19)'!$B$6:$E$6)*(raw!$F$2:$F$3691='(2018-19)'!C$7)*(raw!$G$2:$G$3691))</f>
        <v>2</v>
      </c>
      <c r="D16" s="19" t="s">
        <v>188</v>
      </c>
      <c r="E16" s="15">
        <f t="shared" si="0"/>
        <v>5.5555555555555552E-2</v>
      </c>
      <c r="F16" s="19"/>
      <c r="G16" s="19">
        <f>SUMPRODUCT((raw!$A$2:$A$3691='(2018-19)'!$A$2)*(raw!$B$2:$B$3691='(2018-19)'!$A16)*(raw!$E$2:$E$3691='(2018-19)'!$G$6)*(raw!$F$2:$F$3691='(2018-19)'!G$7)*(raw!$G$2:$G$3691))</f>
        <v>12</v>
      </c>
      <c r="H16" s="19">
        <f>SUMPRODUCT((raw!$A$2:$A$3691='(2018-19)'!$A$2)*(raw!$B$2:$B$3691='(2018-19)'!$A16)*(raw!$E$2:$E$3691='(2018-19)'!$G$6)*(raw!$F$2:$F$3691='(2018-19)'!H$7)*(raw!$G$2:$G$3691))</f>
        <v>1</v>
      </c>
      <c r="I16" s="19" t="s">
        <v>188</v>
      </c>
      <c r="J16" s="15">
        <f t="shared" si="1"/>
        <v>7.6923076923076927E-2</v>
      </c>
      <c r="K16" s="19"/>
      <c r="L16" s="14">
        <f t="shared" si="6"/>
        <v>46</v>
      </c>
      <c r="M16" s="14">
        <f t="shared" si="7"/>
        <v>3</v>
      </c>
      <c r="N16" s="19" t="s">
        <v>188</v>
      </c>
      <c r="O16" s="15">
        <f t="shared" si="2"/>
        <v>6.1224489795918366E-2</v>
      </c>
      <c r="P16" s="19"/>
      <c r="Q16" s="19">
        <f>SUMPRODUCT((raw!$A$2:$A$3691='(2018-19)'!$A$2)*(raw!$B$2:$B$3691='(2018-19)'!$A16)*(raw!$E$2:$E$3691='(2018-19)'!$Q$6)*(raw!$F$2:$F$3691='(2018-19)'!Q$7)*(raw!$G$2:$G$3691))</f>
        <v>0</v>
      </c>
      <c r="R16" s="19">
        <f>SUMPRODUCT((raw!$A$2:$A$3691='(2018-19)'!$A$2)*(raw!$B$2:$B$3691='(2018-19)'!$A16)*(raw!$E$2:$E$3691='(2018-19)'!$Q$6)*(raw!$F$2:$F$3691='(2018-19)'!R$7)*(raw!$G$2:$G$3691))</f>
        <v>2</v>
      </c>
      <c r="S16" s="19" t="s">
        <v>188</v>
      </c>
      <c r="T16" s="15">
        <f t="shared" si="3"/>
        <v>1</v>
      </c>
      <c r="U16" s="19"/>
      <c r="V16" s="19">
        <f>SUMPRODUCT((raw!$A$2:$A$3691='(2018-19)'!$A$2)*(raw!$B$2:$B$3691='(2018-19)'!$A16)*(raw!$E$2:$E$3691='(2018-19)'!$V$6)*(raw!$F$2:$F$3691='(2018-19)'!V$7)*(raw!$G$2:$G$3691))</f>
        <v>5</v>
      </c>
      <c r="W16" s="19">
        <f>SUMPRODUCT((raw!$A$2:$A$3691='(2018-19)'!$A$2)*(raw!$B$2:$B$3691='(2018-19)'!$A16)*(raw!$E$2:$E$3691='(2018-19)'!$V$6)*(raw!$F$2:$F$3691='(2018-19)'!W$7)*(raw!$G$2:$G$3691))</f>
        <v>7</v>
      </c>
      <c r="X16" s="19" t="s">
        <v>188</v>
      </c>
      <c r="Y16" s="15">
        <f t="shared" si="4"/>
        <v>0.58333333333333337</v>
      </c>
      <c r="Z16" s="19"/>
      <c r="AA16" s="14">
        <f t="shared" si="8"/>
        <v>51</v>
      </c>
      <c r="AB16" s="14">
        <f t="shared" si="9"/>
        <v>12</v>
      </c>
      <c r="AC16" s="19" t="s">
        <v>188</v>
      </c>
      <c r="AD16" s="15">
        <f t="shared" si="5"/>
        <v>0.19047619047619047</v>
      </c>
      <c r="AE16" s="16"/>
      <c r="AF16" s="16"/>
      <c r="AG16" s="16"/>
      <c r="AH16" s="16"/>
      <c r="AI16" s="16"/>
      <c r="AJ16" s="16"/>
      <c r="AK16" s="16"/>
      <c r="AL16" s="16"/>
      <c r="AM16" s="16"/>
    </row>
    <row r="17" spans="1:39" s="6" customFormat="1" ht="15" customHeight="1" x14ac:dyDescent="0.3">
      <c r="A17" s="5" t="s">
        <v>19</v>
      </c>
      <c r="B17" s="19">
        <f>SUMPRODUCT((raw!$A$2:$A$3691='(2018-19)'!$A$2)*(raw!$B$2:$B$3691='(2018-19)'!$A17)*(raw!$E$2:$E$3691='(2018-19)'!$B$6:$E$6)*(raw!$F$2:$F$3691='(2018-19)'!B$7)*(raw!$G$2:$G$3691))</f>
        <v>11</v>
      </c>
      <c r="C17" s="19">
        <f>SUMPRODUCT((raw!$A$2:$A$3691='(2018-19)'!$A$2)*(raw!$B$2:$B$3691='(2018-19)'!$A17)*(raw!$E$2:$E$3691='(2018-19)'!$B$6:$E$6)*(raw!$F$2:$F$3691='(2018-19)'!C$7)*(raw!$G$2:$G$3691))</f>
        <v>1</v>
      </c>
      <c r="D17" s="19" t="s">
        <v>188</v>
      </c>
      <c r="E17" s="15">
        <f t="shared" si="0"/>
        <v>8.3333333333333329E-2</v>
      </c>
      <c r="F17" s="19"/>
      <c r="G17" s="19">
        <f>SUMPRODUCT((raw!$A$2:$A$3691='(2018-19)'!$A$2)*(raw!$B$2:$B$3691='(2018-19)'!$A17)*(raw!$E$2:$E$3691='(2018-19)'!$G$6)*(raw!$F$2:$F$3691='(2018-19)'!G$7)*(raw!$G$2:$G$3691))</f>
        <v>56</v>
      </c>
      <c r="H17" s="19">
        <f>SUMPRODUCT((raw!$A$2:$A$3691='(2018-19)'!$A$2)*(raw!$B$2:$B$3691='(2018-19)'!$A17)*(raw!$E$2:$E$3691='(2018-19)'!$G$6)*(raw!$F$2:$F$3691='(2018-19)'!H$7)*(raw!$G$2:$G$3691))</f>
        <v>3</v>
      </c>
      <c r="I17" s="19" t="s">
        <v>188</v>
      </c>
      <c r="J17" s="15">
        <f t="shared" si="1"/>
        <v>5.0847457627118647E-2</v>
      </c>
      <c r="K17" s="19"/>
      <c r="L17" s="14">
        <f t="shared" si="6"/>
        <v>67</v>
      </c>
      <c r="M17" s="14">
        <f t="shared" si="7"/>
        <v>4</v>
      </c>
      <c r="N17" s="19" t="s">
        <v>188</v>
      </c>
      <c r="O17" s="15">
        <f t="shared" si="2"/>
        <v>5.6338028169014086E-2</v>
      </c>
      <c r="P17" s="19"/>
      <c r="Q17" s="19">
        <f>SUMPRODUCT((raw!$A$2:$A$3691='(2018-19)'!$A$2)*(raw!$B$2:$B$3691='(2018-19)'!$A17)*(raw!$E$2:$E$3691='(2018-19)'!$Q$6)*(raw!$F$2:$F$3691='(2018-19)'!Q$7)*(raw!$G$2:$G$3691))</f>
        <v>1</v>
      </c>
      <c r="R17" s="19">
        <f>SUMPRODUCT((raw!$A$2:$A$3691='(2018-19)'!$A$2)*(raw!$B$2:$B$3691='(2018-19)'!$A17)*(raw!$E$2:$E$3691='(2018-19)'!$Q$6)*(raw!$F$2:$F$3691='(2018-19)'!R$7)*(raw!$G$2:$G$3691))</f>
        <v>2</v>
      </c>
      <c r="S17" s="19" t="s">
        <v>188</v>
      </c>
      <c r="T17" s="15">
        <f t="shared" si="3"/>
        <v>0.66666666666666663</v>
      </c>
      <c r="U17" s="19"/>
      <c r="V17" s="19">
        <f>SUMPRODUCT((raw!$A$2:$A$3691='(2018-19)'!$A$2)*(raw!$B$2:$B$3691='(2018-19)'!$A17)*(raw!$E$2:$E$3691='(2018-19)'!$V$6)*(raw!$F$2:$F$3691='(2018-19)'!V$7)*(raw!$G$2:$G$3691))</f>
        <v>14</v>
      </c>
      <c r="W17" s="19">
        <f>SUMPRODUCT((raw!$A$2:$A$3691='(2018-19)'!$A$2)*(raw!$B$2:$B$3691='(2018-19)'!$A17)*(raw!$E$2:$E$3691='(2018-19)'!$V$6)*(raw!$F$2:$F$3691='(2018-19)'!W$7)*(raw!$G$2:$G$3691))</f>
        <v>10</v>
      </c>
      <c r="X17" s="19" t="s">
        <v>188</v>
      </c>
      <c r="Y17" s="15">
        <f t="shared" si="4"/>
        <v>0.41666666666666669</v>
      </c>
      <c r="Z17" s="19"/>
      <c r="AA17" s="14">
        <f t="shared" si="8"/>
        <v>82</v>
      </c>
      <c r="AB17" s="14">
        <f t="shared" si="9"/>
        <v>16</v>
      </c>
      <c r="AC17" s="19" t="s">
        <v>188</v>
      </c>
      <c r="AD17" s="15">
        <f t="shared" si="5"/>
        <v>0.16326530612244897</v>
      </c>
      <c r="AE17" s="16"/>
      <c r="AF17" s="16"/>
      <c r="AG17" s="16"/>
      <c r="AH17" s="16"/>
      <c r="AI17" s="16"/>
      <c r="AJ17" s="16"/>
      <c r="AK17" s="16"/>
      <c r="AL17" s="16"/>
      <c r="AM17" s="16"/>
    </row>
    <row r="18" spans="1:39" s="6" customFormat="1" ht="15" customHeight="1" x14ac:dyDescent="0.3">
      <c r="A18" s="5" t="s">
        <v>20</v>
      </c>
      <c r="B18" s="19">
        <f>SUMPRODUCT((raw!$A$2:$A$3691='(2018-19)'!$A$2)*(raw!$B$2:$B$3691='(2018-19)'!$A18)*(raw!$E$2:$E$3691='(2018-19)'!$B$6:$E$6)*(raw!$F$2:$F$3691='(2018-19)'!B$7)*(raw!$G$2:$G$3691))</f>
        <v>7</v>
      </c>
      <c r="C18" s="19">
        <f>SUMPRODUCT((raw!$A$2:$A$3691='(2018-19)'!$A$2)*(raw!$B$2:$B$3691='(2018-19)'!$A18)*(raw!$E$2:$E$3691='(2018-19)'!$B$6:$E$6)*(raw!$F$2:$F$3691='(2018-19)'!C$7)*(raw!$G$2:$G$3691))</f>
        <v>1</v>
      </c>
      <c r="D18" s="19" t="s">
        <v>188</v>
      </c>
      <c r="E18" s="15">
        <f t="shared" si="0"/>
        <v>0.125</v>
      </c>
      <c r="F18" s="19"/>
      <c r="G18" s="19">
        <f>SUMPRODUCT((raw!$A$2:$A$3691='(2018-19)'!$A$2)*(raw!$B$2:$B$3691='(2018-19)'!$A18)*(raw!$E$2:$E$3691='(2018-19)'!$G$6)*(raw!$F$2:$F$3691='(2018-19)'!G$7)*(raw!$G$2:$G$3691))</f>
        <v>17</v>
      </c>
      <c r="H18" s="19">
        <f>SUMPRODUCT((raw!$A$2:$A$3691='(2018-19)'!$A$2)*(raw!$B$2:$B$3691='(2018-19)'!$A18)*(raw!$E$2:$E$3691='(2018-19)'!$G$6)*(raw!$F$2:$F$3691='(2018-19)'!H$7)*(raw!$G$2:$G$3691))</f>
        <v>0</v>
      </c>
      <c r="I18" s="19" t="s">
        <v>188</v>
      </c>
      <c r="J18" s="15">
        <f t="shared" si="1"/>
        <v>0</v>
      </c>
      <c r="K18" s="19"/>
      <c r="L18" s="14">
        <f t="shared" si="6"/>
        <v>24</v>
      </c>
      <c r="M18" s="14">
        <f t="shared" si="7"/>
        <v>1</v>
      </c>
      <c r="N18" s="19" t="s">
        <v>188</v>
      </c>
      <c r="O18" s="15">
        <f t="shared" si="2"/>
        <v>0.04</v>
      </c>
      <c r="P18" s="19"/>
      <c r="Q18" s="19">
        <f>SUMPRODUCT((raw!$A$2:$A$3691='(2018-19)'!$A$2)*(raw!$B$2:$B$3691='(2018-19)'!$A18)*(raw!$E$2:$E$3691='(2018-19)'!$Q$6)*(raw!$F$2:$F$3691='(2018-19)'!Q$7)*(raw!$G$2:$G$3691))</f>
        <v>0</v>
      </c>
      <c r="R18" s="19">
        <f>SUMPRODUCT((raw!$A$2:$A$3691='(2018-19)'!$A$2)*(raw!$B$2:$B$3691='(2018-19)'!$A18)*(raw!$E$2:$E$3691='(2018-19)'!$Q$6)*(raw!$F$2:$F$3691='(2018-19)'!R$7)*(raw!$G$2:$G$3691))</f>
        <v>0</v>
      </c>
      <c r="S18" s="19" t="s">
        <v>188</v>
      </c>
      <c r="T18" s="15" t="str">
        <f t="shared" si="3"/>
        <v>-</v>
      </c>
      <c r="U18" s="19"/>
      <c r="V18" s="19">
        <f>SUMPRODUCT((raw!$A$2:$A$3691='(2018-19)'!$A$2)*(raw!$B$2:$B$3691='(2018-19)'!$A18)*(raw!$E$2:$E$3691='(2018-19)'!$V$6)*(raw!$F$2:$F$3691='(2018-19)'!V$7)*(raw!$G$2:$G$3691))</f>
        <v>5</v>
      </c>
      <c r="W18" s="19">
        <f>SUMPRODUCT((raw!$A$2:$A$3691='(2018-19)'!$A$2)*(raw!$B$2:$B$3691='(2018-19)'!$A18)*(raw!$E$2:$E$3691='(2018-19)'!$V$6)*(raw!$F$2:$F$3691='(2018-19)'!W$7)*(raw!$G$2:$G$3691))</f>
        <v>0</v>
      </c>
      <c r="X18" s="19" t="s">
        <v>188</v>
      </c>
      <c r="Y18" s="15">
        <f t="shared" si="4"/>
        <v>0</v>
      </c>
      <c r="Z18" s="19"/>
      <c r="AA18" s="14">
        <f t="shared" si="8"/>
        <v>29</v>
      </c>
      <c r="AB18" s="14">
        <f t="shared" si="9"/>
        <v>1</v>
      </c>
      <c r="AC18" s="19" t="s">
        <v>188</v>
      </c>
      <c r="AD18" s="15">
        <f t="shared" si="5"/>
        <v>3.3333333333333333E-2</v>
      </c>
      <c r="AE18" s="16"/>
      <c r="AF18" s="16"/>
      <c r="AG18" s="16"/>
      <c r="AH18" s="16"/>
      <c r="AI18" s="16"/>
      <c r="AJ18" s="16"/>
      <c r="AK18" s="16"/>
      <c r="AL18" s="16"/>
      <c r="AM18" s="16"/>
    </row>
    <row r="19" spans="1:39" s="6" customFormat="1" ht="15" customHeight="1" x14ac:dyDescent="0.3">
      <c r="A19" s="21" t="s">
        <v>21</v>
      </c>
      <c r="B19" s="19">
        <f>SUMPRODUCT((raw!$A$2:$A$3691='(2018-19)'!$A$2)*(raw!$B$2:$B$3691='(2018-19)'!$A19)*(raw!$E$2:$E$3691='(2018-19)'!$B$6:$E$6)*(raw!$F$2:$F$3691='(2018-19)'!B$7)*(raw!$G$2:$G$3691))</f>
        <v>23</v>
      </c>
      <c r="C19" s="19">
        <f>SUMPRODUCT((raw!$A$2:$A$3691='(2018-19)'!$A$2)*(raw!$B$2:$B$3691='(2018-19)'!$A19)*(raw!$E$2:$E$3691='(2018-19)'!$B$6:$E$6)*(raw!$F$2:$F$3691='(2018-19)'!C$7)*(raw!$G$2:$G$3691))</f>
        <v>8</v>
      </c>
      <c r="D19" s="19" t="s">
        <v>188</v>
      </c>
      <c r="E19" s="15">
        <f t="shared" si="0"/>
        <v>0.25806451612903225</v>
      </c>
      <c r="F19" s="19"/>
      <c r="G19" s="19">
        <f>SUMPRODUCT((raw!$A$2:$A$3691='(2018-19)'!$A$2)*(raw!$B$2:$B$3691='(2018-19)'!$A19)*(raw!$E$2:$E$3691='(2018-19)'!$G$6)*(raw!$F$2:$F$3691='(2018-19)'!G$7)*(raw!$G$2:$G$3691))</f>
        <v>25</v>
      </c>
      <c r="H19" s="19">
        <f>SUMPRODUCT((raw!$A$2:$A$3691='(2018-19)'!$A$2)*(raw!$B$2:$B$3691='(2018-19)'!$A19)*(raw!$E$2:$E$3691='(2018-19)'!$G$6)*(raw!$F$2:$F$3691='(2018-19)'!H$7)*(raw!$G$2:$G$3691))</f>
        <v>5</v>
      </c>
      <c r="I19" s="19" t="s">
        <v>188</v>
      </c>
      <c r="J19" s="15">
        <f t="shared" si="1"/>
        <v>0.16666666666666666</v>
      </c>
      <c r="K19" s="19"/>
      <c r="L19" s="14">
        <f t="shared" si="6"/>
        <v>48</v>
      </c>
      <c r="M19" s="14">
        <f t="shared" si="7"/>
        <v>13</v>
      </c>
      <c r="N19" s="19" t="s">
        <v>188</v>
      </c>
      <c r="O19" s="15">
        <f t="shared" si="2"/>
        <v>0.21311475409836064</v>
      </c>
      <c r="P19" s="19"/>
      <c r="Q19" s="19">
        <f>SUMPRODUCT((raw!$A$2:$A$3691='(2018-19)'!$A$2)*(raw!$B$2:$B$3691='(2018-19)'!$A19)*(raw!$E$2:$E$3691='(2018-19)'!$Q$6)*(raw!$F$2:$F$3691='(2018-19)'!Q$7)*(raw!$G$2:$G$3691))</f>
        <v>0</v>
      </c>
      <c r="R19" s="19">
        <f>SUMPRODUCT((raw!$A$2:$A$3691='(2018-19)'!$A$2)*(raw!$B$2:$B$3691='(2018-19)'!$A19)*(raw!$E$2:$E$3691='(2018-19)'!$Q$6)*(raw!$F$2:$F$3691='(2018-19)'!R$7)*(raw!$G$2:$G$3691))</f>
        <v>0</v>
      </c>
      <c r="S19" s="19" t="s">
        <v>188</v>
      </c>
      <c r="T19" s="15" t="str">
        <f t="shared" si="3"/>
        <v>-</v>
      </c>
      <c r="U19" s="19"/>
      <c r="V19" s="19">
        <f>SUMPRODUCT((raw!$A$2:$A$3691='(2018-19)'!$A$2)*(raw!$B$2:$B$3691='(2018-19)'!$A19)*(raw!$E$2:$E$3691='(2018-19)'!$V$6)*(raw!$F$2:$F$3691='(2018-19)'!V$7)*(raw!$G$2:$G$3691))</f>
        <v>9</v>
      </c>
      <c r="W19" s="19">
        <f>SUMPRODUCT((raw!$A$2:$A$3691='(2018-19)'!$A$2)*(raw!$B$2:$B$3691='(2018-19)'!$A19)*(raw!$E$2:$E$3691='(2018-19)'!$V$6)*(raw!$F$2:$F$3691='(2018-19)'!W$7)*(raw!$G$2:$G$3691))</f>
        <v>21</v>
      </c>
      <c r="X19" s="19" t="s">
        <v>188</v>
      </c>
      <c r="Y19" s="15">
        <f t="shared" si="4"/>
        <v>0.7</v>
      </c>
      <c r="Z19" s="19"/>
      <c r="AA19" s="14">
        <f t="shared" si="8"/>
        <v>57</v>
      </c>
      <c r="AB19" s="14">
        <f t="shared" si="9"/>
        <v>34</v>
      </c>
      <c r="AC19" s="19" t="s">
        <v>188</v>
      </c>
      <c r="AD19" s="15">
        <f t="shared" si="5"/>
        <v>0.37362637362637363</v>
      </c>
      <c r="AE19" s="16"/>
      <c r="AF19" s="16"/>
      <c r="AG19" s="16"/>
      <c r="AH19" s="16"/>
      <c r="AI19" s="16"/>
      <c r="AJ19" s="16"/>
      <c r="AK19" s="16"/>
      <c r="AL19" s="16"/>
      <c r="AM19" s="16"/>
    </row>
    <row r="20" spans="1:39" s="6" customFormat="1" ht="15" customHeight="1" x14ac:dyDescent="0.3">
      <c r="A20" s="21" t="s">
        <v>22</v>
      </c>
      <c r="B20" s="19">
        <f>SUMPRODUCT((raw!$A$2:$A$3691='(2018-19)'!$A$2)*(raw!$B$2:$B$3691='(2018-19)'!$A20)*(raw!$E$2:$E$3691='(2018-19)'!$B$6:$E$6)*(raw!$F$2:$F$3691='(2018-19)'!B$7)*(raw!$G$2:$G$3691))</f>
        <v>8</v>
      </c>
      <c r="C20" s="19">
        <f>SUMPRODUCT((raw!$A$2:$A$3691='(2018-19)'!$A$2)*(raw!$B$2:$B$3691='(2018-19)'!$A20)*(raw!$E$2:$E$3691='(2018-19)'!$B$6:$E$6)*(raw!$F$2:$F$3691='(2018-19)'!C$7)*(raw!$G$2:$G$3691))</f>
        <v>0</v>
      </c>
      <c r="D20" s="19" t="s">
        <v>188</v>
      </c>
      <c r="E20" s="15">
        <f t="shared" si="0"/>
        <v>0</v>
      </c>
      <c r="F20" s="19"/>
      <c r="G20" s="19">
        <f>SUMPRODUCT((raw!$A$2:$A$3691='(2018-19)'!$A$2)*(raw!$B$2:$B$3691='(2018-19)'!$A20)*(raw!$E$2:$E$3691='(2018-19)'!$G$6)*(raw!$F$2:$F$3691='(2018-19)'!G$7)*(raw!$G$2:$G$3691))</f>
        <v>112</v>
      </c>
      <c r="H20" s="19">
        <f>SUMPRODUCT((raw!$A$2:$A$3691='(2018-19)'!$A$2)*(raw!$B$2:$B$3691='(2018-19)'!$A20)*(raw!$E$2:$E$3691='(2018-19)'!$G$6)*(raw!$F$2:$F$3691='(2018-19)'!H$7)*(raw!$G$2:$G$3691))</f>
        <v>17</v>
      </c>
      <c r="I20" s="19" t="s">
        <v>188</v>
      </c>
      <c r="J20" s="15">
        <f t="shared" si="1"/>
        <v>0.13178294573643412</v>
      </c>
      <c r="K20" s="19"/>
      <c r="L20" s="14">
        <f t="shared" si="6"/>
        <v>120</v>
      </c>
      <c r="M20" s="14">
        <f t="shared" si="7"/>
        <v>17</v>
      </c>
      <c r="N20" s="19" t="s">
        <v>188</v>
      </c>
      <c r="O20" s="15">
        <f t="shared" si="2"/>
        <v>0.12408759124087591</v>
      </c>
      <c r="P20" s="19"/>
      <c r="Q20" s="19">
        <f>SUMPRODUCT((raw!$A$2:$A$3691='(2018-19)'!$A$2)*(raw!$B$2:$B$3691='(2018-19)'!$A20)*(raw!$E$2:$E$3691='(2018-19)'!$Q$6)*(raw!$F$2:$F$3691='(2018-19)'!Q$7)*(raw!$G$2:$G$3691))</f>
        <v>0</v>
      </c>
      <c r="R20" s="19">
        <f>SUMPRODUCT((raw!$A$2:$A$3691='(2018-19)'!$A$2)*(raw!$B$2:$B$3691='(2018-19)'!$A20)*(raw!$E$2:$E$3691='(2018-19)'!$Q$6)*(raw!$F$2:$F$3691='(2018-19)'!R$7)*(raw!$G$2:$G$3691))</f>
        <v>0</v>
      </c>
      <c r="S20" s="19" t="s">
        <v>188</v>
      </c>
      <c r="T20" s="15" t="str">
        <f t="shared" si="3"/>
        <v>-</v>
      </c>
      <c r="U20" s="19"/>
      <c r="V20" s="19">
        <f>SUMPRODUCT((raw!$A$2:$A$3691='(2018-19)'!$A$2)*(raw!$B$2:$B$3691='(2018-19)'!$A20)*(raw!$E$2:$E$3691='(2018-19)'!$V$6)*(raw!$F$2:$F$3691='(2018-19)'!V$7)*(raw!$G$2:$G$3691))</f>
        <v>15</v>
      </c>
      <c r="W20" s="19">
        <f>SUMPRODUCT((raw!$A$2:$A$3691='(2018-19)'!$A$2)*(raw!$B$2:$B$3691='(2018-19)'!$A20)*(raw!$E$2:$E$3691='(2018-19)'!$V$6)*(raw!$F$2:$F$3691='(2018-19)'!W$7)*(raw!$G$2:$G$3691))</f>
        <v>12</v>
      </c>
      <c r="X20" s="19" t="s">
        <v>188</v>
      </c>
      <c r="Y20" s="15">
        <f t="shared" si="4"/>
        <v>0.44444444444444442</v>
      </c>
      <c r="Z20" s="19"/>
      <c r="AA20" s="14">
        <f t="shared" si="8"/>
        <v>135</v>
      </c>
      <c r="AB20" s="14">
        <f t="shared" si="9"/>
        <v>29</v>
      </c>
      <c r="AC20" s="19" t="s">
        <v>188</v>
      </c>
      <c r="AD20" s="15">
        <f t="shared" si="5"/>
        <v>0.17682926829268292</v>
      </c>
      <c r="AE20" s="16"/>
      <c r="AF20" s="16"/>
      <c r="AG20" s="16"/>
      <c r="AH20" s="16"/>
      <c r="AI20" s="16"/>
      <c r="AJ20" s="16"/>
      <c r="AK20" s="16"/>
      <c r="AL20" s="16"/>
      <c r="AM20" s="16"/>
    </row>
    <row r="21" spans="1:39" s="6" customFormat="1" ht="15" customHeight="1" x14ac:dyDescent="0.3">
      <c r="A21" s="5" t="s">
        <v>23</v>
      </c>
      <c r="B21" s="19">
        <f>SUMPRODUCT((raw!$A$2:$A$3691='(2018-19)'!$A$2)*(raw!$B$2:$B$3691='(2018-19)'!$A21)*(raw!$E$2:$E$3691='(2018-19)'!$B$6:$E$6)*(raw!$F$2:$F$3691='(2018-19)'!B$7)*(raw!$G$2:$G$3691))</f>
        <v>26</v>
      </c>
      <c r="C21" s="19">
        <f>SUMPRODUCT((raw!$A$2:$A$3691='(2018-19)'!$A$2)*(raw!$B$2:$B$3691='(2018-19)'!$A21)*(raw!$E$2:$E$3691='(2018-19)'!$B$6:$E$6)*(raw!$F$2:$F$3691='(2018-19)'!C$7)*(raw!$G$2:$G$3691))</f>
        <v>5</v>
      </c>
      <c r="D21" s="19" t="s">
        <v>188</v>
      </c>
      <c r="E21" s="15">
        <f t="shared" si="0"/>
        <v>0.16129032258064516</v>
      </c>
      <c r="F21" s="19"/>
      <c r="G21" s="19">
        <f>SUMPRODUCT((raw!$A$2:$A$3691='(2018-19)'!$A$2)*(raw!$B$2:$B$3691='(2018-19)'!$A21)*(raw!$E$2:$E$3691='(2018-19)'!$G$6)*(raw!$F$2:$F$3691='(2018-19)'!G$7)*(raw!$G$2:$G$3691))</f>
        <v>62</v>
      </c>
      <c r="H21" s="19">
        <f>SUMPRODUCT((raw!$A$2:$A$3691='(2018-19)'!$A$2)*(raw!$B$2:$B$3691='(2018-19)'!$A21)*(raw!$E$2:$E$3691='(2018-19)'!$G$6)*(raw!$F$2:$F$3691='(2018-19)'!H$7)*(raw!$G$2:$G$3691))</f>
        <v>5</v>
      </c>
      <c r="I21" s="19" t="s">
        <v>188</v>
      </c>
      <c r="J21" s="15">
        <f t="shared" si="1"/>
        <v>7.4626865671641784E-2</v>
      </c>
      <c r="K21" s="19"/>
      <c r="L21" s="14">
        <f t="shared" si="6"/>
        <v>88</v>
      </c>
      <c r="M21" s="14">
        <f t="shared" si="7"/>
        <v>10</v>
      </c>
      <c r="N21" s="19" t="s">
        <v>188</v>
      </c>
      <c r="O21" s="15">
        <f t="shared" si="2"/>
        <v>0.10204081632653061</v>
      </c>
      <c r="P21" s="19"/>
      <c r="Q21" s="19">
        <f>SUMPRODUCT((raw!$A$2:$A$3691='(2018-19)'!$A$2)*(raw!$B$2:$B$3691='(2018-19)'!$A21)*(raw!$E$2:$E$3691='(2018-19)'!$Q$6)*(raw!$F$2:$F$3691='(2018-19)'!Q$7)*(raw!$G$2:$G$3691))</f>
        <v>0</v>
      </c>
      <c r="R21" s="19">
        <f>SUMPRODUCT((raw!$A$2:$A$3691='(2018-19)'!$A$2)*(raw!$B$2:$B$3691='(2018-19)'!$A21)*(raw!$E$2:$E$3691='(2018-19)'!$Q$6)*(raw!$F$2:$F$3691='(2018-19)'!R$7)*(raw!$G$2:$G$3691))</f>
        <v>0</v>
      </c>
      <c r="S21" s="19" t="s">
        <v>188</v>
      </c>
      <c r="T21" s="15" t="str">
        <f t="shared" si="3"/>
        <v>-</v>
      </c>
      <c r="U21" s="19"/>
      <c r="V21" s="19">
        <f>SUMPRODUCT((raw!$A$2:$A$3691='(2018-19)'!$A$2)*(raw!$B$2:$B$3691='(2018-19)'!$A21)*(raw!$E$2:$E$3691='(2018-19)'!$V$6)*(raw!$F$2:$F$3691='(2018-19)'!V$7)*(raw!$G$2:$G$3691))</f>
        <v>23</v>
      </c>
      <c r="W21" s="19">
        <f>SUMPRODUCT((raw!$A$2:$A$3691='(2018-19)'!$A$2)*(raw!$B$2:$B$3691='(2018-19)'!$A21)*(raw!$E$2:$E$3691='(2018-19)'!$V$6)*(raw!$F$2:$F$3691='(2018-19)'!W$7)*(raw!$G$2:$G$3691))</f>
        <v>33</v>
      </c>
      <c r="X21" s="19" t="s">
        <v>188</v>
      </c>
      <c r="Y21" s="15">
        <f t="shared" si="4"/>
        <v>0.5892857142857143</v>
      </c>
      <c r="Z21" s="19"/>
      <c r="AA21" s="14">
        <f t="shared" si="8"/>
        <v>111</v>
      </c>
      <c r="AB21" s="14">
        <f t="shared" si="9"/>
        <v>43</v>
      </c>
      <c r="AC21" s="19" t="s">
        <v>188</v>
      </c>
      <c r="AD21" s="15">
        <f t="shared" si="5"/>
        <v>0.2792207792207792</v>
      </c>
      <c r="AE21" s="16"/>
      <c r="AF21" s="16"/>
      <c r="AG21" s="16"/>
      <c r="AH21" s="16"/>
      <c r="AI21" s="16"/>
      <c r="AJ21" s="16"/>
      <c r="AK21" s="16"/>
      <c r="AL21" s="16"/>
      <c r="AM21" s="16"/>
    </row>
    <row r="22" spans="1:39" s="6" customFormat="1" ht="15" customHeight="1" x14ac:dyDescent="0.3">
      <c r="A22" s="5" t="s">
        <v>24</v>
      </c>
      <c r="B22" s="19">
        <f>SUMPRODUCT((raw!$A$2:$A$3691='(2018-19)'!$A$2)*(raw!$B$2:$B$3691='(2018-19)'!$A22)*(raw!$E$2:$E$3691='(2018-19)'!$B$6:$E$6)*(raw!$F$2:$F$3691='(2018-19)'!B$7)*(raw!$G$2:$G$3691))</f>
        <v>0</v>
      </c>
      <c r="C22" s="19">
        <f>SUMPRODUCT((raw!$A$2:$A$3691='(2018-19)'!$A$2)*(raw!$B$2:$B$3691='(2018-19)'!$A22)*(raw!$E$2:$E$3691='(2018-19)'!$B$6:$E$6)*(raw!$F$2:$F$3691='(2018-19)'!C$7)*(raw!$G$2:$G$3691))</f>
        <v>0</v>
      </c>
      <c r="D22" s="19" t="s">
        <v>188</v>
      </c>
      <c r="E22" s="15" t="str">
        <f t="shared" si="0"/>
        <v>-</v>
      </c>
      <c r="F22" s="19"/>
      <c r="G22" s="19">
        <f>SUMPRODUCT((raw!$A$2:$A$3691='(2018-19)'!$A$2)*(raw!$B$2:$B$3691='(2018-19)'!$A22)*(raw!$E$2:$E$3691='(2018-19)'!$G$6)*(raw!$F$2:$F$3691='(2018-19)'!G$7)*(raw!$G$2:$G$3691))</f>
        <v>22</v>
      </c>
      <c r="H22" s="19">
        <f>SUMPRODUCT((raw!$A$2:$A$3691='(2018-19)'!$A$2)*(raw!$B$2:$B$3691='(2018-19)'!$A22)*(raw!$E$2:$E$3691='(2018-19)'!$G$6)*(raw!$F$2:$F$3691='(2018-19)'!H$7)*(raw!$G$2:$G$3691))</f>
        <v>0</v>
      </c>
      <c r="I22" s="19" t="s">
        <v>188</v>
      </c>
      <c r="J22" s="15">
        <f t="shared" si="1"/>
        <v>0</v>
      </c>
      <c r="K22" s="19"/>
      <c r="L22" s="14">
        <f t="shared" si="6"/>
        <v>22</v>
      </c>
      <c r="M22" s="14">
        <f t="shared" si="7"/>
        <v>0</v>
      </c>
      <c r="N22" s="19" t="s">
        <v>188</v>
      </c>
      <c r="O22" s="15">
        <f t="shared" si="2"/>
        <v>0</v>
      </c>
      <c r="P22" s="19"/>
      <c r="Q22" s="19">
        <f>SUMPRODUCT((raw!$A$2:$A$3691='(2018-19)'!$A$2)*(raw!$B$2:$B$3691='(2018-19)'!$A22)*(raw!$E$2:$E$3691='(2018-19)'!$Q$6)*(raw!$F$2:$F$3691='(2018-19)'!Q$7)*(raw!$G$2:$G$3691))</f>
        <v>0</v>
      </c>
      <c r="R22" s="19">
        <f>SUMPRODUCT((raw!$A$2:$A$3691='(2018-19)'!$A$2)*(raw!$B$2:$B$3691='(2018-19)'!$A22)*(raw!$E$2:$E$3691='(2018-19)'!$Q$6)*(raw!$F$2:$F$3691='(2018-19)'!R$7)*(raw!$G$2:$G$3691))</f>
        <v>0</v>
      </c>
      <c r="S22" s="19" t="s">
        <v>188</v>
      </c>
      <c r="T22" s="15" t="str">
        <f t="shared" si="3"/>
        <v>-</v>
      </c>
      <c r="U22" s="19"/>
      <c r="V22" s="19">
        <f>SUMPRODUCT((raw!$A$2:$A$3691='(2018-19)'!$A$2)*(raw!$B$2:$B$3691='(2018-19)'!$A22)*(raw!$E$2:$E$3691='(2018-19)'!$V$6)*(raw!$F$2:$F$3691='(2018-19)'!V$7)*(raw!$G$2:$G$3691))</f>
        <v>4</v>
      </c>
      <c r="W22" s="19">
        <f>SUMPRODUCT((raw!$A$2:$A$3691='(2018-19)'!$A$2)*(raw!$B$2:$B$3691='(2018-19)'!$A22)*(raw!$E$2:$E$3691='(2018-19)'!$V$6)*(raw!$F$2:$F$3691='(2018-19)'!W$7)*(raw!$G$2:$G$3691))</f>
        <v>7</v>
      </c>
      <c r="X22" s="19" t="s">
        <v>188</v>
      </c>
      <c r="Y22" s="15">
        <f t="shared" si="4"/>
        <v>0.63636363636363635</v>
      </c>
      <c r="Z22" s="19"/>
      <c r="AA22" s="14">
        <f t="shared" si="8"/>
        <v>26</v>
      </c>
      <c r="AB22" s="14">
        <f t="shared" si="9"/>
        <v>7</v>
      </c>
      <c r="AC22" s="19" t="s">
        <v>188</v>
      </c>
      <c r="AD22" s="15">
        <f t="shared" si="5"/>
        <v>0.21212121212121213</v>
      </c>
      <c r="AE22" s="16"/>
      <c r="AF22" s="16"/>
      <c r="AG22" s="16"/>
      <c r="AH22" s="16"/>
      <c r="AI22" s="16"/>
      <c r="AJ22" s="16"/>
      <c r="AK22" s="16"/>
      <c r="AL22" s="16"/>
      <c r="AM22" s="16"/>
    </row>
    <row r="23" spans="1:39" s="6" customFormat="1" ht="15" customHeight="1" x14ac:dyDescent="0.3">
      <c r="A23" s="5" t="s">
        <v>25</v>
      </c>
      <c r="B23" s="19">
        <f>SUMPRODUCT((raw!$A$2:$A$3691='(2018-19)'!$A$2)*(raw!$B$2:$B$3691='(2018-19)'!$A23)*(raw!$E$2:$E$3691='(2018-19)'!$B$6:$E$6)*(raw!$F$2:$F$3691='(2018-19)'!B$7)*(raw!$G$2:$G$3691))</f>
        <v>1</v>
      </c>
      <c r="C23" s="19">
        <f>SUMPRODUCT((raw!$A$2:$A$3691='(2018-19)'!$A$2)*(raw!$B$2:$B$3691='(2018-19)'!$A23)*(raw!$E$2:$E$3691='(2018-19)'!$B$6:$E$6)*(raw!$F$2:$F$3691='(2018-19)'!C$7)*(raw!$G$2:$G$3691))</f>
        <v>1</v>
      </c>
      <c r="D23" s="19" t="s">
        <v>188</v>
      </c>
      <c r="E23" s="15">
        <f t="shared" si="0"/>
        <v>0.5</v>
      </c>
      <c r="F23" s="19"/>
      <c r="G23" s="19">
        <f>SUMPRODUCT((raw!$A$2:$A$3691='(2018-19)'!$A$2)*(raw!$B$2:$B$3691='(2018-19)'!$A23)*(raw!$E$2:$E$3691='(2018-19)'!$G$6)*(raw!$F$2:$F$3691='(2018-19)'!G$7)*(raw!$G$2:$G$3691))</f>
        <v>25</v>
      </c>
      <c r="H23" s="19">
        <f>SUMPRODUCT((raw!$A$2:$A$3691='(2018-19)'!$A$2)*(raw!$B$2:$B$3691='(2018-19)'!$A23)*(raw!$E$2:$E$3691='(2018-19)'!$G$6)*(raw!$F$2:$F$3691='(2018-19)'!H$7)*(raw!$G$2:$G$3691))</f>
        <v>2</v>
      </c>
      <c r="I23" s="19" t="s">
        <v>188</v>
      </c>
      <c r="J23" s="15">
        <f t="shared" si="1"/>
        <v>7.407407407407407E-2</v>
      </c>
      <c r="K23" s="19"/>
      <c r="L23" s="14">
        <f t="shared" si="6"/>
        <v>26</v>
      </c>
      <c r="M23" s="14">
        <f t="shared" si="7"/>
        <v>3</v>
      </c>
      <c r="N23" s="19" t="s">
        <v>188</v>
      </c>
      <c r="O23" s="15">
        <f t="shared" si="2"/>
        <v>0.10344827586206896</v>
      </c>
      <c r="P23" s="19"/>
      <c r="Q23" s="19">
        <f>SUMPRODUCT((raw!$A$2:$A$3691='(2018-19)'!$A$2)*(raw!$B$2:$B$3691='(2018-19)'!$A23)*(raw!$E$2:$E$3691='(2018-19)'!$Q$6)*(raw!$F$2:$F$3691='(2018-19)'!Q$7)*(raw!$G$2:$G$3691))</f>
        <v>1</v>
      </c>
      <c r="R23" s="19">
        <f>SUMPRODUCT((raw!$A$2:$A$3691='(2018-19)'!$A$2)*(raw!$B$2:$B$3691='(2018-19)'!$A23)*(raw!$E$2:$E$3691='(2018-19)'!$Q$6)*(raw!$F$2:$F$3691='(2018-19)'!R$7)*(raw!$G$2:$G$3691))</f>
        <v>1</v>
      </c>
      <c r="S23" s="19" t="s">
        <v>188</v>
      </c>
      <c r="T23" s="15">
        <f t="shared" si="3"/>
        <v>0.5</v>
      </c>
      <c r="U23" s="19"/>
      <c r="V23" s="19">
        <f>SUMPRODUCT((raw!$A$2:$A$3691='(2018-19)'!$A$2)*(raw!$B$2:$B$3691='(2018-19)'!$A23)*(raw!$E$2:$E$3691='(2018-19)'!$V$6)*(raw!$F$2:$F$3691='(2018-19)'!V$7)*(raw!$G$2:$G$3691))</f>
        <v>8</v>
      </c>
      <c r="W23" s="19">
        <f>SUMPRODUCT((raw!$A$2:$A$3691='(2018-19)'!$A$2)*(raw!$B$2:$B$3691='(2018-19)'!$A23)*(raw!$E$2:$E$3691='(2018-19)'!$V$6)*(raw!$F$2:$F$3691='(2018-19)'!W$7)*(raw!$G$2:$G$3691))</f>
        <v>18</v>
      </c>
      <c r="X23" s="19" t="s">
        <v>188</v>
      </c>
      <c r="Y23" s="15">
        <f t="shared" si="4"/>
        <v>0.69230769230769229</v>
      </c>
      <c r="Z23" s="19"/>
      <c r="AA23" s="14">
        <f t="shared" si="8"/>
        <v>35</v>
      </c>
      <c r="AB23" s="14">
        <f t="shared" si="9"/>
        <v>22</v>
      </c>
      <c r="AC23" s="19" t="s">
        <v>188</v>
      </c>
      <c r="AD23" s="15">
        <f t="shared" si="5"/>
        <v>0.38596491228070173</v>
      </c>
      <c r="AE23" s="16"/>
      <c r="AF23" s="16"/>
      <c r="AG23" s="16"/>
      <c r="AH23" s="16"/>
      <c r="AI23" s="16"/>
      <c r="AJ23" s="16"/>
      <c r="AK23" s="16"/>
      <c r="AL23" s="16"/>
      <c r="AM23" s="16"/>
    </row>
    <row r="24" spans="1:39" s="6" customFormat="1" ht="15" customHeight="1" x14ac:dyDescent="0.3">
      <c r="A24" s="5" t="s">
        <v>26</v>
      </c>
      <c r="B24" s="19">
        <f>SUMPRODUCT((raw!$A$2:$A$3691='(2018-19)'!$A$2)*(raw!$B$2:$B$3691='(2018-19)'!$A24)*(raw!$E$2:$E$3691='(2018-19)'!$B$6:$E$6)*(raw!$F$2:$F$3691='(2018-19)'!B$7)*(raw!$G$2:$G$3691))</f>
        <v>53</v>
      </c>
      <c r="C24" s="19">
        <f>SUMPRODUCT((raw!$A$2:$A$3691='(2018-19)'!$A$2)*(raw!$B$2:$B$3691='(2018-19)'!$A24)*(raw!$E$2:$E$3691='(2018-19)'!$B$6:$E$6)*(raw!$F$2:$F$3691='(2018-19)'!C$7)*(raw!$G$2:$G$3691))</f>
        <v>4</v>
      </c>
      <c r="D24" s="19" t="s">
        <v>188</v>
      </c>
      <c r="E24" s="15">
        <f t="shared" si="0"/>
        <v>7.0175438596491224E-2</v>
      </c>
      <c r="F24" s="19"/>
      <c r="G24" s="19">
        <f>SUMPRODUCT((raw!$A$2:$A$3691='(2018-19)'!$A$2)*(raw!$B$2:$B$3691='(2018-19)'!$A24)*(raw!$E$2:$E$3691='(2018-19)'!$G$6)*(raw!$F$2:$F$3691='(2018-19)'!G$7)*(raw!$G$2:$G$3691))</f>
        <v>60</v>
      </c>
      <c r="H24" s="19">
        <f>SUMPRODUCT((raw!$A$2:$A$3691='(2018-19)'!$A$2)*(raw!$B$2:$B$3691='(2018-19)'!$A24)*(raw!$E$2:$E$3691='(2018-19)'!$G$6)*(raw!$F$2:$F$3691='(2018-19)'!H$7)*(raw!$G$2:$G$3691))</f>
        <v>2</v>
      </c>
      <c r="I24" s="19" t="s">
        <v>188</v>
      </c>
      <c r="J24" s="15">
        <f t="shared" si="1"/>
        <v>3.2258064516129031E-2</v>
      </c>
      <c r="K24" s="19"/>
      <c r="L24" s="14">
        <f t="shared" si="6"/>
        <v>113</v>
      </c>
      <c r="M24" s="14">
        <f t="shared" si="7"/>
        <v>6</v>
      </c>
      <c r="N24" s="19" t="s">
        <v>188</v>
      </c>
      <c r="O24" s="15">
        <f t="shared" si="2"/>
        <v>5.0420168067226892E-2</v>
      </c>
      <c r="P24" s="19"/>
      <c r="Q24" s="19">
        <f>SUMPRODUCT((raw!$A$2:$A$3691='(2018-19)'!$A$2)*(raw!$B$2:$B$3691='(2018-19)'!$A24)*(raw!$E$2:$E$3691='(2018-19)'!$Q$6)*(raw!$F$2:$F$3691='(2018-19)'!Q$7)*(raw!$G$2:$G$3691))</f>
        <v>0</v>
      </c>
      <c r="R24" s="19">
        <f>SUMPRODUCT((raw!$A$2:$A$3691='(2018-19)'!$A$2)*(raw!$B$2:$B$3691='(2018-19)'!$A24)*(raw!$E$2:$E$3691='(2018-19)'!$Q$6)*(raw!$F$2:$F$3691='(2018-19)'!R$7)*(raw!$G$2:$G$3691))</f>
        <v>3</v>
      </c>
      <c r="S24" s="19" t="s">
        <v>188</v>
      </c>
      <c r="T24" s="15">
        <f t="shared" si="3"/>
        <v>1</v>
      </c>
      <c r="U24" s="19"/>
      <c r="V24" s="19">
        <f>SUMPRODUCT((raw!$A$2:$A$3691='(2018-19)'!$A$2)*(raw!$B$2:$B$3691='(2018-19)'!$A24)*(raw!$E$2:$E$3691='(2018-19)'!$V$6)*(raw!$F$2:$F$3691='(2018-19)'!V$7)*(raw!$G$2:$G$3691))</f>
        <v>16</v>
      </c>
      <c r="W24" s="19">
        <f>SUMPRODUCT((raw!$A$2:$A$3691='(2018-19)'!$A$2)*(raw!$B$2:$B$3691='(2018-19)'!$A24)*(raw!$E$2:$E$3691='(2018-19)'!$V$6)*(raw!$F$2:$F$3691='(2018-19)'!W$7)*(raw!$G$2:$G$3691))</f>
        <v>15</v>
      </c>
      <c r="X24" s="19" t="s">
        <v>188</v>
      </c>
      <c r="Y24" s="15">
        <f t="shared" si="4"/>
        <v>0.4838709677419355</v>
      </c>
      <c r="Z24" s="19"/>
      <c r="AA24" s="14">
        <f t="shared" si="8"/>
        <v>129</v>
      </c>
      <c r="AB24" s="14">
        <f t="shared" si="9"/>
        <v>24</v>
      </c>
      <c r="AC24" s="19" t="s">
        <v>188</v>
      </c>
      <c r="AD24" s="15">
        <f t="shared" si="5"/>
        <v>0.15686274509803921</v>
      </c>
      <c r="AE24" s="16"/>
      <c r="AF24" s="16"/>
      <c r="AG24" s="16"/>
      <c r="AH24" s="16"/>
      <c r="AI24" s="16"/>
      <c r="AJ24" s="16"/>
      <c r="AK24" s="16"/>
      <c r="AL24" s="16"/>
      <c r="AM24" s="16"/>
    </row>
    <row r="25" spans="1:39" s="6" customFormat="1" ht="15" customHeight="1" x14ac:dyDescent="0.3">
      <c r="A25" s="5" t="s">
        <v>27</v>
      </c>
      <c r="B25" s="19">
        <f>SUMPRODUCT((raw!$A$2:$A$3691='(2018-19)'!$A$2)*(raw!$B$2:$B$3691='(2018-19)'!$A25)*(raw!$E$2:$E$3691='(2018-19)'!$B$6:$E$6)*(raw!$F$2:$F$3691='(2018-19)'!B$7)*(raw!$G$2:$G$3691))</f>
        <v>7</v>
      </c>
      <c r="C25" s="19">
        <f>SUMPRODUCT((raw!$A$2:$A$3691='(2018-19)'!$A$2)*(raw!$B$2:$B$3691='(2018-19)'!$A25)*(raw!$E$2:$E$3691='(2018-19)'!$B$6:$E$6)*(raw!$F$2:$F$3691='(2018-19)'!C$7)*(raw!$G$2:$G$3691))</f>
        <v>0</v>
      </c>
      <c r="D25" s="19" t="s">
        <v>188</v>
      </c>
      <c r="E25" s="15">
        <f t="shared" si="0"/>
        <v>0</v>
      </c>
      <c r="F25" s="19"/>
      <c r="G25" s="19">
        <f>SUMPRODUCT((raw!$A$2:$A$3691='(2018-19)'!$A$2)*(raw!$B$2:$B$3691='(2018-19)'!$A25)*(raw!$E$2:$E$3691='(2018-19)'!$G$6)*(raw!$F$2:$F$3691='(2018-19)'!G$7)*(raw!$G$2:$G$3691))</f>
        <v>42</v>
      </c>
      <c r="H25" s="19">
        <f>SUMPRODUCT((raw!$A$2:$A$3691='(2018-19)'!$A$2)*(raw!$B$2:$B$3691='(2018-19)'!$A25)*(raw!$E$2:$E$3691='(2018-19)'!$G$6)*(raw!$F$2:$F$3691='(2018-19)'!H$7)*(raw!$G$2:$G$3691))</f>
        <v>9</v>
      </c>
      <c r="I25" s="19" t="s">
        <v>188</v>
      </c>
      <c r="J25" s="15">
        <f t="shared" si="1"/>
        <v>0.17647058823529413</v>
      </c>
      <c r="K25" s="19"/>
      <c r="L25" s="14">
        <f t="shared" si="6"/>
        <v>49</v>
      </c>
      <c r="M25" s="14">
        <f t="shared" si="7"/>
        <v>9</v>
      </c>
      <c r="N25" s="19" t="s">
        <v>188</v>
      </c>
      <c r="O25" s="15">
        <f t="shared" si="2"/>
        <v>0.15517241379310345</v>
      </c>
      <c r="P25" s="19"/>
      <c r="Q25" s="19">
        <f>SUMPRODUCT((raw!$A$2:$A$3691='(2018-19)'!$A$2)*(raw!$B$2:$B$3691='(2018-19)'!$A25)*(raw!$E$2:$E$3691='(2018-19)'!$Q$6)*(raw!$F$2:$F$3691='(2018-19)'!Q$7)*(raw!$G$2:$G$3691))</f>
        <v>0</v>
      </c>
      <c r="R25" s="19">
        <f>SUMPRODUCT((raw!$A$2:$A$3691='(2018-19)'!$A$2)*(raw!$B$2:$B$3691='(2018-19)'!$A25)*(raw!$E$2:$E$3691='(2018-19)'!$Q$6)*(raw!$F$2:$F$3691='(2018-19)'!R$7)*(raw!$G$2:$G$3691))</f>
        <v>0</v>
      </c>
      <c r="S25" s="19" t="s">
        <v>188</v>
      </c>
      <c r="T25" s="15" t="str">
        <f t="shared" si="3"/>
        <v>-</v>
      </c>
      <c r="U25" s="19"/>
      <c r="V25" s="19">
        <f>SUMPRODUCT((raw!$A$2:$A$3691='(2018-19)'!$A$2)*(raw!$B$2:$B$3691='(2018-19)'!$A25)*(raw!$E$2:$E$3691='(2018-19)'!$V$6)*(raw!$F$2:$F$3691='(2018-19)'!V$7)*(raw!$G$2:$G$3691))</f>
        <v>5</v>
      </c>
      <c r="W25" s="19">
        <f>SUMPRODUCT((raw!$A$2:$A$3691='(2018-19)'!$A$2)*(raw!$B$2:$B$3691='(2018-19)'!$A25)*(raw!$E$2:$E$3691='(2018-19)'!$V$6)*(raw!$F$2:$F$3691='(2018-19)'!W$7)*(raw!$G$2:$G$3691))</f>
        <v>0</v>
      </c>
      <c r="X25" s="19" t="s">
        <v>188</v>
      </c>
      <c r="Y25" s="15">
        <f t="shared" si="4"/>
        <v>0</v>
      </c>
      <c r="Z25" s="19"/>
      <c r="AA25" s="14">
        <f t="shared" si="8"/>
        <v>54</v>
      </c>
      <c r="AB25" s="14">
        <f t="shared" si="9"/>
        <v>9</v>
      </c>
      <c r="AC25" s="19" t="s">
        <v>188</v>
      </c>
      <c r="AD25" s="15">
        <f t="shared" si="5"/>
        <v>0.14285714285714285</v>
      </c>
      <c r="AE25" s="16"/>
      <c r="AF25" s="16"/>
      <c r="AG25" s="16"/>
      <c r="AH25" s="16"/>
      <c r="AI25" s="16"/>
      <c r="AJ25" s="16"/>
      <c r="AK25" s="16"/>
      <c r="AL25" s="16"/>
      <c r="AM25" s="16"/>
    </row>
    <row r="26" spans="1:39" s="6" customFormat="1" ht="15" customHeight="1" x14ac:dyDescent="0.3">
      <c r="A26" s="5" t="s">
        <v>28</v>
      </c>
      <c r="B26" s="19">
        <f>SUMPRODUCT((raw!$A$2:$A$3691='(2018-19)'!$A$2)*(raw!$B$2:$B$3691='(2018-19)'!$A26)*(raw!$E$2:$E$3691='(2018-19)'!$B$6:$E$6)*(raw!$F$2:$F$3691='(2018-19)'!B$7)*(raw!$G$2:$G$3691))</f>
        <v>54</v>
      </c>
      <c r="C26" s="19">
        <f>SUMPRODUCT((raw!$A$2:$A$3691='(2018-19)'!$A$2)*(raw!$B$2:$B$3691='(2018-19)'!$A26)*(raw!$E$2:$E$3691='(2018-19)'!$B$6:$E$6)*(raw!$F$2:$F$3691='(2018-19)'!C$7)*(raw!$G$2:$G$3691))</f>
        <v>5</v>
      </c>
      <c r="D26" s="19" t="s">
        <v>188</v>
      </c>
      <c r="E26" s="15">
        <f t="shared" si="0"/>
        <v>8.4745762711864403E-2</v>
      </c>
      <c r="F26" s="19"/>
      <c r="G26" s="19">
        <f>SUMPRODUCT((raw!$A$2:$A$3691='(2018-19)'!$A$2)*(raw!$B$2:$B$3691='(2018-19)'!$A26)*(raw!$E$2:$E$3691='(2018-19)'!$G$6)*(raw!$F$2:$F$3691='(2018-19)'!G$7)*(raw!$G$2:$G$3691))</f>
        <v>94</v>
      </c>
      <c r="H26" s="19">
        <f>SUMPRODUCT((raw!$A$2:$A$3691='(2018-19)'!$A$2)*(raw!$B$2:$B$3691='(2018-19)'!$A26)*(raw!$E$2:$E$3691='(2018-19)'!$G$6)*(raw!$F$2:$F$3691='(2018-19)'!H$7)*(raw!$G$2:$G$3691))</f>
        <v>16</v>
      </c>
      <c r="I26" s="19" t="s">
        <v>188</v>
      </c>
      <c r="J26" s="15">
        <f t="shared" si="1"/>
        <v>0.14545454545454545</v>
      </c>
      <c r="K26" s="19"/>
      <c r="L26" s="14">
        <f t="shared" si="6"/>
        <v>148</v>
      </c>
      <c r="M26" s="14">
        <f t="shared" si="7"/>
        <v>21</v>
      </c>
      <c r="N26" s="19" t="s">
        <v>188</v>
      </c>
      <c r="O26" s="15">
        <f t="shared" si="2"/>
        <v>0.1242603550295858</v>
      </c>
      <c r="P26" s="19"/>
      <c r="Q26" s="19">
        <f>SUMPRODUCT((raw!$A$2:$A$3691='(2018-19)'!$A$2)*(raw!$B$2:$B$3691='(2018-19)'!$A26)*(raw!$E$2:$E$3691='(2018-19)'!$Q$6)*(raw!$F$2:$F$3691='(2018-19)'!Q$7)*(raw!$G$2:$G$3691))</f>
        <v>0</v>
      </c>
      <c r="R26" s="19">
        <f>SUMPRODUCT((raw!$A$2:$A$3691='(2018-19)'!$A$2)*(raw!$B$2:$B$3691='(2018-19)'!$A26)*(raw!$E$2:$E$3691='(2018-19)'!$Q$6)*(raw!$F$2:$F$3691='(2018-19)'!R$7)*(raw!$G$2:$G$3691))</f>
        <v>3</v>
      </c>
      <c r="S26" s="19" t="s">
        <v>188</v>
      </c>
      <c r="T26" s="15">
        <f t="shared" si="3"/>
        <v>1</v>
      </c>
      <c r="U26" s="19"/>
      <c r="V26" s="19">
        <f>SUMPRODUCT((raw!$A$2:$A$3691='(2018-19)'!$A$2)*(raw!$B$2:$B$3691='(2018-19)'!$A26)*(raw!$E$2:$E$3691='(2018-19)'!$V$6)*(raw!$F$2:$F$3691='(2018-19)'!V$7)*(raw!$G$2:$G$3691))</f>
        <v>11</v>
      </c>
      <c r="W26" s="19">
        <f>SUMPRODUCT((raw!$A$2:$A$3691='(2018-19)'!$A$2)*(raw!$B$2:$B$3691='(2018-19)'!$A26)*(raw!$E$2:$E$3691='(2018-19)'!$V$6)*(raw!$F$2:$F$3691='(2018-19)'!W$7)*(raw!$G$2:$G$3691))</f>
        <v>17</v>
      </c>
      <c r="X26" s="19" t="s">
        <v>188</v>
      </c>
      <c r="Y26" s="15">
        <f t="shared" si="4"/>
        <v>0.6071428571428571</v>
      </c>
      <c r="Z26" s="19"/>
      <c r="AA26" s="14">
        <f t="shared" si="8"/>
        <v>159</v>
      </c>
      <c r="AB26" s="14">
        <f t="shared" si="9"/>
        <v>41</v>
      </c>
      <c r="AC26" s="19" t="s">
        <v>188</v>
      </c>
      <c r="AD26" s="15">
        <f t="shared" si="5"/>
        <v>0.20499999999999999</v>
      </c>
      <c r="AE26" s="16"/>
      <c r="AF26" s="16"/>
      <c r="AG26" s="16"/>
      <c r="AH26" s="16"/>
      <c r="AI26" s="16"/>
      <c r="AJ26" s="16"/>
      <c r="AK26" s="16"/>
      <c r="AL26" s="16"/>
      <c r="AM26" s="16"/>
    </row>
    <row r="27" spans="1:39" s="6" customFormat="1" ht="15" customHeight="1" x14ac:dyDescent="0.3">
      <c r="A27" s="5" t="s">
        <v>29</v>
      </c>
      <c r="B27" s="19">
        <f>SUMPRODUCT((raw!$A$2:$A$3691='(2018-19)'!$A$2)*(raw!$B$2:$B$3691='(2018-19)'!$A27)*(raw!$E$2:$E$3691='(2018-19)'!$B$6:$E$6)*(raw!$F$2:$F$3691='(2018-19)'!B$7)*(raw!$G$2:$G$3691))</f>
        <v>21</v>
      </c>
      <c r="C27" s="19">
        <f>SUMPRODUCT((raw!$A$2:$A$3691='(2018-19)'!$A$2)*(raw!$B$2:$B$3691='(2018-19)'!$A27)*(raw!$E$2:$E$3691='(2018-19)'!$B$6:$E$6)*(raw!$F$2:$F$3691='(2018-19)'!C$7)*(raw!$G$2:$G$3691))</f>
        <v>4</v>
      </c>
      <c r="D27" s="19" t="s">
        <v>188</v>
      </c>
      <c r="E27" s="15">
        <f t="shared" si="0"/>
        <v>0.16</v>
      </c>
      <c r="F27" s="19"/>
      <c r="G27" s="19">
        <f>SUMPRODUCT((raw!$A$2:$A$3691='(2018-19)'!$A$2)*(raw!$B$2:$B$3691='(2018-19)'!$A27)*(raw!$E$2:$E$3691='(2018-19)'!$G$6)*(raw!$F$2:$F$3691='(2018-19)'!G$7)*(raw!$G$2:$G$3691))</f>
        <v>58</v>
      </c>
      <c r="H27" s="19">
        <f>SUMPRODUCT((raw!$A$2:$A$3691='(2018-19)'!$A$2)*(raw!$B$2:$B$3691='(2018-19)'!$A27)*(raw!$E$2:$E$3691='(2018-19)'!$G$6)*(raw!$F$2:$F$3691='(2018-19)'!H$7)*(raw!$G$2:$G$3691))</f>
        <v>5</v>
      </c>
      <c r="I27" s="19" t="s">
        <v>188</v>
      </c>
      <c r="J27" s="15">
        <f t="shared" si="1"/>
        <v>7.9365079365079361E-2</v>
      </c>
      <c r="K27" s="19"/>
      <c r="L27" s="14">
        <f t="shared" si="6"/>
        <v>79</v>
      </c>
      <c r="M27" s="14">
        <f t="shared" si="7"/>
        <v>9</v>
      </c>
      <c r="N27" s="19" t="s">
        <v>188</v>
      </c>
      <c r="O27" s="15">
        <f t="shared" si="2"/>
        <v>0.10227272727272728</v>
      </c>
      <c r="P27" s="19"/>
      <c r="Q27" s="19">
        <f>SUMPRODUCT((raw!$A$2:$A$3691='(2018-19)'!$A$2)*(raw!$B$2:$B$3691='(2018-19)'!$A27)*(raw!$E$2:$E$3691='(2018-19)'!$Q$6)*(raw!$F$2:$F$3691='(2018-19)'!Q$7)*(raw!$G$2:$G$3691))</f>
        <v>2</v>
      </c>
      <c r="R27" s="19">
        <f>SUMPRODUCT((raw!$A$2:$A$3691='(2018-19)'!$A$2)*(raw!$B$2:$B$3691='(2018-19)'!$A27)*(raw!$E$2:$E$3691='(2018-19)'!$Q$6)*(raw!$F$2:$F$3691='(2018-19)'!R$7)*(raw!$G$2:$G$3691))</f>
        <v>0</v>
      </c>
      <c r="S27" s="19" t="s">
        <v>188</v>
      </c>
      <c r="T27" s="15">
        <f t="shared" si="3"/>
        <v>0</v>
      </c>
      <c r="U27" s="19"/>
      <c r="V27" s="19">
        <f>SUMPRODUCT((raw!$A$2:$A$3691='(2018-19)'!$A$2)*(raw!$B$2:$B$3691='(2018-19)'!$A27)*(raw!$E$2:$E$3691='(2018-19)'!$V$6)*(raw!$F$2:$F$3691='(2018-19)'!V$7)*(raw!$G$2:$G$3691))</f>
        <v>15</v>
      </c>
      <c r="W27" s="19">
        <f>SUMPRODUCT((raw!$A$2:$A$3691='(2018-19)'!$A$2)*(raw!$B$2:$B$3691='(2018-19)'!$A27)*(raw!$E$2:$E$3691='(2018-19)'!$V$6)*(raw!$F$2:$F$3691='(2018-19)'!W$7)*(raw!$G$2:$G$3691))</f>
        <v>10</v>
      </c>
      <c r="X27" s="19" t="s">
        <v>188</v>
      </c>
      <c r="Y27" s="15">
        <f t="shared" si="4"/>
        <v>0.4</v>
      </c>
      <c r="Z27" s="19"/>
      <c r="AA27" s="14">
        <f t="shared" si="8"/>
        <v>96</v>
      </c>
      <c r="AB27" s="14">
        <f t="shared" si="9"/>
        <v>19</v>
      </c>
      <c r="AC27" s="19" t="s">
        <v>188</v>
      </c>
      <c r="AD27" s="15">
        <f t="shared" si="5"/>
        <v>0.16521739130434782</v>
      </c>
      <c r="AE27" s="16"/>
      <c r="AF27" s="16"/>
      <c r="AG27" s="16"/>
      <c r="AH27" s="16"/>
      <c r="AI27" s="16"/>
      <c r="AJ27" s="16"/>
      <c r="AK27" s="16"/>
      <c r="AL27" s="16"/>
      <c r="AM27" s="16"/>
    </row>
    <row r="28" spans="1:39" s="6" customFormat="1" ht="15" customHeight="1" x14ac:dyDescent="0.3">
      <c r="A28" s="5" t="s">
        <v>30</v>
      </c>
      <c r="B28" s="19">
        <f>SUMPRODUCT((raw!$A$2:$A$3691='(2018-19)'!$A$2)*(raw!$B$2:$B$3691='(2018-19)'!$A28)*(raw!$E$2:$E$3691='(2018-19)'!$B$6:$E$6)*(raw!$F$2:$F$3691='(2018-19)'!B$7)*(raw!$G$2:$G$3691))</f>
        <v>22</v>
      </c>
      <c r="C28" s="19">
        <f>SUMPRODUCT((raw!$A$2:$A$3691='(2018-19)'!$A$2)*(raw!$B$2:$B$3691='(2018-19)'!$A28)*(raw!$E$2:$E$3691='(2018-19)'!$B$6:$E$6)*(raw!$F$2:$F$3691='(2018-19)'!C$7)*(raw!$G$2:$G$3691))</f>
        <v>4</v>
      </c>
      <c r="D28" s="19" t="s">
        <v>188</v>
      </c>
      <c r="E28" s="15">
        <f t="shared" si="0"/>
        <v>0.15384615384615385</v>
      </c>
      <c r="F28" s="19"/>
      <c r="G28" s="19">
        <f>SUMPRODUCT((raw!$A$2:$A$3691='(2018-19)'!$A$2)*(raw!$B$2:$B$3691='(2018-19)'!$A28)*(raw!$E$2:$E$3691='(2018-19)'!$G$6)*(raw!$F$2:$F$3691='(2018-19)'!G$7)*(raw!$G$2:$G$3691))</f>
        <v>20</v>
      </c>
      <c r="H28" s="19">
        <f>SUMPRODUCT((raw!$A$2:$A$3691='(2018-19)'!$A$2)*(raw!$B$2:$B$3691='(2018-19)'!$A28)*(raw!$E$2:$E$3691='(2018-19)'!$G$6)*(raw!$F$2:$F$3691='(2018-19)'!H$7)*(raw!$G$2:$G$3691))</f>
        <v>2</v>
      </c>
      <c r="I28" s="19" t="s">
        <v>188</v>
      </c>
      <c r="J28" s="15">
        <f t="shared" si="1"/>
        <v>9.0909090909090912E-2</v>
      </c>
      <c r="K28" s="19"/>
      <c r="L28" s="14">
        <f t="shared" si="6"/>
        <v>42</v>
      </c>
      <c r="M28" s="14">
        <f t="shared" si="7"/>
        <v>6</v>
      </c>
      <c r="N28" s="19" t="s">
        <v>188</v>
      </c>
      <c r="O28" s="15">
        <f t="shared" si="2"/>
        <v>0.125</v>
      </c>
      <c r="P28" s="19"/>
      <c r="Q28" s="19">
        <f>SUMPRODUCT((raw!$A$2:$A$3691='(2018-19)'!$A$2)*(raw!$B$2:$B$3691='(2018-19)'!$A28)*(raw!$E$2:$E$3691='(2018-19)'!$Q$6)*(raw!$F$2:$F$3691='(2018-19)'!Q$7)*(raw!$G$2:$G$3691))</f>
        <v>0</v>
      </c>
      <c r="R28" s="19">
        <f>SUMPRODUCT((raw!$A$2:$A$3691='(2018-19)'!$A$2)*(raw!$B$2:$B$3691='(2018-19)'!$A28)*(raw!$E$2:$E$3691='(2018-19)'!$Q$6)*(raw!$F$2:$F$3691='(2018-19)'!R$7)*(raw!$G$2:$G$3691))</f>
        <v>0</v>
      </c>
      <c r="S28" s="19" t="s">
        <v>188</v>
      </c>
      <c r="T28" s="15" t="str">
        <f t="shared" si="3"/>
        <v>-</v>
      </c>
      <c r="U28" s="19"/>
      <c r="V28" s="19">
        <f>SUMPRODUCT((raw!$A$2:$A$3691='(2018-19)'!$A$2)*(raw!$B$2:$B$3691='(2018-19)'!$A28)*(raw!$E$2:$E$3691='(2018-19)'!$V$6)*(raw!$F$2:$F$3691='(2018-19)'!V$7)*(raw!$G$2:$G$3691))</f>
        <v>6</v>
      </c>
      <c r="W28" s="19">
        <f>SUMPRODUCT((raw!$A$2:$A$3691='(2018-19)'!$A$2)*(raw!$B$2:$B$3691='(2018-19)'!$A28)*(raw!$E$2:$E$3691='(2018-19)'!$V$6)*(raw!$F$2:$F$3691='(2018-19)'!W$7)*(raw!$G$2:$G$3691))</f>
        <v>6</v>
      </c>
      <c r="X28" s="19" t="s">
        <v>188</v>
      </c>
      <c r="Y28" s="15">
        <f t="shared" si="4"/>
        <v>0.5</v>
      </c>
      <c r="Z28" s="19"/>
      <c r="AA28" s="14">
        <f t="shared" si="8"/>
        <v>48</v>
      </c>
      <c r="AB28" s="14">
        <f t="shared" si="9"/>
        <v>12</v>
      </c>
      <c r="AC28" s="19" t="s">
        <v>188</v>
      </c>
      <c r="AD28" s="15">
        <f t="shared" si="5"/>
        <v>0.2</v>
      </c>
      <c r="AE28" s="16"/>
      <c r="AF28" s="16"/>
      <c r="AG28" s="16"/>
      <c r="AH28" s="16"/>
      <c r="AI28" s="16"/>
      <c r="AJ28" s="16"/>
      <c r="AK28" s="16"/>
      <c r="AL28" s="16"/>
      <c r="AM28" s="16"/>
    </row>
    <row r="29" spans="1:39" s="6" customFormat="1" ht="15" customHeight="1" x14ac:dyDescent="0.3">
      <c r="A29" s="5" t="s">
        <v>31</v>
      </c>
      <c r="B29" s="19">
        <f>SUMPRODUCT((raw!$A$2:$A$3691='(2018-19)'!$A$2)*(raw!$B$2:$B$3691='(2018-19)'!$A29)*(raw!$E$2:$E$3691='(2018-19)'!$B$6:$E$6)*(raw!$F$2:$F$3691='(2018-19)'!B$7)*(raw!$G$2:$G$3691))</f>
        <v>15</v>
      </c>
      <c r="C29" s="19">
        <f>SUMPRODUCT((raw!$A$2:$A$3691='(2018-19)'!$A$2)*(raw!$B$2:$B$3691='(2018-19)'!$A29)*(raw!$E$2:$E$3691='(2018-19)'!$B$6:$E$6)*(raw!$F$2:$F$3691='(2018-19)'!C$7)*(raw!$G$2:$G$3691))</f>
        <v>7</v>
      </c>
      <c r="D29" s="19" t="s">
        <v>188</v>
      </c>
      <c r="E29" s="15">
        <f t="shared" si="0"/>
        <v>0.31818181818181818</v>
      </c>
      <c r="F29" s="19"/>
      <c r="G29" s="19">
        <f>SUMPRODUCT((raw!$A$2:$A$3691='(2018-19)'!$A$2)*(raw!$B$2:$B$3691='(2018-19)'!$A29)*(raw!$E$2:$E$3691='(2018-19)'!$G$6)*(raw!$F$2:$F$3691='(2018-19)'!G$7)*(raw!$G$2:$G$3691))</f>
        <v>26</v>
      </c>
      <c r="H29" s="19">
        <f>SUMPRODUCT((raw!$A$2:$A$3691='(2018-19)'!$A$2)*(raw!$B$2:$B$3691='(2018-19)'!$A29)*(raw!$E$2:$E$3691='(2018-19)'!$G$6)*(raw!$F$2:$F$3691='(2018-19)'!H$7)*(raw!$G$2:$G$3691))</f>
        <v>5</v>
      </c>
      <c r="I29" s="19" t="s">
        <v>188</v>
      </c>
      <c r="J29" s="15">
        <f t="shared" si="1"/>
        <v>0.16129032258064516</v>
      </c>
      <c r="K29" s="19"/>
      <c r="L29" s="14">
        <f t="shared" si="6"/>
        <v>41</v>
      </c>
      <c r="M29" s="14">
        <f t="shared" si="7"/>
        <v>12</v>
      </c>
      <c r="N29" s="19" t="s">
        <v>188</v>
      </c>
      <c r="O29" s="15">
        <f t="shared" si="2"/>
        <v>0.22641509433962265</v>
      </c>
      <c r="P29" s="19"/>
      <c r="Q29" s="19">
        <f>SUMPRODUCT((raw!$A$2:$A$3691='(2018-19)'!$A$2)*(raw!$B$2:$B$3691='(2018-19)'!$A29)*(raw!$E$2:$E$3691='(2018-19)'!$Q$6)*(raw!$F$2:$F$3691='(2018-19)'!Q$7)*(raw!$G$2:$G$3691))</f>
        <v>0</v>
      </c>
      <c r="R29" s="19">
        <f>SUMPRODUCT((raw!$A$2:$A$3691='(2018-19)'!$A$2)*(raw!$B$2:$B$3691='(2018-19)'!$A29)*(raw!$E$2:$E$3691='(2018-19)'!$Q$6)*(raw!$F$2:$F$3691='(2018-19)'!R$7)*(raw!$G$2:$G$3691))</f>
        <v>4</v>
      </c>
      <c r="S29" s="19" t="s">
        <v>188</v>
      </c>
      <c r="T29" s="15">
        <f t="shared" si="3"/>
        <v>1</v>
      </c>
      <c r="U29" s="19"/>
      <c r="V29" s="19">
        <f>SUMPRODUCT((raw!$A$2:$A$3691='(2018-19)'!$A$2)*(raw!$B$2:$B$3691='(2018-19)'!$A29)*(raw!$E$2:$E$3691='(2018-19)'!$V$6)*(raw!$F$2:$F$3691='(2018-19)'!V$7)*(raw!$G$2:$G$3691))</f>
        <v>5</v>
      </c>
      <c r="W29" s="19">
        <f>SUMPRODUCT((raw!$A$2:$A$3691='(2018-19)'!$A$2)*(raw!$B$2:$B$3691='(2018-19)'!$A29)*(raw!$E$2:$E$3691='(2018-19)'!$V$6)*(raw!$F$2:$F$3691='(2018-19)'!W$7)*(raw!$G$2:$G$3691))</f>
        <v>13</v>
      </c>
      <c r="X29" s="19" t="s">
        <v>188</v>
      </c>
      <c r="Y29" s="15">
        <f t="shared" si="4"/>
        <v>0.72222222222222221</v>
      </c>
      <c r="Z29" s="19"/>
      <c r="AA29" s="14">
        <f t="shared" si="8"/>
        <v>46</v>
      </c>
      <c r="AB29" s="14">
        <f t="shared" si="9"/>
        <v>29</v>
      </c>
      <c r="AC29" s="19" t="s">
        <v>188</v>
      </c>
      <c r="AD29" s="15">
        <f t="shared" si="5"/>
        <v>0.38666666666666666</v>
      </c>
      <c r="AE29" s="16"/>
      <c r="AF29" s="16"/>
      <c r="AG29" s="16"/>
      <c r="AH29" s="16"/>
      <c r="AI29" s="16"/>
      <c r="AJ29" s="16"/>
      <c r="AK29" s="16"/>
      <c r="AL29" s="16"/>
      <c r="AM29" s="16"/>
    </row>
    <row r="30" spans="1:39" s="6" customFormat="1" ht="15" customHeight="1" x14ac:dyDescent="0.3">
      <c r="A30" s="5" t="s">
        <v>32</v>
      </c>
      <c r="B30" s="19">
        <f>SUMPRODUCT((raw!$A$2:$A$3691='(2018-19)'!$A$2)*(raw!$B$2:$B$3691='(2018-19)'!$A30)*(raw!$E$2:$E$3691='(2018-19)'!$B$6:$E$6)*(raw!$F$2:$F$3691='(2018-19)'!B$7)*(raw!$G$2:$G$3691))</f>
        <v>0</v>
      </c>
      <c r="C30" s="19">
        <f>SUMPRODUCT((raw!$A$2:$A$3691='(2018-19)'!$A$2)*(raw!$B$2:$B$3691='(2018-19)'!$A30)*(raw!$E$2:$E$3691='(2018-19)'!$B$6:$E$6)*(raw!$F$2:$F$3691='(2018-19)'!C$7)*(raw!$G$2:$G$3691))</f>
        <v>0</v>
      </c>
      <c r="D30" s="19" t="s">
        <v>188</v>
      </c>
      <c r="E30" s="15" t="str">
        <f t="shared" si="0"/>
        <v>-</v>
      </c>
      <c r="F30" s="19"/>
      <c r="G30" s="19">
        <f>SUMPRODUCT((raw!$A$2:$A$3691='(2018-19)'!$A$2)*(raw!$B$2:$B$3691='(2018-19)'!$A30)*(raw!$E$2:$E$3691='(2018-19)'!$G$6)*(raw!$F$2:$F$3691='(2018-19)'!G$7)*(raw!$G$2:$G$3691))</f>
        <v>9</v>
      </c>
      <c r="H30" s="19">
        <f>SUMPRODUCT((raw!$A$2:$A$3691='(2018-19)'!$A$2)*(raw!$B$2:$B$3691='(2018-19)'!$A30)*(raw!$E$2:$E$3691='(2018-19)'!$G$6)*(raw!$F$2:$F$3691='(2018-19)'!H$7)*(raw!$G$2:$G$3691))</f>
        <v>0</v>
      </c>
      <c r="I30" s="19" t="s">
        <v>188</v>
      </c>
      <c r="J30" s="15">
        <f t="shared" si="1"/>
        <v>0</v>
      </c>
      <c r="K30" s="19"/>
      <c r="L30" s="14">
        <f t="shared" si="6"/>
        <v>9</v>
      </c>
      <c r="M30" s="14">
        <f t="shared" si="7"/>
        <v>0</v>
      </c>
      <c r="N30" s="19" t="s">
        <v>188</v>
      </c>
      <c r="O30" s="15">
        <f t="shared" si="2"/>
        <v>0</v>
      </c>
      <c r="P30" s="19"/>
      <c r="Q30" s="19">
        <f>SUMPRODUCT((raw!$A$2:$A$3691='(2018-19)'!$A$2)*(raw!$B$2:$B$3691='(2018-19)'!$A30)*(raw!$E$2:$E$3691='(2018-19)'!$Q$6)*(raw!$F$2:$F$3691='(2018-19)'!Q$7)*(raw!$G$2:$G$3691))</f>
        <v>0</v>
      </c>
      <c r="R30" s="19">
        <f>SUMPRODUCT((raw!$A$2:$A$3691='(2018-19)'!$A$2)*(raw!$B$2:$B$3691='(2018-19)'!$A30)*(raw!$E$2:$E$3691='(2018-19)'!$Q$6)*(raw!$F$2:$F$3691='(2018-19)'!R$7)*(raw!$G$2:$G$3691))</f>
        <v>0</v>
      </c>
      <c r="S30" s="19" t="s">
        <v>188</v>
      </c>
      <c r="T30" s="15" t="str">
        <f t="shared" si="3"/>
        <v>-</v>
      </c>
      <c r="U30" s="19"/>
      <c r="V30" s="19">
        <f>SUMPRODUCT((raw!$A$2:$A$3691='(2018-19)'!$A$2)*(raw!$B$2:$B$3691='(2018-19)'!$A30)*(raw!$E$2:$E$3691='(2018-19)'!$V$6)*(raw!$F$2:$F$3691='(2018-19)'!V$7)*(raw!$G$2:$G$3691))</f>
        <v>2</v>
      </c>
      <c r="W30" s="19">
        <f>SUMPRODUCT((raw!$A$2:$A$3691='(2018-19)'!$A$2)*(raw!$B$2:$B$3691='(2018-19)'!$A30)*(raw!$E$2:$E$3691='(2018-19)'!$V$6)*(raw!$F$2:$F$3691='(2018-19)'!W$7)*(raw!$G$2:$G$3691))</f>
        <v>0</v>
      </c>
      <c r="X30" s="19" t="s">
        <v>188</v>
      </c>
      <c r="Y30" s="15">
        <f t="shared" si="4"/>
        <v>0</v>
      </c>
      <c r="Z30" s="19"/>
      <c r="AA30" s="14">
        <f t="shared" si="8"/>
        <v>11</v>
      </c>
      <c r="AB30" s="14">
        <f t="shared" si="9"/>
        <v>0</v>
      </c>
      <c r="AC30" s="19" t="s">
        <v>188</v>
      </c>
      <c r="AD30" s="15">
        <f t="shared" si="5"/>
        <v>0</v>
      </c>
      <c r="AE30" s="16"/>
      <c r="AF30" s="16"/>
      <c r="AG30" s="16"/>
      <c r="AH30" s="16"/>
      <c r="AI30" s="16"/>
      <c r="AJ30" s="16"/>
      <c r="AK30" s="16"/>
      <c r="AL30" s="16"/>
      <c r="AM30" s="16"/>
    </row>
    <row r="31" spans="1:39" s="6" customFormat="1" ht="15" customHeight="1" x14ac:dyDescent="0.3">
      <c r="A31" s="6" t="s">
        <v>33</v>
      </c>
      <c r="B31" s="19">
        <f>SUMPRODUCT((raw!$A$2:$A$3691='(2018-19)'!$A$2)*(raw!$B$2:$B$3691='(2018-19)'!$A31)*(raw!$E$2:$E$3691='(2018-19)'!$B$6:$E$6)*(raw!$F$2:$F$3691='(2018-19)'!B$7)*(raw!$G$2:$G$3691))</f>
        <v>31</v>
      </c>
      <c r="C31" s="19">
        <f>SUMPRODUCT((raw!$A$2:$A$3691='(2018-19)'!$A$2)*(raw!$B$2:$B$3691='(2018-19)'!$A31)*(raw!$E$2:$E$3691='(2018-19)'!$B$6:$E$6)*(raw!$F$2:$F$3691='(2018-19)'!C$7)*(raw!$G$2:$G$3691))</f>
        <v>2</v>
      </c>
      <c r="D31" s="19" t="s">
        <v>188</v>
      </c>
      <c r="E31" s="15">
        <f t="shared" si="0"/>
        <v>6.0606060606060608E-2</v>
      </c>
      <c r="F31" s="19"/>
      <c r="G31" s="19">
        <f>SUMPRODUCT((raw!$A$2:$A$3691='(2018-19)'!$A$2)*(raw!$B$2:$B$3691='(2018-19)'!$A31)*(raw!$E$2:$E$3691='(2018-19)'!$G$6)*(raw!$F$2:$F$3691='(2018-19)'!G$7)*(raw!$G$2:$G$3691))</f>
        <v>93</v>
      </c>
      <c r="H31" s="19">
        <f>SUMPRODUCT((raw!$A$2:$A$3691='(2018-19)'!$A$2)*(raw!$B$2:$B$3691='(2018-19)'!$A31)*(raw!$E$2:$E$3691='(2018-19)'!$G$6)*(raw!$F$2:$F$3691='(2018-19)'!H$7)*(raw!$G$2:$G$3691))</f>
        <v>9</v>
      </c>
      <c r="I31" s="19" t="s">
        <v>188</v>
      </c>
      <c r="J31" s="15">
        <f t="shared" si="1"/>
        <v>8.8235294117647065E-2</v>
      </c>
      <c r="K31" s="19"/>
      <c r="L31" s="14">
        <f t="shared" si="6"/>
        <v>124</v>
      </c>
      <c r="M31" s="14">
        <f t="shared" si="7"/>
        <v>11</v>
      </c>
      <c r="N31" s="19" t="s">
        <v>188</v>
      </c>
      <c r="O31" s="15">
        <f t="shared" si="2"/>
        <v>8.1481481481481488E-2</v>
      </c>
      <c r="P31" s="19"/>
      <c r="Q31" s="19">
        <f>SUMPRODUCT((raw!$A$2:$A$3691='(2018-19)'!$A$2)*(raw!$B$2:$B$3691='(2018-19)'!$A31)*(raw!$E$2:$E$3691='(2018-19)'!$Q$6)*(raw!$F$2:$F$3691='(2018-19)'!Q$7)*(raw!$G$2:$G$3691))</f>
        <v>0</v>
      </c>
      <c r="R31" s="19">
        <f>SUMPRODUCT((raw!$A$2:$A$3691='(2018-19)'!$A$2)*(raw!$B$2:$B$3691='(2018-19)'!$A31)*(raw!$E$2:$E$3691='(2018-19)'!$Q$6)*(raw!$F$2:$F$3691='(2018-19)'!R$7)*(raw!$G$2:$G$3691))</f>
        <v>1</v>
      </c>
      <c r="S31" s="19" t="s">
        <v>188</v>
      </c>
      <c r="T31" s="15">
        <f t="shared" si="3"/>
        <v>1</v>
      </c>
      <c r="U31" s="19"/>
      <c r="V31" s="19">
        <f>SUMPRODUCT((raw!$A$2:$A$3691='(2018-19)'!$A$2)*(raw!$B$2:$B$3691='(2018-19)'!$A31)*(raw!$E$2:$E$3691='(2018-19)'!$V$6)*(raw!$F$2:$F$3691='(2018-19)'!V$7)*(raw!$G$2:$G$3691))</f>
        <v>22</v>
      </c>
      <c r="W31" s="19">
        <f>SUMPRODUCT((raw!$A$2:$A$3691='(2018-19)'!$A$2)*(raw!$B$2:$B$3691='(2018-19)'!$A31)*(raw!$E$2:$E$3691='(2018-19)'!$V$6)*(raw!$F$2:$F$3691='(2018-19)'!W$7)*(raw!$G$2:$G$3691))</f>
        <v>18</v>
      </c>
      <c r="X31" s="19" t="s">
        <v>188</v>
      </c>
      <c r="Y31" s="15">
        <f t="shared" si="4"/>
        <v>0.45</v>
      </c>
      <c r="Z31" s="19"/>
      <c r="AA31" s="14">
        <f t="shared" si="8"/>
        <v>146</v>
      </c>
      <c r="AB31" s="14">
        <f t="shared" si="9"/>
        <v>30</v>
      </c>
      <c r="AC31" s="19" t="s">
        <v>188</v>
      </c>
      <c r="AD31" s="15">
        <f t="shared" si="5"/>
        <v>0.17045454545454544</v>
      </c>
      <c r="AE31" s="16"/>
      <c r="AF31" s="16"/>
      <c r="AG31" s="16"/>
      <c r="AH31" s="16"/>
      <c r="AI31" s="16"/>
      <c r="AJ31" s="16"/>
      <c r="AK31" s="16"/>
      <c r="AL31" s="16"/>
      <c r="AM31" s="16"/>
    </row>
    <row r="32" spans="1:39" s="6" customFormat="1" ht="15" customHeight="1" x14ac:dyDescent="0.3">
      <c r="A32" s="6" t="s">
        <v>34</v>
      </c>
      <c r="B32" s="19">
        <f>SUMPRODUCT((raw!$A$2:$A$3691='(2018-19)'!$A$2)*(raw!$B$2:$B$3691='(2018-19)'!$A32)*(raw!$E$2:$E$3691='(2018-19)'!$B$6:$E$6)*(raw!$F$2:$F$3691='(2018-19)'!B$7)*(raw!$G$2:$G$3691))</f>
        <v>45</v>
      </c>
      <c r="C32" s="19">
        <f>SUMPRODUCT((raw!$A$2:$A$3691='(2018-19)'!$A$2)*(raw!$B$2:$B$3691='(2018-19)'!$A32)*(raw!$E$2:$E$3691='(2018-19)'!$B$6:$E$6)*(raw!$F$2:$F$3691='(2018-19)'!C$7)*(raw!$G$2:$G$3691))</f>
        <v>10</v>
      </c>
      <c r="D32" s="19" t="s">
        <v>188</v>
      </c>
      <c r="E32" s="15">
        <f t="shared" si="0"/>
        <v>0.18181818181818182</v>
      </c>
      <c r="F32" s="19"/>
      <c r="G32" s="19">
        <f>SUMPRODUCT((raw!$A$2:$A$3691='(2018-19)'!$A$2)*(raw!$B$2:$B$3691='(2018-19)'!$A32)*(raw!$E$2:$E$3691='(2018-19)'!$G$6)*(raw!$F$2:$F$3691='(2018-19)'!G$7)*(raw!$G$2:$G$3691))</f>
        <v>64</v>
      </c>
      <c r="H32" s="19">
        <f>SUMPRODUCT((raw!$A$2:$A$3691='(2018-19)'!$A$2)*(raw!$B$2:$B$3691='(2018-19)'!$A32)*(raw!$E$2:$E$3691='(2018-19)'!$G$6)*(raw!$F$2:$F$3691='(2018-19)'!H$7)*(raw!$G$2:$G$3691))</f>
        <v>8</v>
      </c>
      <c r="I32" s="19" t="s">
        <v>188</v>
      </c>
      <c r="J32" s="15">
        <f t="shared" si="1"/>
        <v>0.1111111111111111</v>
      </c>
      <c r="K32" s="19"/>
      <c r="L32" s="14">
        <f t="shared" si="6"/>
        <v>109</v>
      </c>
      <c r="M32" s="14">
        <f t="shared" si="7"/>
        <v>18</v>
      </c>
      <c r="N32" s="19" t="s">
        <v>188</v>
      </c>
      <c r="O32" s="15">
        <f t="shared" si="2"/>
        <v>0.14173228346456693</v>
      </c>
      <c r="P32" s="19"/>
      <c r="Q32" s="19">
        <f>SUMPRODUCT((raw!$A$2:$A$3691='(2018-19)'!$A$2)*(raw!$B$2:$B$3691='(2018-19)'!$A32)*(raw!$E$2:$E$3691='(2018-19)'!$Q$6)*(raw!$F$2:$F$3691='(2018-19)'!Q$7)*(raw!$G$2:$G$3691))</f>
        <v>0</v>
      </c>
      <c r="R32" s="19">
        <f>SUMPRODUCT((raw!$A$2:$A$3691='(2018-19)'!$A$2)*(raw!$B$2:$B$3691='(2018-19)'!$A32)*(raw!$E$2:$E$3691='(2018-19)'!$Q$6)*(raw!$F$2:$F$3691='(2018-19)'!R$7)*(raw!$G$2:$G$3691))</f>
        <v>0</v>
      </c>
      <c r="S32" s="19" t="s">
        <v>188</v>
      </c>
      <c r="T32" s="15" t="str">
        <f t="shared" si="3"/>
        <v>-</v>
      </c>
      <c r="U32" s="19"/>
      <c r="V32" s="19">
        <f>SUMPRODUCT((raw!$A$2:$A$3691='(2018-19)'!$A$2)*(raw!$B$2:$B$3691='(2018-19)'!$A32)*(raw!$E$2:$E$3691='(2018-19)'!$V$6)*(raw!$F$2:$F$3691='(2018-19)'!V$7)*(raw!$G$2:$G$3691))</f>
        <v>9</v>
      </c>
      <c r="W32" s="19">
        <f>SUMPRODUCT((raw!$A$2:$A$3691='(2018-19)'!$A$2)*(raw!$B$2:$B$3691='(2018-19)'!$A32)*(raw!$E$2:$E$3691='(2018-19)'!$V$6)*(raw!$F$2:$F$3691='(2018-19)'!W$7)*(raw!$G$2:$G$3691))</f>
        <v>13</v>
      </c>
      <c r="X32" s="19" t="s">
        <v>188</v>
      </c>
      <c r="Y32" s="15">
        <f t="shared" si="4"/>
        <v>0.59090909090909094</v>
      </c>
      <c r="Z32" s="19"/>
      <c r="AA32" s="14">
        <f t="shared" si="8"/>
        <v>118</v>
      </c>
      <c r="AB32" s="14">
        <f t="shared" si="9"/>
        <v>31</v>
      </c>
      <c r="AC32" s="19" t="s">
        <v>188</v>
      </c>
      <c r="AD32" s="15">
        <f t="shared" si="5"/>
        <v>0.20805369127516779</v>
      </c>
      <c r="AE32" s="16"/>
      <c r="AF32" s="16"/>
      <c r="AG32" s="16"/>
      <c r="AH32" s="16"/>
      <c r="AI32" s="16"/>
      <c r="AJ32" s="16"/>
      <c r="AK32" s="16"/>
      <c r="AL32" s="16"/>
      <c r="AM32" s="16"/>
    </row>
    <row r="33" spans="1:39" s="6" customFormat="1" ht="15" customHeight="1" x14ac:dyDescent="0.3">
      <c r="A33" s="5" t="s">
        <v>35</v>
      </c>
      <c r="B33" s="19">
        <f>SUMPRODUCT((raw!$A$2:$A$3691='(2018-19)'!$A$2)*(raw!$B$2:$B$3691='(2018-19)'!$A33)*(raw!$E$2:$E$3691='(2018-19)'!$B$6:$E$6)*(raw!$F$2:$F$3691='(2018-19)'!B$7)*(raw!$G$2:$G$3691))</f>
        <v>8</v>
      </c>
      <c r="C33" s="19">
        <f>SUMPRODUCT((raw!$A$2:$A$3691='(2018-19)'!$A$2)*(raw!$B$2:$B$3691='(2018-19)'!$A33)*(raw!$E$2:$E$3691='(2018-19)'!$B$6:$E$6)*(raw!$F$2:$F$3691='(2018-19)'!C$7)*(raw!$G$2:$G$3691))</f>
        <v>0</v>
      </c>
      <c r="D33" s="19" t="s">
        <v>188</v>
      </c>
      <c r="E33" s="15">
        <f t="shared" si="0"/>
        <v>0</v>
      </c>
      <c r="F33" s="19"/>
      <c r="G33" s="19">
        <f>SUMPRODUCT((raw!$A$2:$A$3691='(2018-19)'!$A$2)*(raw!$B$2:$B$3691='(2018-19)'!$A33)*(raw!$E$2:$E$3691='(2018-19)'!$G$6)*(raw!$F$2:$F$3691='(2018-19)'!G$7)*(raw!$G$2:$G$3691))</f>
        <v>32</v>
      </c>
      <c r="H33" s="19">
        <f>SUMPRODUCT((raw!$A$2:$A$3691='(2018-19)'!$A$2)*(raw!$B$2:$B$3691='(2018-19)'!$A33)*(raw!$E$2:$E$3691='(2018-19)'!$G$6)*(raw!$F$2:$F$3691='(2018-19)'!H$7)*(raw!$G$2:$G$3691))</f>
        <v>1</v>
      </c>
      <c r="I33" s="19" t="s">
        <v>188</v>
      </c>
      <c r="J33" s="15">
        <f t="shared" si="1"/>
        <v>3.0303030303030304E-2</v>
      </c>
      <c r="K33" s="19"/>
      <c r="L33" s="14">
        <f t="shared" si="6"/>
        <v>40</v>
      </c>
      <c r="M33" s="14">
        <f t="shared" si="7"/>
        <v>1</v>
      </c>
      <c r="N33" s="19" t="s">
        <v>188</v>
      </c>
      <c r="O33" s="15">
        <f t="shared" si="2"/>
        <v>2.4390243902439025E-2</v>
      </c>
      <c r="P33" s="19"/>
      <c r="Q33" s="19">
        <f>SUMPRODUCT((raw!$A$2:$A$3691='(2018-19)'!$A$2)*(raw!$B$2:$B$3691='(2018-19)'!$A33)*(raw!$E$2:$E$3691='(2018-19)'!$Q$6)*(raw!$F$2:$F$3691='(2018-19)'!Q$7)*(raw!$G$2:$G$3691))</f>
        <v>0</v>
      </c>
      <c r="R33" s="19">
        <f>SUMPRODUCT((raw!$A$2:$A$3691='(2018-19)'!$A$2)*(raw!$B$2:$B$3691='(2018-19)'!$A33)*(raw!$E$2:$E$3691='(2018-19)'!$Q$6)*(raw!$F$2:$F$3691='(2018-19)'!R$7)*(raw!$G$2:$G$3691))</f>
        <v>0</v>
      </c>
      <c r="S33" s="19" t="s">
        <v>188</v>
      </c>
      <c r="T33" s="15" t="str">
        <f t="shared" si="3"/>
        <v>-</v>
      </c>
      <c r="U33" s="19"/>
      <c r="V33" s="19">
        <f>SUMPRODUCT((raw!$A$2:$A$3691='(2018-19)'!$A$2)*(raw!$B$2:$B$3691='(2018-19)'!$A33)*(raw!$E$2:$E$3691='(2018-19)'!$V$6)*(raw!$F$2:$F$3691='(2018-19)'!V$7)*(raw!$G$2:$G$3691))</f>
        <v>2</v>
      </c>
      <c r="W33" s="19">
        <f>SUMPRODUCT((raw!$A$2:$A$3691='(2018-19)'!$A$2)*(raw!$B$2:$B$3691='(2018-19)'!$A33)*(raw!$E$2:$E$3691='(2018-19)'!$V$6)*(raw!$F$2:$F$3691='(2018-19)'!W$7)*(raw!$G$2:$G$3691))</f>
        <v>7</v>
      </c>
      <c r="X33" s="19" t="s">
        <v>188</v>
      </c>
      <c r="Y33" s="15">
        <f t="shared" si="4"/>
        <v>0.77777777777777779</v>
      </c>
      <c r="Z33" s="19"/>
      <c r="AA33" s="14">
        <f t="shared" si="8"/>
        <v>42</v>
      </c>
      <c r="AB33" s="14">
        <f t="shared" si="9"/>
        <v>8</v>
      </c>
      <c r="AC33" s="19" t="s">
        <v>188</v>
      </c>
      <c r="AD33" s="15">
        <f t="shared" si="5"/>
        <v>0.16</v>
      </c>
      <c r="AE33" s="16"/>
      <c r="AF33" s="16"/>
      <c r="AG33" s="16"/>
      <c r="AH33" s="16"/>
      <c r="AI33" s="16"/>
      <c r="AJ33" s="16"/>
      <c r="AK33" s="16"/>
      <c r="AL33" s="16"/>
      <c r="AM33" s="16"/>
    </row>
    <row r="34" spans="1:39" s="6" customFormat="1" ht="15" customHeight="1" x14ac:dyDescent="0.3">
      <c r="A34" s="6" t="s">
        <v>36</v>
      </c>
      <c r="B34" s="19">
        <f>SUMPRODUCT((raw!$A$2:$A$3691='(2018-19)'!$A$2)*(raw!$B$2:$B$3691='(2018-19)'!$A34)*(raw!$E$2:$E$3691='(2018-19)'!$B$6:$E$6)*(raw!$F$2:$F$3691='(2018-19)'!B$7)*(raw!$G$2:$G$3691))</f>
        <v>13</v>
      </c>
      <c r="C34" s="19">
        <f>SUMPRODUCT((raw!$A$2:$A$3691='(2018-19)'!$A$2)*(raw!$B$2:$B$3691='(2018-19)'!$A34)*(raw!$E$2:$E$3691='(2018-19)'!$B$6:$E$6)*(raw!$F$2:$F$3691='(2018-19)'!C$7)*(raw!$G$2:$G$3691))</f>
        <v>0</v>
      </c>
      <c r="D34" s="19" t="s">
        <v>188</v>
      </c>
      <c r="E34" s="15">
        <f t="shared" si="0"/>
        <v>0</v>
      </c>
      <c r="F34" s="19"/>
      <c r="G34" s="19">
        <f>SUMPRODUCT((raw!$A$2:$A$3691='(2018-19)'!$A$2)*(raw!$B$2:$B$3691='(2018-19)'!$A34)*(raw!$E$2:$E$3691='(2018-19)'!$G$6)*(raw!$F$2:$F$3691='(2018-19)'!G$7)*(raw!$G$2:$G$3691))</f>
        <v>48</v>
      </c>
      <c r="H34" s="19">
        <f>SUMPRODUCT((raw!$A$2:$A$3691='(2018-19)'!$A$2)*(raw!$B$2:$B$3691='(2018-19)'!$A34)*(raw!$E$2:$E$3691='(2018-19)'!$G$6)*(raw!$F$2:$F$3691='(2018-19)'!H$7)*(raw!$G$2:$G$3691))</f>
        <v>5</v>
      </c>
      <c r="I34" s="19" t="s">
        <v>188</v>
      </c>
      <c r="J34" s="15">
        <f t="shared" si="1"/>
        <v>9.4339622641509441E-2</v>
      </c>
      <c r="K34" s="19"/>
      <c r="L34" s="14">
        <f t="shared" si="6"/>
        <v>61</v>
      </c>
      <c r="M34" s="14">
        <f t="shared" si="7"/>
        <v>5</v>
      </c>
      <c r="N34" s="19" t="s">
        <v>188</v>
      </c>
      <c r="O34" s="15">
        <f t="shared" si="2"/>
        <v>7.575757575757576E-2</v>
      </c>
      <c r="P34" s="19"/>
      <c r="Q34" s="19">
        <f>SUMPRODUCT((raw!$A$2:$A$3691='(2018-19)'!$A$2)*(raw!$B$2:$B$3691='(2018-19)'!$A34)*(raw!$E$2:$E$3691='(2018-19)'!$Q$6)*(raw!$F$2:$F$3691='(2018-19)'!Q$7)*(raw!$G$2:$G$3691))</f>
        <v>1</v>
      </c>
      <c r="R34" s="19">
        <f>SUMPRODUCT((raw!$A$2:$A$3691='(2018-19)'!$A$2)*(raw!$B$2:$B$3691='(2018-19)'!$A34)*(raw!$E$2:$E$3691='(2018-19)'!$Q$6)*(raw!$F$2:$F$3691='(2018-19)'!R$7)*(raw!$G$2:$G$3691))</f>
        <v>3</v>
      </c>
      <c r="S34" s="19" t="s">
        <v>188</v>
      </c>
      <c r="T34" s="15">
        <f t="shared" si="3"/>
        <v>0.75</v>
      </c>
      <c r="U34" s="19"/>
      <c r="V34" s="19">
        <f>SUMPRODUCT((raw!$A$2:$A$3691='(2018-19)'!$A$2)*(raw!$B$2:$B$3691='(2018-19)'!$A34)*(raw!$E$2:$E$3691='(2018-19)'!$V$6)*(raw!$F$2:$F$3691='(2018-19)'!V$7)*(raw!$G$2:$G$3691))</f>
        <v>3</v>
      </c>
      <c r="W34" s="19">
        <f>SUMPRODUCT((raw!$A$2:$A$3691='(2018-19)'!$A$2)*(raw!$B$2:$B$3691='(2018-19)'!$A34)*(raw!$E$2:$E$3691='(2018-19)'!$V$6)*(raw!$F$2:$F$3691='(2018-19)'!W$7)*(raw!$G$2:$G$3691))</f>
        <v>7</v>
      </c>
      <c r="X34" s="19" t="s">
        <v>188</v>
      </c>
      <c r="Y34" s="15">
        <f t="shared" si="4"/>
        <v>0.7</v>
      </c>
      <c r="Z34" s="19"/>
      <c r="AA34" s="14">
        <f t="shared" si="8"/>
        <v>65</v>
      </c>
      <c r="AB34" s="14">
        <f t="shared" si="9"/>
        <v>15</v>
      </c>
      <c r="AC34" s="19" t="s">
        <v>188</v>
      </c>
      <c r="AD34" s="15">
        <f t="shared" si="5"/>
        <v>0.1875</v>
      </c>
      <c r="AE34" s="16"/>
      <c r="AF34" s="16"/>
      <c r="AG34" s="16"/>
      <c r="AH34" s="16"/>
      <c r="AI34" s="16"/>
      <c r="AJ34" s="16"/>
      <c r="AK34" s="16"/>
      <c r="AL34" s="16"/>
      <c r="AM34" s="16"/>
    </row>
    <row r="35" spans="1:39" s="6" customFormat="1" ht="15" customHeight="1" x14ac:dyDescent="0.3">
      <c r="A35" s="6" t="s">
        <v>37</v>
      </c>
      <c r="B35" s="19">
        <f>SUMPRODUCT((raw!$A$2:$A$3691='(2018-19)'!$A$2)*(raw!$B$2:$B$3691='(2018-19)'!$A35)*(raw!$E$2:$E$3691='(2018-19)'!$B$6:$E$6)*(raw!$F$2:$F$3691='(2018-19)'!B$7)*(raw!$G$2:$G$3691))</f>
        <v>25</v>
      </c>
      <c r="C35" s="19">
        <f>SUMPRODUCT((raw!$A$2:$A$3691='(2018-19)'!$A$2)*(raw!$B$2:$B$3691='(2018-19)'!$A35)*(raw!$E$2:$E$3691='(2018-19)'!$B$6:$E$6)*(raw!$F$2:$F$3691='(2018-19)'!C$7)*(raw!$G$2:$G$3691))</f>
        <v>5</v>
      </c>
      <c r="D35" s="19" t="s">
        <v>188</v>
      </c>
      <c r="E35" s="15">
        <f t="shared" si="0"/>
        <v>0.16666666666666666</v>
      </c>
      <c r="F35" s="19"/>
      <c r="G35" s="19">
        <f>SUMPRODUCT((raw!$A$2:$A$3691='(2018-19)'!$A$2)*(raw!$B$2:$B$3691='(2018-19)'!$A35)*(raw!$E$2:$E$3691='(2018-19)'!$G$6)*(raw!$F$2:$F$3691='(2018-19)'!G$7)*(raw!$G$2:$G$3691))</f>
        <v>36</v>
      </c>
      <c r="H35" s="19">
        <f>SUMPRODUCT((raw!$A$2:$A$3691='(2018-19)'!$A$2)*(raw!$B$2:$B$3691='(2018-19)'!$A35)*(raw!$E$2:$E$3691='(2018-19)'!$G$6)*(raw!$F$2:$F$3691='(2018-19)'!H$7)*(raw!$G$2:$G$3691))</f>
        <v>2</v>
      </c>
      <c r="I35" s="19" t="s">
        <v>188</v>
      </c>
      <c r="J35" s="15">
        <f t="shared" si="1"/>
        <v>5.2631578947368418E-2</v>
      </c>
      <c r="K35" s="19"/>
      <c r="L35" s="14">
        <f t="shared" si="6"/>
        <v>61</v>
      </c>
      <c r="M35" s="14">
        <f t="shared" si="7"/>
        <v>7</v>
      </c>
      <c r="N35" s="19" t="s">
        <v>188</v>
      </c>
      <c r="O35" s="15">
        <f t="shared" si="2"/>
        <v>0.10294117647058823</v>
      </c>
      <c r="P35" s="19"/>
      <c r="Q35" s="19">
        <f>SUMPRODUCT((raw!$A$2:$A$3691='(2018-19)'!$A$2)*(raw!$B$2:$B$3691='(2018-19)'!$A35)*(raw!$E$2:$E$3691='(2018-19)'!$Q$6)*(raw!$F$2:$F$3691='(2018-19)'!Q$7)*(raw!$G$2:$G$3691))</f>
        <v>2</v>
      </c>
      <c r="R35" s="19">
        <f>SUMPRODUCT((raw!$A$2:$A$3691='(2018-19)'!$A$2)*(raw!$B$2:$B$3691='(2018-19)'!$A35)*(raw!$E$2:$E$3691='(2018-19)'!$Q$6)*(raw!$F$2:$F$3691='(2018-19)'!R$7)*(raw!$G$2:$G$3691))</f>
        <v>0</v>
      </c>
      <c r="S35" s="19" t="s">
        <v>188</v>
      </c>
      <c r="T35" s="15">
        <f t="shared" si="3"/>
        <v>0</v>
      </c>
      <c r="U35" s="19"/>
      <c r="V35" s="19">
        <f>SUMPRODUCT((raw!$A$2:$A$3691='(2018-19)'!$A$2)*(raw!$B$2:$B$3691='(2018-19)'!$A35)*(raw!$E$2:$E$3691='(2018-19)'!$V$6)*(raw!$F$2:$F$3691='(2018-19)'!V$7)*(raw!$G$2:$G$3691))</f>
        <v>6</v>
      </c>
      <c r="W35" s="19">
        <f>SUMPRODUCT((raw!$A$2:$A$3691='(2018-19)'!$A$2)*(raw!$B$2:$B$3691='(2018-19)'!$A35)*(raw!$E$2:$E$3691='(2018-19)'!$V$6)*(raw!$F$2:$F$3691='(2018-19)'!W$7)*(raw!$G$2:$G$3691))</f>
        <v>4</v>
      </c>
      <c r="X35" s="19" t="s">
        <v>188</v>
      </c>
      <c r="Y35" s="15">
        <f t="shared" si="4"/>
        <v>0.4</v>
      </c>
      <c r="Z35" s="19"/>
      <c r="AA35" s="14">
        <f t="shared" si="8"/>
        <v>69</v>
      </c>
      <c r="AB35" s="14">
        <f t="shared" si="9"/>
        <v>11</v>
      </c>
      <c r="AC35" s="19" t="s">
        <v>188</v>
      </c>
      <c r="AD35" s="15">
        <f t="shared" si="5"/>
        <v>0.13750000000000001</v>
      </c>
      <c r="AE35" s="16"/>
      <c r="AF35" s="16"/>
      <c r="AG35" s="16"/>
      <c r="AH35" s="16"/>
      <c r="AI35" s="16"/>
      <c r="AJ35" s="16"/>
      <c r="AK35" s="16"/>
      <c r="AL35" s="16"/>
      <c r="AM35" s="16"/>
    </row>
    <row r="36" spans="1:39" s="6" customFormat="1" ht="15" customHeight="1" x14ac:dyDescent="0.3">
      <c r="A36" s="5" t="s">
        <v>38</v>
      </c>
      <c r="B36" s="19">
        <f>SUMPRODUCT((raw!$A$2:$A$3691='(2018-19)'!$A$2)*(raw!$B$2:$B$3691='(2018-19)'!$A36)*(raw!$E$2:$E$3691='(2018-19)'!$B$6:$E$6)*(raw!$F$2:$F$3691='(2018-19)'!B$7)*(raw!$G$2:$G$3691))</f>
        <v>0</v>
      </c>
      <c r="C36" s="19">
        <f>SUMPRODUCT((raw!$A$2:$A$3691='(2018-19)'!$A$2)*(raw!$B$2:$B$3691='(2018-19)'!$A36)*(raw!$E$2:$E$3691='(2018-19)'!$B$6:$E$6)*(raw!$F$2:$F$3691='(2018-19)'!C$7)*(raw!$G$2:$G$3691))</f>
        <v>0</v>
      </c>
      <c r="D36" s="19" t="s">
        <v>188</v>
      </c>
      <c r="E36" s="15" t="str">
        <f t="shared" si="0"/>
        <v>-</v>
      </c>
      <c r="F36" s="19"/>
      <c r="G36" s="19">
        <f>SUMPRODUCT((raw!$A$2:$A$3691='(2018-19)'!$A$2)*(raw!$B$2:$B$3691='(2018-19)'!$A36)*(raw!$E$2:$E$3691='(2018-19)'!$G$6)*(raw!$F$2:$F$3691='(2018-19)'!G$7)*(raw!$G$2:$G$3691))</f>
        <v>0</v>
      </c>
      <c r="H36" s="19">
        <f>SUMPRODUCT((raw!$A$2:$A$3691='(2018-19)'!$A$2)*(raw!$B$2:$B$3691='(2018-19)'!$A36)*(raw!$E$2:$E$3691='(2018-19)'!$G$6)*(raw!$F$2:$F$3691='(2018-19)'!H$7)*(raw!$G$2:$G$3691))</f>
        <v>0</v>
      </c>
      <c r="I36" s="19" t="s">
        <v>188</v>
      </c>
      <c r="J36" s="15" t="str">
        <f t="shared" si="1"/>
        <v>-</v>
      </c>
      <c r="K36" s="19"/>
      <c r="L36" s="14">
        <f t="shared" si="6"/>
        <v>0</v>
      </c>
      <c r="M36" s="14">
        <f t="shared" si="7"/>
        <v>0</v>
      </c>
      <c r="N36" s="19" t="s">
        <v>188</v>
      </c>
      <c r="O36" s="15" t="str">
        <f t="shared" si="2"/>
        <v>-</v>
      </c>
      <c r="P36" s="19"/>
      <c r="Q36" s="19">
        <f>SUMPRODUCT((raw!$A$2:$A$3691='(2018-19)'!$A$2)*(raw!$B$2:$B$3691='(2018-19)'!$A36)*(raw!$E$2:$E$3691='(2018-19)'!$Q$6)*(raw!$F$2:$F$3691='(2018-19)'!Q$7)*(raw!$G$2:$G$3691))</f>
        <v>2</v>
      </c>
      <c r="R36" s="19">
        <f>SUMPRODUCT((raw!$A$2:$A$3691='(2018-19)'!$A$2)*(raw!$B$2:$B$3691='(2018-19)'!$A36)*(raw!$E$2:$E$3691='(2018-19)'!$Q$6)*(raw!$F$2:$F$3691='(2018-19)'!R$7)*(raw!$G$2:$G$3691))</f>
        <v>5</v>
      </c>
      <c r="S36" s="19" t="s">
        <v>188</v>
      </c>
      <c r="T36" s="15">
        <f t="shared" si="3"/>
        <v>0.7142857142857143</v>
      </c>
      <c r="U36" s="19"/>
      <c r="V36" s="19">
        <f>SUMPRODUCT((raw!$A$2:$A$3691='(2018-19)'!$A$2)*(raw!$B$2:$B$3691='(2018-19)'!$A36)*(raw!$E$2:$E$3691='(2018-19)'!$V$6)*(raw!$F$2:$F$3691='(2018-19)'!V$7)*(raw!$G$2:$G$3691))</f>
        <v>0</v>
      </c>
      <c r="W36" s="19">
        <f>SUMPRODUCT((raw!$A$2:$A$3691='(2018-19)'!$A$2)*(raw!$B$2:$B$3691='(2018-19)'!$A36)*(raw!$E$2:$E$3691='(2018-19)'!$V$6)*(raw!$F$2:$F$3691='(2018-19)'!W$7)*(raw!$G$2:$G$3691))</f>
        <v>1</v>
      </c>
      <c r="X36" s="19" t="s">
        <v>188</v>
      </c>
      <c r="Y36" s="15">
        <f t="shared" si="4"/>
        <v>1</v>
      </c>
      <c r="Z36" s="19"/>
      <c r="AA36" s="14">
        <f t="shared" si="8"/>
        <v>2</v>
      </c>
      <c r="AB36" s="14">
        <f t="shared" si="9"/>
        <v>6</v>
      </c>
      <c r="AC36" s="19" t="s">
        <v>188</v>
      </c>
      <c r="AD36" s="15">
        <f t="shared" si="5"/>
        <v>0.75</v>
      </c>
      <c r="AE36" s="16"/>
      <c r="AF36" s="16"/>
      <c r="AG36" s="16"/>
      <c r="AH36" s="16"/>
      <c r="AI36" s="16"/>
      <c r="AJ36" s="16"/>
      <c r="AK36" s="16"/>
      <c r="AL36" s="16"/>
      <c r="AM36" s="16"/>
    </row>
    <row r="37" spans="1:39" s="6" customFormat="1" ht="15" customHeight="1" x14ac:dyDescent="0.3">
      <c r="A37" s="6" t="s">
        <v>39</v>
      </c>
      <c r="B37" s="19">
        <f>SUMPRODUCT((raw!$A$2:$A$3691='(2018-19)'!$A$2)*(raw!$B$2:$B$3691='(2018-19)'!$A37)*(raw!$E$2:$E$3691='(2018-19)'!$B$6:$E$6)*(raw!$F$2:$F$3691='(2018-19)'!B$7)*(raw!$G$2:$G$3691))</f>
        <v>25</v>
      </c>
      <c r="C37" s="19">
        <f>SUMPRODUCT((raw!$A$2:$A$3691='(2018-19)'!$A$2)*(raw!$B$2:$B$3691='(2018-19)'!$A37)*(raw!$E$2:$E$3691='(2018-19)'!$B$6:$E$6)*(raw!$F$2:$F$3691='(2018-19)'!C$7)*(raw!$G$2:$G$3691))</f>
        <v>5</v>
      </c>
      <c r="D37" s="19" t="s">
        <v>188</v>
      </c>
      <c r="E37" s="15">
        <f t="shared" si="0"/>
        <v>0.16666666666666666</v>
      </c>
      <c r="F37" s="19"/>
      <c r="G37" s="19">
        <f>SUMPRODUCT((raw!$A$2:$A$3691='(2018-19)'!$A$2)*(raw!$B$2:$B$3691='(2018-19)'!$A37)*(raw!$E$2:$E$3691='(2018-19)'!$G$6)*(raw!$F$2:$F$3691='(2018-19)'!G$7)*(raw!$G$2:$G$3691))</f>
        <v>38</v>
      </c>
      <c r="H37" s="19">
        <f>SUMPRODUCT((raw!$A$2:$A$3691='(2018-19)'!$A$2)*(raw!$B$2:$B$3691='(2018-19)'!$A37)*(raw!$E$2:$E$3691='(2018-19)'!$G$6)*(raw!$F$2:$F$3691='(2018-19)'!H$7)*(raw!$G$2:$G$3691))</f>
        <v>3</v>
      </c>
      <c r="I37" s="19" t="s">
        <v>188</v>
      </c>
      <c r="J37" s="15">
        <f t="shared" si="1"/>
        <v>7.3170731707317069E-2</v>
      </c>
      <c r="K37" s="19"/>
      <c r="L37" s="14">
        <f t="shared" si="6"/>
        <v>63</v>
      </c>
      <c r="M37" s="14">
        <f t="shared" si="7"/>
        <v>8</v>
      </c>
      <c r="N37" s="19" t="s">
        <v>188</v>
      </c>
      <c r="O37" s="15">
        <f t="shared" si="2"/>
        <v>0.11267605633802817</v>
      </c>
      <c r="P37" s="19"/>
      <c r="Q37" s="19">
        <f>SUMPRODUCT((raw!$A$2:$A$3691='(2018-19)'!$A$2)*(raw!$B$2:$B$3691='(2018-19)'!$A37)*(raw!$E$2:$E$3691='(2018-19)'!$Q$6)*(raw!$F$2:$F$3691='(2018-19)'!Q$7)*(raw!$G$2:$G$3691))</f>
        <v>3</v>
      </c>
      <c r="R37" s="19">
        <f>SUMPRODUCT((raw!$A$2:$A$3691='(2018-19)'!$A$2)*(raw!$B$2:$B$3691='(2018-19)'!$A37)*(raw!$E$2:$E$3691='(2018-19)'!$Q$6)*(raw!$F$2:$F$3691='(2018-19)'!R$7)*(raw!$G$2:$G$3691))</f>
        <v>1</v>
      </c>
      <c r="S37" s="19" t="s">
        <v>188</v>
      </c>
      <c r="T37" s="15">
        <f t="shared" si="3"/>
        <v>0.25</v>
      </c>
      <c r="U37" s="19"/>
      <c r="V37" s="19">
        <f>SUMPRODUCT((raw!$A$2:$A$3691='(2018-19)'!$A$2)*(raw!$B$2:$B$3691='(2018-19)'!$A37)*(raw!$E$2:$E$3691='(2018-19)'!$V$6)*(raw!$F$2:$F$3691='(2018-19)'!V$7)*(raw!$G$2:$G$3691))</f>
        <v>12</v>
      </c>
      <c r="W37" s="19">
        <f>SUMPRODUCT((raw!$A$2:$A$3691='(2018-19)'!$A$2)*(raw!$B$2:$B$3691='(2018-19)'!$A37)*(raw!$E$2:$E$3691='(2018-19)'!$V$6)*(raw!$F$2:$F$3691='(2018-19)'!W$7)*(raw!$G$2:$G$3691))</f>
        <v>6</v>
      </c>
      <c r="X37" s="19" t="s">
        <v>188</v>
      </c>
      <c r="Y37" s="15">
        <f t="shared" si="4"/>
        <v>0.33333333333333331</v>
      </c>
      <c r="Z37" s="19"/>
      <c r="AA37" s="14">
        <f t="shared" si="8"/>
        <v>78</v>
      </c>
      <c r="AB37" s="14">
        <f t="shared" si="9"/>
        <v>15</v>
      </c>
      <c r="AC37" s="19" t="s">
        <v>188</v>
      </c>
      <c r="AD37" s="15">
        <f t="shared" si="5"/>
        <v>0.16129032258064516</v>
      </c>
      <c r="AE37" s="16"/>
      <c r="AF37" s="16"/>
      <c r="AG37" s="16"/>
      <c r="AH37" s="16"/>
      <c r="AI37" s="16"/>
      <c r="AJ37" s="16"/>
      <c r="AK37" s="16"/>
      <c r="AL37" s="16"/>
      <c r="AM37" s="16"/>
    </row>
    <row r="38" spans="1:39" s="6" customFormat="1" ht="15" customHeight="1" x14ac:dyDescent="0.3">
      <c r="A38" s="6" t="s">
        <v>40</v>
      </c>
      <c r="B38" s="19">
        <f>SUMPRODUCT((raw!$A$2:$A$3691='(2018-19)'!$A$2)*(raw!$B$2:$B$3691='(2018-19)'!$A38)*(raw!$E$2:$E$3691='(2018-19)'!$B$6:$E$6)*(raw!$F$2:$F$3691='(2018-19)'!B$7)*(raw!$G$2:$G$3691))</f>
        <v>7</v>
      </c>
      <c r="C38" s="19">
        <f>SUMPRODUCT((raw!$A$2:$A$3691='(2018-19)'!$A$2)*(raw!$B$2:$B$3691='(2018-19)'!$A38)*(raw!$E$2:$E$3691='(2018-19)'!$B$6:$E$6)*(raw!$F$2:$F$3691='(2018-19)'!C$7)*(raw!$G$2:$G$3691))</f>
        <v>2</v>
      </c>
      <c r="D38" s="19" t="s">
        <v>188</v>
      </c>
      <c r="E38" s="15">
        <f t="shared" si="0"/>
        <v>0.22222222222222221</v>
      </c>
      <c r="F38" s="19"/>
      <c r="G38" s="19">
        <f>SUMPRODUCT((raw!$A$2:$A$3691='(2018-19)'!$A$2)*(raw!$B$2:$B$3691='(2018-19)'!$A38)*(raw!$E$2:$E$3691='(2018-19)'!$G$6)*(raw!$F$2:$F$3691='(2018-19)'!G$7)*(raw!$G$2:$G$3691))</f>
        <v>40</v>
      </c>
      <c r="H38" s="19">
        <f>SUMPRODUCT((raw!$A$2:$A$3691='(2018-19)'!$A$2)*(raw!$B$2:$B$3691='(2018-19)'!$A38)*(raw!$E$2:$E$3691='(2018-19)'!$G$6)*(raw!$F$2:$F$3691='(2018-19)'!H$7)*(raw!$G$2:$G$3691))</f>
        <v>8</v>
      </c>
      <c r="I38" s="19" t="s">
        <v>188</v>
      </c>
      <c r="J38" s="15">
        <f t="shared" si="1"/>
        <v>0.16666666666666666</v>
      </c>
      <c r="K38" s="19"/>
      <c r="L38" s="14">
        <f t="shared" si="6"/>
        <v>47</v>
      </c>
      <c r="M38" s="14">
        <f t="shared" si="7"/>
        <v>10</v>
      </c>
      <c r="N38" s="19" t="s">
        <v>188</v>
      </c>
      <c r="O38" s="15">
        <f t="shared" si="2"/>
        <v>0.17543859649122806</v>
      </c>
      <c r="P38" s="19"/>
      <c r="Q38" s="19">
        <f>SUMPRODUCT((raw!$A$2:$A$3691='(2018-19)'!$A$2)*(raw!$B$2:$B$3691='(2018-19)'!$A38)*(raw!$E$2:$E$3691='(2018-19)'!$Q$6)*(raw!$F$2:$F$3691='(2018-19)'!Q$7)*(raw!$G$2:$G$3691))</f>
        <v>0</v>
      </c>
      <c r="R38" s="19">
        <f>SUMPRODUCT((raw!$A$2:$A$3691='(2018-19)'!$A$2)*(raw!$B$2:$B$3691='(2018-19)'!$A38)*(raw!$E$2:$E$3691='(2018-19)'!$Q$6)*(raw!$F$2:$F$3691='(2018-19)'!R$7)*(raw!$G$2:$G$3691))</f>
        <v>4</v>
      </c>
      <c r="S38" s="19" t="s">
        <v>188</v>
      </c>
      <c r="T38" s="15">
        <f t="shared" si="3"/>
        <v>1</v>
      </c>
      <c r="U38" s="19"/>
      <c r="V38" s="19">
        <f>SUMPRODUCT((raw!$A$2:$A$3691='(2018-19)'!$A$2)*(raw!$B$2:$B$3691='(2018-19)'!$A38)*(raw!$E$2:$E$3691='(2018-19)'!$V$6)*(raw!$F$2:$F$3691='(2018-19)'!V$7)*(raw!$G$2:$G$3691))</f>
        <v>4</v>
      </c>
      <c r="W38" s="19">
        <f>SUMPRODUCT((raw!$A$2:$A$3691='(2018-19)'!$A$2)*(raw!$B$2:$B$3691='(2018-19)'!$A38)*(raw!$E$2:$E$3691='(2018-19)'!$V$6)*(raw!$F$2:$F$3691='(2018-19)'!W$7)*(raw!$G$2:$G$3691))</f>
        <v>5</v>
      </c>
      <c r="X38" s="19" t="s">
        <v>188</v>
      </c>
      <c r="Y38" s="15">
        <f t="shared" si="4"/>
        <v>0.55555555555555558</v>
      </c>
      <c r="Z38" s="19"/>
      <c r="AA38" s="14">
        <f t="shared" si="8"/>
        <v>51</v>
      </c>
      <c r="AB38" s="14">
        <f t="shared" si="9"/>
        <v>19</v>
      </c>
      <c r="AC38" s="19" t="s">
        <v>188</v>
      </c>
      <c r="AD38" s="15">
        <f t="shared" si="5"/>
        <v>0.27142857142857141</v>
      </c>
      <c r="AE38" s="16"/>
      <c r="AF38" s="16"/>
      <c r="AG38" s="16"/>
      <c r="AH38" s="16"/>
      <c r="AI38" s="16"/>
      <c r="AJ38" s="16"/>
      <c r="AK38" s="16"/>
      <c r="AL38" s="16"/>
      <c r="AM38" s="16"/>
    </row>
    <row r="39" spans="1:39" s="6" customFormat="1" ht="15" customHeight="1" x14ac:dyDescent="0.3">
      <c r="A39" s="6" t="s">
        <v>41</v>
      </c>
      <c r="B39" s="19">
        <f>SUMPRODUCT((raw!$A$2:$A$3691='(2018-19)'!$A$2)*(raw!$B$2:$B$3691='(2018-19)'!$A39)*(raw!$E$2:$E$3691='(2018-19)'!$B$6:$E$6)*(raw!$F$2:$F$3691='(2018-19)'!B$7)*(raw!$G$2:$G$3691))</f>
        <v>8</v>
      </c>
      <c r="C39" s="19">
        <f>SUMPRODUCT((raw!$A$2:$A$3691='(2018-19)'!$A$2)*(raw!$B$2:$B$3691='(2018-19)'!$A39)*(raw!$E$2:$E$3691='(2018-19)'!$B$6:$E$6)*(raw!$F$2:$F$3691='(2018-19)'!C$7)*(raw!$G$2:$G$3691))</f>
        <v>1</v>
      </c>
      <c r="D39" s="19" t="s">
        <v>188</v>
      </c>
      <c r="E39" s="15">
        <f t="shared" si="0"/>
        <v>0.1111111111111111</v>
      </c>
      <c r="F39" s="19"/>
      <c r="G39" s="19">
        <f>SUMPRODUCT((raw!$A$2:$A$3691='(2018-19)'!$A$2)*(raw!$B$2:$B$3691='(2018-19)'!$A39)*(raw!$E$2:$E$3691='(2018-19)'!$G$6)*(raw!$F$2:$F$3691='(2018-19)'!G$7)*(raw!$G$2:$G$3691))</f>
        <v>16</v>
      </c>
      <c r="H39" s="19">
        <f>SUMPRODUCT((raw!$A$2:$A$3691='(2018-19)'!$A$2)*(raw!$B$2:$B$3691='(2018-19)'!$A39)*(raw!$E$2:$E$3691='(2018-19)'!$G$6)*(raw!$F$2:$F$3691='(2018-19)'!H$7)*(raw!$G$2:$G$3691))</f>
        <v>3</v>
      </c>
      <c r="I39" s="19" t="s">
        <v>188</v>
      </c>
      <c r="J39" s="15">
        <f t="shared" si="1"/>
        <v>0.15789473684210525</v>
      </c>
      <c r="K39" s="19"/>
      <c r="L39" s="14">
        <f t="shared" si="6"/>
        <v>24</v>
      </c>
      <c r="M39" s="14">
        <f t="shared" si="7"/>
        <v>4</v>
      </c>
      <c r="N39" s="19" t="s">
        <v>188</v>
      </c>
      <c r="O39" s="15">
        <f t="shared" si="2"/>
        <v>0.14285714285714285</v>
      </c>
      <c r="P39" s="19"/>
      <c r="Q39" s="19">
        <f>SUMPRODUCT((raw!$A$2:$A$3691='(2018-19)'!$A$2)*(raw!$B$2:$B$3691='(2018-19)'!$A39)*(raw!$E$2:$E$3691='(2018-19)'!$Q$6)*(raw!$F$2:$F$3691='(2018-19)'!Q$7)*(raw!$G$2:$G$3691))</f>
        <v>0</v>
      </c>
      <c r="R39" s="19">
        <f>SUMPRODUCT((raw!$A$2:$A$3691='(2018-19)'!$A$2)*(raw!$B$2:$B$3691='(2018-19)'!$A39)*(raw!$E$2:$E$3691='(2018-19)'!$Q$6)*(raw!$F$2:$F$3691='(2018-19)'!R$7)*(raw!$G$2:$G$3691))</f>
        <v>0</v>
      </c>
      <c r="S39" s="19" t="s">
        <v>188</v>
      </c>
      <c r="T39" s="15" t="str">
        <f t="shared" si="3"/>
        <v>-</v>
      </c>
      <c r="U39" s="19"/>
      <c r="V39" s="19">
        <f>SUMPRODUCT((raw!$A$2:$A$3691='(2018-19)'!$A$2)*(raw!$B$2:$B$3691='(2018-19)'!$A39)*(raw!$E$2:$E$3691='(2018-19)'!$V$6)*(raw!$F$2:$F$3691='(2018-19)'!V$7)*(raw!$G$2:$G$3691))</f>
        <v>1</v>
      </c>
      <c r="W39" s="19">
        <f>SUMPRODUCT((raw!$A$2:$A$3691='(2018-19)'!$A$2)*(raw!$B$2:$B$3691='(2018-19)'!$A39)*(raw!$E$2:$E$3691='(2018-19)'!$V$6)*(raw!$F$2:$F$3691='(2018-19)'!W$7)*(raw!$G$2:$G$3691))</f>
        <v>0</v>
      </c>
      <c r="X39" s="19" t="s">
        <v>188</v>
      </c>
      <c r="Y39" s="15">
        <f t="shared" si="4"/>
        <v>0</v>
      </c>
      <c r="Z39" s="19"/>
      <c r="AA39" s="14">
        <f t="shared" si="8"/>
        <v>25</v>
      </c>
      <c r="AB39" s="14">
        <f t="shared" si="9"/>
        <v>4</v>
      </c>
      <c r="AC39" s="19" t="s">
        <v>188</v>
      </c>
      <c r="AD39" s="15">
        <f t="shared" si="5"/>
        <v>0.13793103448275862</v>
      </c>
      <c r="AE39" s="16"/>
      <c r="AF39" s="16"/>
      <c r="AG39" s="16"/>
      <c r="AH39" s="16"/>
      <c r="AI39" s="16"/>
      <c r="AJ39" s="16"/>
      <c r="AK39" s="16"/>
      <c r="AL39" s="16"/>
      <c r="AM39" s="16"/>
    </row>
    <row r="40" spans="1:39" s="6" customFormat="1" ht="15" customHeight="1" x14ac:dyDescent="0.3">
      <c r="A40" s="5" t="s">
        <v>42</v>
      </c>
      <c r="B40" s="19">
        <f>SUMPRODUCT((raw!$A$2:$A$3691='(2018-19)'!$A$2)*(raw!$B$2:$B$3691='(2018-19)'!$A40)*(raw!$E$2:$E$3691='(2018-19)'!$B$6:$E$6)*(raw!$F$2:$F$3691='(2018-19)'!B$7)*(raw!$G$2:$G$3691))</f>
        <v>21</v>
      </c>
      <c r="C40" s="19">
        <f>SUMPRODUCT((raw!$A$2:$A$3691='(2018-19)'!$A$2)*(raw!$B$2:$B$3691='(2018-19)'!$A40)*(raw!$E$2:$E$3691='(2018-19)'!$B$6:$E$6)*(raw!$F$2:$F$3691='(2018-19)'!C$7)*(raw!$G$2:$G$3691))</f>
        <v>9</v>
      </c>
      <c r="D40" s="19" t="s">
        <v>188</v>
      </c>
      <c r="E40" s="15">
        <f t="shared" si="0"/>
        <v>0.3</v>
      </c>
      <c r="F40" s="19"/>
      <c r="G40" s="19">
        <f>SUMPRODUCT((raw!$A$2:$A$3691='(2018-19)'!$A$2)*(raw!$B$2:$B$3691='(2018-19)'!$A40)*(raw!$E$2:$E$3691='(2018-19)'!$G$6)*(raw!$F$2:$F$3691='(2018-19)'!G$7)*(raw!$G$2:$G$3691))</f>
        <v>24</v>
      </c>
      <c r="H40" s="19">
        <f>SUMPRODUCT((raw!$A$2:$A$3691='(2018-19)'!$A$2)*(raw!$B$2:$B$3691='(2018-19)'!$A40)*(raw!$E$2:$E$3691='(2018-19)'!$G$6)*(raw!$F$2:$F$3691='(2018-19)'!H$7)*(raw!$G$2:$G$3691))</f>
        <v>1</v>
      </c>
      <c r="I40" s="19" t="s">
        <v>188</v>
      </c>
      <c r="J40" s="15">
        <f t="shared" si="1"/>
        <v>0.04</v>
      </c>
      <c r="K40" s="19"/>
      <c r="L40" s="14">
        <f t="shared" si="6"/>
        <v>45</v>
      </c>
      <c r="M40" s="14">
        <f t="shared" si="7"/>
        <v>10</v>
      </c>
      <c r="N40" s="19" t="s">
        <v>188</v>
      </c>
      <c r="O40" s="15">
        <f t="shared" si="2"/>
        <v>0.18181818181818182</v>
      </c>
      <c r="P40" s="19"/>
      <c r="Q40" s="19">
        <f>SUMPRODUCT((raw!$A$2:$A$3691='(2018-19)'!$A$2)*(raw!$B$2:$B$3691='(2018-19)'!$A40)*(raw!$E$2:$E$3691='(2018-19)'!$Q$6)*(raw!$F$2:$F$3691='(2018-19)'!Q$7)*(raw!$G$2:$G$3691))</f>
        <v>0</v>
      </c>
      <c r="R40" s="19">
        <f>SUMPRODUCT((raw!$A$2:$A$3691='(2018-19)'!$A$2)*(raw!$B$2:$B$3691='(2018-19)'!$A40)*(raw!$E$2:$E$3691='(2018-19)'!$Q$6)*(raw!$F$2:$F$3691='(2018-19)'!R$7)*(raw!$G$2:$G$3691))</f>
        <v>0</v>
      </c>
      <c r="S40" s="19" t="s">
        <v>188</v>
      </c>
      <c r="T40" s="15" t="str">
        <f t="shared" si="3"/>
        <v>-</v>
      </c>
      <c r="U40" s="19"/>
      <c r="V40" s="19">
        <f>SUMPRODUCT((raw!$A$2:$A$3691='(2018-19)'!$A$2)*(raw!$B$2:$B$3691='(2018-19)'!$A40)*(raw!$E$2:$E$3691='(2018-19)'!$V$6)*(raw!$F$2:$F$3691='(2018-19)'!V$7)*(raw!$G$2:$G$3691))</f>
        <v>3</v>
      </c>
      <c r="W40" s="19">
        <f>SUMPRODUCT((raw!$A$2:$A$3691='(2018-19)'!$A$2)*(raw!$B$2:$B$3691='(2018-19)'!$A40)*(raw!$E$2:$E$3691='(2018-19)'!$V$6)*(raw!$F$2:$F$3691='(2018-19)'!W$7)*(raw!$G$2:$G$3691))</f>
        <v>6</v>
      </c>
      <c r="X40" s="19" t="s">
        <v>188</v>
      </c>
      <c r="Y40" s="15">
        <f t="shared" si="4"/>
        <v>0.66666666666666663</v>
      </c>
      <c r="Z40" s="19"/>
      <c r="AA40" s="14">
        <f t="shared" si="8"/>
        <v>48</v>
      </c>
      <c r="AB40" s="14">
        <f t="shared" si="9"/>
        <v>16</v>
      </c>
      <c r="AC40" s="19" t="s">
        <v>188</v>
      </c>
      <c r="AD40" s="15">
        <f t="shared" si="5"/>
        <v>0.25</v>
      </c>
      <c r="AE40" s="16"/>
      <c r="AF40" s="16"/>
      <c r="AG40" s="16"/>
      <c r="AH40" s="16"/>
      <c r="AI40" s="16"/>
      <c r="AJ40" s="16"/>
      <c r="AK40" s="16"/>
      <c r="AL40" s="16"/>
      <c r="AM40" s="16"/>
    </row>
    <row r="41" spans="1:39" s="6" customFormat="1" ht="15" customHeight="1" x14ac:dyDescent="0.3">
      <c r="A41" s="5" t="s">
        <v>43</v>
      </c>
      <c r="B41" s="19">
        <f>SUMPRODUCT((raw!$A$2:$A$3691='(2018-19)'!$A$2)*(raw!$B$2:$B$3691='(2018-19)'!$A41)*(raw!$E$2:$E$3691='(2018-19)'!$B$6:$E$6)*(raw!$F$2:$F$3691='(2018-19)'!B$7)*(raw!$G$2:$G$3691))</f>
        <v>6</v>
      </c>
      <c r="C41" s="19">
        <f>SUMPRODUCT((raw!$A$2:$A$3691='(2018-19)'!$A$2)*(raw!$B$2:$B$3691='(2018-19)'!$A41)*(raw!$E$2:$E$3691='(2018-19)'!$B$6:$E$6)*(raw!$F$2:$F$3691='(2018-19)'!C$7)*(raw!$G$2:$G$3691))</f>
        <v>2</v>
      </c>
      <c r="D41" s="19" t="s">
        <v>188</v>
      </c>
      <c r="E41" s="15">
        <f t="shared" si="0"/>
        <v>0.25</v>
      </c>
      <c r="F41" s="19"/>
      <c r="G41" s="19">
        <f>SUMPRODUCT((raw!$A$2:$A$3691='(2018-19)'!$A$2)*(raw!$B$2:$B$3691='(2018-19)'!$A41)*(raw!$E$2:$E$3691='(2018-19)'!$G$6)*(raw!$F$2:$F$3691='(2018-19)'!G$7)*(raw!$G$2:$G$3691))</f>
        <v>44</v>
      </c>
      <c r="H41" s="19">
        <f>SUMPRODUCT((raw!$A$2:$A$3691='(2018-19)'!$A$2)*(raw!$B$2:$B$3691='(2018-19)'!$A41)*(raw!$E$2:$E$3691='(2018-19)'!$G$6)*(raw!$F$2:$F$3691='(2018-19)'!H$7)*(raw!$G$2:$G$3691))</f>
        <v>12</v>
      </c>
      <c r="I41" s="19" t="s">
        <v>188</v>
      </c>
      <c r="J41" s="15">
        <f t="shared" si="1"/>
        <v>0.21428571428571427</v>
      </c>
      <c r="K41" s="19"/>
      <c r="L41" s="14">
        <f t="shared" si="6"/>
        <v>50</v>
      </c>
      <c r="M41" s="14">
        <f t="shared" si="7"/>
        <v>14</v>
      </c>
      <c r="N41" s="19" t="s">
        <v>188</v>
      </c>
      <c r="O41" s="15">
        <f t="shared" si="2"/>
        <v>0.21875</v>
      </c>
      <c r="P41" s="19"/>
      <c r="Q41" s="19">
        <f>SUMPRODUCT((raw!$A$2:$A$3691='(2018-19)'!$A$2)*(raw!$B$2:$B$3691='(2018-19)'!$A41)*(raw!$E$2:$E$3691='(2018-19)'!$Q$6)*(raw!$F$2:$F$3691='(2018-19)'!Q$7)*(raw!$G$2:$G$3691))</f>
        <v>0</v>
      </c>
      <c r="R41" s="19">
        <f>SUMPRODUCT((raw!$A$2:$A$3691='(2018-19)'!$A$2)*(raw!$B$2:$B$3691='(2018-19)'!$A41)*(raw!$E$2:$E$3691='(2018-19)'!$Q$6)*(raw!$F$2:$F$3691='(2018-19)'!R$7)*(raw!$G$2:$G$3691))</f>
        <v>0</v>
      </c>
      <c r="S41" s="19" t="s">
        <v>188</v>
      </c>
      <c r="T41" s="15" t="str">
        <f t="shared" si="3"/>
        <v>-</v>
      </c>
      <c r="U41" s="19"/>
      <c r="V41" s="19">
        <f>SUMPRODUCT((raw!$A$2:$A$3691='(2018-19)'!$A$2)*(raw!$B$2:$B$3691='(2018-19)'!$A41)*(raw!$E$2:$E$3691='(2018-19)'!$V$6)*(raw!$F$2:$F$3691='(2018-19)'!V$7)*(raw!$G$2:$G$3691))</f>
        <v>2</v>
      </c>
      <c r="W41" s="19">
        <f>SUMPRODUCT((raw!$A$2:$A$3691='(2018-19)'!$A$2)*(raw!$B$2:$B$3691='(2018-19)'!$A41)*(raw!$E$2:$E$3691='(2018-19)'!$V$6)*(raw!$F$2:$F$3691='(2018-19)'!W$7)*(raw!$G$2:$G$3691))</f>
        <v>7</v>
      </c>
      <c r="X41" s="19" t="s">
        <v>188</v>
      </c>
      <c r="Y41" s="15">
        <f t="shared" si="4"/>
        <v>0.77777777777777779</v>
      </c>
      <c r="Z41" s="19"/>
      <c r="AA41" s="14">
        <f t="shared" si="8"/>
        <v>52</v>
      </c>
      <c r="AB41" s="14">
        <f t="shared" si="9"/>
        <v>21</v>
      </c>
      <c r="AC41" s="19" t="s">
        <v>188</v>
      </c>
      <c r="AD41" s="15">
        <f t="shared" si="5"/>
        <v>0.28767123287671231</v>
      </c>
      <c r="AE41" s="16"/>
      <c r="AF41" s="16"/>
      <c r="AG41" s="16"/>
      <c r="AH41" s="16"/>
      <c r="AI41" s="16"/>
      <c r="AJ41" s="16"/>
      <c r="AK41" s="16"/>
      <c r="AL41" s="16"/>
      <c r="AM41" s="16"/>
    </row>
    <row r="42" spans="1:39" s="6" customFormat="1" ht="15" customHeight="1" x14ac:dyDescent="0.3">
      <c r="A42" s="5" t="s">
        <v>44</v>
      </c>
      <c r="B42" s="19">
        <f>SUMPRODUCT((raw!$A$2:$A$3691='(2018-19)'!$A$2)*(raw!$B$2:$B$3691='(2018-19)'!$A42)*(raw!$E$2:$E$3691='(2018-19)'!$B$6:$E$6)*(raw!$F$2:$F$3691='(2018-19)'!B$7)*(raw!$G$2:$G$3691))</f>
        <v>12</v>
      </c>
      <c r="C42" s="19">
        <f>SUMPRODUCT((raw!$A$2:$A$3691='(2018-19)'!$A$2)*(raw!$B$2:$B$3691='(2018-19)'!$A42)*(raw!$E$2:$E$3691='(2018-19)'!$B$6:$E$6)*(raw!$F$2:$F$3691='(2018-19)'!C$7)*(raw!$G$2:$G$3691))</f>
        <v>0</v>
      </c>
      <c r="D42" s="19" t="s">
        <v>188</v>
      </c>
      <c r="E42" s="15">
        <f t="shared" si="0"/>
        <v>0</v>
      </c>
      <c r="F42" s="19"/>
      <c r="G42" s="19">
        <f>SUMPRODUCT((raw!$A$2:$A$3691='(2018-19)'!$A$2)*(raw!$B$2:$B$3691='(2018-19)'!$A42)*(raw!$E$2:$E$3691='(2018-19)'!$G$6)*(raw!$F$2:$F$3691='(2018-19)'!G$7)*(raw!$G$2:$G$3691))</f>
        <v>23</v>
      </c>
      <c r="H42" s="19">
        <f>SUMPRODUCT((raw!$A$2:$A$3691='(2018-19)'!$A$2)*(raw!$B$2:$B$3691='(2018-19)'!$A42)*(raw!$E$2:$E$3691='(2018-19)'!$G$6)*(raw!$F$2:$F$3691='(2018-19)'!H$7)*(raw!$G$2:$G$3691))</f>
        <v>5</v>
      </c>
      <c r="I42" s="19" t="s">
        <v>188</v>
      </c>
      <c r="J42" s="15">
        <f t="shared" si="1"/>
        <v>0.17857142857142858</v>
      </c>
      <c r="K42" s="19"/>
      <c r="L42" s="14">
        <f t="shared" si="6"/>
        <v>35</v>
      </c>
      <c r="M42" s="14">
        <f t="shared" si="7"/>
        <v>5</v>
      </c>
      <c r="N42" s="19" t="s">
        <v>188</v>
      </c>
      <c r="O42" s="15">
        <f t="shared" si="2"/>
        <v>0.125</v>
      </c>
      <c r="P42" s="19"/>
      <c r="Q42" s="19">
        <f>SUMPRODUCT((raw!$A$2:$A$3691='(2018-19)'!$A$2)*(raw!$B$2:$B$3691='(2018-19)'!$A42)*(raw!$E$2:$E$3691='(2018-19)'!$Q$6)*(raw!$F$2:$F$3691='(2018-19)'!Q$7)*(raw!$G$2:$G$3691))</f>
        <v>0</v>
      </c>
      <c r="R42" s="19">
        <f>SUMPRODUCT((raw!$A$2:$A$3691='(2018-19)'!$A$2)*(raw!$B$2:$B$3691='(2018-19)'!$A42)*(raw!$E$2:$E$3691='(2018-19)'!$Q$6)*(raw!$F$2:$F$3691='(2018-19)'!R$7)*(raw!$G$2:$G$3691))</f>
        <v>2</v>
      </c>
      <c r="S42" s="19" t="s">
        <v>188</v>
      </c>
      <c r="T42" s="15">
        <f t="shared" si="3"/>
        <v>1</v>
      </c>
      <c r="U42" s="19"/>
      <c r="V42" s="19">
        <f>SUMPRODUCT((raw!$A$2:$A$3691='(2018-19)'!$A$2)*(raw!$B$2:$B$3691='(2018-19)'!$A42)*(raw!$E$2:$E$3691='(2018-19)'!$V$6)*(raw!$F$2:$F$3691='(2018-19)'!V$7)*(raw!$G$2:$G$3691))</f>
        <v>4</v>
      </c>
      <c r="W42" s="19">
        <f>SUMPRODUCT((raw!$A$2:$A$3691='(2018-19)'!$A$2)*(raw!$B$2:$B$3691='(2018-19)'!$A42)*(raw!$E$2:$E$3691='(2018-19)'!$V$6)*(raw!$F$2:$F$3691='(2018-19)'!W$7)*(raw!$G$2:$G$3691))</f>
        <v>4</v>
      </c>
      <c r="X42" s="19" t="s">
        <v>188</v>
      </c>
      <c r="Y42" s="15">
        <f t="shared" si="4"/>
        <v>0.5</v>
      </c>
      <c r="Z42" s="19"/>
      <c r="AA42" s="14">
        <f t="shared" si="8"/>
        <v>39</v>
      </c>
      <c r="AB42" s="14">
        <f t="shared" si="9"/>
        <v>11</v>
      </c>
      <c r="AC42" s="19" t="s">
        <v>188</v>
      </c>
      <c r="AD42" s="15">
        <f t="shared" si="5"/>
        <v>0.22</v>
      </c>
      <c r="AE42" s="16"/>
      <c r="AF42" s="16"/>
      <c r="AG42" s="16"/>
      <c r="AH42" s="16"/>
      <c r="AI42" s="16"/>
      <c r="AJ42" s="16"/>
      <c r="AK42" s="16"/>
      <c r="AL42" s="16"/>
      <c r="AM42" s="16"/>
    </row>
    <row r="43" spans="1:39" s="6" customFormat="1" ht="15" customHeight="1" x14ac:dyDescent="0.3">
      <c r="A43" s="5" t="s">
        <v>45</v>
      </c>
      <c r="B43" s="19">
        <f>SUMPRODUCT((raw!$A$2:$A$3691='(2018-19)'!$A$2)*(raw!$B$2:$B$3691='(2018-19)'!$A43)*(raw!$E$2:$E$3691='(2018-19)'!$B$6:$E$6)*(raw!$F$2:$F$3691='(2018-19)'!B$7)*(raw!$G$2:$G$3691))</f>
        <v>11</v>
      </c>
      <c r="C43" s="19">
        <f>SUMPRODUCT((raw!$A$2:$A$3691='(2018-19)'!$A$2)*(raw!$B$2:$B$3691='(2018-19)'!$A43)*(raw!$E$2:$E$3691='(2018-19)'!$B$6:$E$6)*(raw!$F$2:$F$3691='(2018-19)'!C$7)*(raw!$G$2:$G$3691))</f>
        <v>2</v>
      </c>
      <c r="D43" s="19" t="s">
        <v>188</v>
      </c>
      <c r="E43" s="15">
        <f t="shared" si="0"/>
        <v>0.15384615384615385</v>
      </c>
      <c r="F43" s="19"/>
      <c r="G43" s="19">
        <f>SUMPRODUCT((raw!$A$2:$A$3691='(2018-19)'!$A$2)*(raw!$B$2:$B$3691='(2018-19)'!$A43)*(raw!$E$2:$E$3691='(2018-19)'!$G$6)*(raw!$F$2:$F$3691='(2018-19)'!G$7)*(raw!$G$2:$G$3691))</f>
        <v>38</v>
      </c>
      <c r="H43" s="19">
        <f>SUMPRODUCT((raw!$A$2:$A$3691='(2018-19)'!$A$2)*(raw!$B$2:$B$3691='(2018-19)'!$A43)*(raw!$E$2:$E$3691='(2018-19)'!$G$6)*(raw!$F$2:$F$3691='(2018-19)'!H$7)*(raw!$G$2:$G$3691))</f>
        <v>6</v>
      </c>
      <c r="I43" s="19" t="s">
        <v>188</v>
      </c>
      <c r="J43" s="15">
        <f t="shared" si="1"/>
        <v>0.13636363636363635</v>
      </c>
      <c r="K43" s="19"/>
      <c r="L43" s="14">
        <f t="shared" si="6"/>
        <v>49</v>
      </c>
      <c r="M43" s="14">
        <f t="shared" si="7"/>
        <v>8</v>
      </c>
      <c r="N43" s="19" t="s">
        <v>188</v>
      </c>
      <c r="O43" s="15">
        <f t="shared" si="2"/>
        <v>0.14035087719298245</v>
      </c>
      <c r="P43" s="19"/>
      <c r="Q43" s="19">
        <f>SUMPRODUCT((raw!$A$2:$A$3691='(2018-19)'!$A$2)*(raw!$B$2:$B$3691='(2018-19)'!$A43)*(raw!$E$2:$E$3691='(2018-19)'!$Q$6)*(raw!$F$2:$F$3691='(2018-19)'!Q$7)*(raw!$G$2:$G$3691))</f>
        <v>0</v>
      </c>
      <c r="R43" s="19">
        <f>SUMPRODUCT((raw!$A$2:$A$3691='(2018-19)'!$A$2)*(raw!$B$2:$B$3691='(2018-19)'!$A43)*(raw!$E$2:$E$3691='(2018-19)'!$Q$6)*(raw!$F$2:$F$3691='(2018-19)'!R$7)*(raw!$G$2:$G$3691))</f>
        <v>0</v>
      </c>
      <c r="S43" s="19" t="s">
        <v>188</v>
      </c>
      <c r="T43" s="15" t="str">
        <f t="shared" si="3"/>
        <v>-</v>
      </c>
      <c r="U43" s="19"/>
      <c r="V43" s="19">
        <f>SUMPRODUCT((raw!$A$2:$A$3691='(2018-19)'!$A$2)*(raw!$B$2:$B$3691='(2018-19)'!$A43)*(raw!$E$2:$E$3691='(2018-19)'!$V$6)*(raw!$F$2:$F$3691='(2018-19)'!V$7)*(raw!$G$2:$G$3691))</f>
        <v>10</v>
      </c>
      <c r="W43" s="19">
        <f>SUMPRODUCT((raw!$A$2:$A$3691='(2018-19)'!$A$2)*(raw!$B$2:$B$3691='(2018-19)'!$A43)*(raw!$E$2:$E$3691='(2018-19)'!$V$6)*(raw!$F$2:$F$3691='(2018-19)'!W$7)*(raw!$G$2:$G$3691))</f>
        <v>14</v>
      </c>
      <c r="X43" s="19" t="s">
        <v>188</v>
      </c>
      <c r="Y43" s="15">
        <f t="shared" si="4"/>
        <v>0.58333333333333337</v>
      </c>
      <c r="Z43" s="19"/>
      <c r="AA43" s="14">
        <f t="shared" si="8"/>
        <v>59</v>
      </c>
      <c r="AB43" s="14">
        <f t="shared" si="9"/>
        <v>22</v>
      </c>
      <c r="AC43" s="19" t="s">
        <v>188</v>
      </c>
      <c r="AD43" s="15">
        <f t="shared" si="5"/>
        <v>0.27160493827160492</v>
      </c>
      <c r="AE43" s="16"/>
      <c r="AF43" s="16"/>
      <c r="AG43" s="16"/>
      <c r="AH43" s="16"/>
      <c r="AI43" s="16"/>
      <c r="AJ43" s="16"/>
      <c r="AK43" s="16"/>
      <c r="AL43" s="16"/>
      <c r="AM43" s="16"/>
    </row>
    <row r="44" spans="1:39" s="6" customFormat="1" ht="15" customHeight="1" x14ac:dyDescent="0.3">
      <c r="A44" s="5" t="s">
        <v>46</v>
      </c>
      <c r="B44" s="19">
        <f>SUMPRODUCT((raw!$A$2:$A$3691='(2018-19)'!$A$2)*(raw!$B$2:$B$3691='(2018-19)'!$A44)*(raw!$E$2:$E$3691='(2018-19)'!$B$6:$E$6)*(raw!$F$2:$F$3691='(2018-19)'!B$7)*(raw!$G$2:$G$3691))</f>
        <v>7</v>
      </c>
      <c r="C44" s="19">
        <f>SUMPRODUCT((raw!$A$2:$A$3691='(2018-19)'!$A$2)*(raw!$B$2:$B$3691='(2018-19)'!$A44)*(raw!$E$2:$E$3691='(2018-19)'!$B$6:$E$6)*(raw!$F$2:$F$3691='(2018-19)'!C$7)*(raw!$G$2:$G$3691))</f>
        <v>1</v>
      </c>
      <c r="D44" s="19" t="s">
        <v>188</v>
      </c>
      <c r="E44" s="15">
        <f t="shared" si="0"/>
        <v>0.125</v>
      </c>
      <c r="F44" s="19"/>
      <c r="G44" s="19">
        <f>SUMPRODUCT((raw!$A$2:$A$3691='(2018-19)'!$A$2)*(raw!$B$2:$B$3691='(2018-19)'!$A44)*(raw!$E$2:$E$3691='(2018-19)'!$G$6)*(raw!$F$2:$F$3691='(2018-19)'!G$7)*(raw!$G$2:$G$3691))</f>
        <v>36</v>
      </c>
      <c r="H44" s="19">
        <f>SUMPRODUCT((raw!$A$2:$A$3691='(2018-19)'!$A$2)*(raw!$B$2:$B$3691='(2018-19)'!$A44)*(raw!$E$2:$E$3691='(2018-19)'!$G$6)*(raw!$F$2:$F$3691='(2018-19)'!H$7)*(raw!$G$2:$G$3691))</f>
        <v>10</v>
      </c>
      <c r="I44" s="19" t="s">
        <v>188</v>
      </c>
      <c r="J44" s="15">
        <f t="shared" si="1"/>
        <v>0.21739130434782608</v>
      </c>
      <c r="K44" s="19"/>
      <c r="L44" s="14">
        <f t="shared" si="6"/>
        <v>43</v>
      </c>
      <c r="M44" s="14">
        <f t="shared" si="7"/>
        <v>11</v>
      </c>
      <c r="N44" s="19" t="s">
        <v>188</v>
      </c>
      <c r="O44" s="15">
        <f t="shared" si="2"/>
        <v>0.20370370370370369</v>
      </c>
      <c r="P44" s="19"/>
      <c r="Q44" s="19">
        <f>SUMPRODUCT((raw!$A$2:$A$3691='(2018-19)'!$A$2)*(raw!$B$2:$B$3691='(2018-19)'!$A44)*(raw!$E$2:$E$3691='(2018-19)'!$Q$6)*(raw!$F$2:$F$3691='(2018-19)'!Q$7)*(raw!$G$2:$G$3691))</f>
        <v>0</v>
      </c>
      <c r="R44" s="19">
        <f>SUMPRODUCT((raw!$A$2:$A$3691='(2018-19)'!$A$2)*(raw!$B$2:$B$3691='(2018-19)'!$A44)*(raw!$E$2:$E$3691='(2018-19)'!$Q$6)*(raw!$F$2:$F$3691='(2018-19)'!R$7)*(raw!$G$2:$G$3691))</f>
        <v>0</v>
      </c>
      <c r="S44" s="19" t="s">
        <v>188</v>
      </c>
      <c r="T44" s="15" t="str">
        <f t="shared" si="3"/>
        <v>-</v>
      </c>
      <c r="U44" s="19"/>
      <c r="V44" s="19">
        <f>SUMPRODUCT((raw!$A$2:$A$3691='(2018-19)'!$A$2)*(raw!$B$2:$B$3691='(2018-19)'!$A44)*(raw!$E$2:$E$3691='(2018-19)'!$V$6)*(raw!$F$2:$F$3691='(2018-19)'!V$7)*(raw!$G$2:$G$3691))</f>
        <v>5</v>
      </c>
      <c r="W44" s="19">
        <f>SUMPRODUCT((raw!$A$2:$A$3691='(2018-19)'!$A$2)*(raw!$B$2:$B$3691='(2018-19)'!$A44)*(raw!$E$2:$E$3691='(2018-19)'!$V$6)*(raw!$F$2:$F$3691='(2018-19)'!W$7)*(raw!$G$2:$G$3691))</f>
        <v>1</v>
      </c>
      <c r="X44" s="19" t="s">
        <v>188</v>
      </c>
      <c r="Y44" s="15">
        <f t="shared" si="4"/>
        <v>0.16666666666666666</v>
      </c>
      <c r="Z44" s="19"/>
      <c r="AA44" s="14">
        <f t="shared" si="8"/>
        <v>48</v>
      </c>
      <c r="AB44" s="14">
        <f t="shared" si="9"/>
        <v>12</v>
      </c>
      <c r="AC44" s="19" t="s">
        <v>188</v>
      </c>
      <c r="AD44" s="15">
        <f t="shared" si="5"/>
        <v>0.2</v>
      </c>
      <c r="AE44" s="16"/>
      <c r="AF44" s="16"/>
      <c r="AG44" s="16"/>
      <c r="AH44" s="16"/>
      <c r="AI44" s="16"/>
      <c r="AJ44" s="16"/>
      <c r="AK44" s="16"/>
      <c r="AL44" s="16"/>
      <c r="AM44" s="16"/>
    </row>
    <row r="45" spans="1:39" s="6" customFormat="1" ht="15" customHeight="1" x14ac:dyDescent="0.3">
      <c r="A45" s="5" t="s">
        <v>47</v>
      </c>
      <c r="B45" s="19">
        <f>SUMPRODUCT((raw!$A$2:$A$3691='(2018-19)'!$A$2)*(raw!$B$2:$B$3691='(2018-19)'!$A45)*(raw!$E$2:$E$3691='(2018-19)'!$B$6:$E$6)*(raw!$F$2:$F$3691='(2018-19)'!B$7)*(raw!$G$2:$G$3691))</f>
        <v>28</v>
      </c>
      <c r="C45" s="19">
        <f>SUMPRODUCT((raw!$A$2:$A$3691='(2018-19)'!$A$2)*(raw!$B$2:$B$3691='(2018-19)'!$A45)*(raw!$E$2:$E$3691='(2018-19)'!$B$6:$E$6)*(raw!$F$2:$F$3691='(2018-19)'!C$7)*(raw!$G$2:$G$3691))</f>
        <v>2</v>
      </c>
      <c r="D45" s="19" t="s">
        <v>188</v>
      </c>
      <c r="E45" s="15">
        <f t="shared" si="0"/>
        <v>6.6666666666666666E-2</v>
      </c>
      <c r="F45" s="19"/>
      <c r="G45" s="19">
        <f>SUMPRODUCT((raw!$A$2:$A$3691='(2018-19)'!$A$2)*(raw!$B$2:$B$3691='(2018-19)'!$A45)*(raw!$E$2:$E$3691='(2018-19)'!$G$6)*(raw!$F$2:$F$3691='(2018-19)'!G$7)*(raw!$G$2:$G$3691))</f>
        <v>7</v>
      </c>
      <c r="H45" s="19">
        <f>SUMPRODUCT((raw!$A$2:$A$3691='(2018-19)'!$A$2)*(raw!$B$2:$B$3691='(2018-19)'!$A45)*(raw!$E$2:$E$3691='(2018-19)'!$G$6)*(raw!$F$2:$F$3691='(2018-19)'!H$7)*(raw!$G$2:$G$3691))</f>
        <v>0</v>
      </c>
      <c r="I45" s="19" t="s">
        <v>188</v>
      </c>
      <c r="J45" s="15">
        <f t="shared" si="1"/>
        <v>0</v>
      </c>
      <c r="K45" s="19"/>
      <c r="L45" s="14">
        <f t="shared" si="6"/>
        <v>35</v>
      </c>
      <c r="M45" s="14">
        <f t="shared" si="7"/>
        <v>2</v>
      </c>
      <c r="N45" s="19" t="s">
        <v>188</v>
      </c>
      <c r="O45" s="15">
        <f t="shared" si="2"/>
        <v>5.4054054054054057E-2</v>
      </c>
      <c r="P45" s="19"/>
      <c r="Q45" s="19">
        <f>SUMPRODUCT((raw!$A$2:$A$3691='(2018-19)'!$A$2)*(raw!$B$2:$B$3691='(2018-19)'!$A45)*(raw!$E$2:$E$3691='(2018-19)'!$Q$6)*(raw!$F$2:$F$3691='(2018-19)'!Q$7)*(raw!$G$2:$G$3691))</f>
        <v>3</v>
      </c>
      <c r="R45" s="19">
        <f>SUMPRODUCT((raw!$A$2:$A$3691='(2018-19)'!$A$2)*(raw!$B$2:$B$3691='(2018-19)'!$A45)*(raw!$E$2:$E$3691='(2018-19)'!$Q$6)*(raw!$F$2:$F$3691='(2018-19)'!R$7)*(raw!$G$2:$G$3691))</f>
        <v>1</v>
      </c>
      <c r="S45" s="19" t="s">
        <v>188</v>
      </c>
      <c r="T45" s="15">
        <f t="shared" si="3"/>
        <v>0.25</v>
      </c>
      <c r="U45" s="19"/>
      <c r="V45" s="19">
        <f>SUMPRODUCT((raw!$A$2:$A$3691='(2018-19)'!$A$2)*(raw!$B$2:$B$3691='(2018-19)'!$A45)*(raw!$E$2:$E$3691='(2018-19)'!$V$6)*(raw!$F$2:$F$3691='(2018-19)'!V$7)*(raw!$G$2:$G$3691))</f>
        <v>15</v>
      </c>
      <c r="W45" s="19">
        <f>SUMPRODUCT((raw!$A$2:$A$3691='(2018-19)'!$A$2)*(raw!$B$2:$B$3691='(2018-19)'!$A45)*(raw!$E$2:$E$3691='(2018-19)'!$V$6)*(raw!$F$2:$F$3691='(2018-19)'!W$7)*(raw!$G$2:$G$3691))</f>
        <v>1</v>
      </c>
      <c r="X45" s="19" t="s">
        <v>188</v>
      </c>
      <c r="Y45" s="15">
        <f t="shared" si="4"/>
        <v>6.25E-2</v>
      </c>
      <c r="Z45" s="19"/>
      <c r="AA45" s="14">
        <f t="shared" si="8"/>
        <v>53</v>
      </c>
      <c r="AB45" s="14">
        <f t="shared" si="9"/>
        <v>4</v>
      </c>
      <c r="AC45" s="19" t="s">
        <v>188</v>
      </c>
      <c r="AD45" s="15">
        <f t="shared" si="5"/>
        <v>7.0175438596491224E-2</v>
      </c>
      <c r="AE45" s="16"/>
      <c r="AF45" s="16"/>
      <c r="AG45" s="16"/>
      <c r="AH45" s="16"/>
      <c r="AI45" s="16"/>
      <c r="AJ45" s="16"/>
      <c r="AK45" s="16"/>
      <c r="AL45" s="16"/>
      <c r="AM45" s="16"/>
    </row>
    <row r="46" spans="1:39" s="6" customFormat="1" ht="15" customHeight="1" x14ac:dyDescent="0.3">
      <c r="A46" s="5" t="s">
        <v>48</v>
      </c>
      <c r="B46" s="19">
        <f>SUMPRODUCT((raw!$A$2:$A$3691='(2018-19)'!$A$2)*(raw!$B$2:$B$3691='(2018-19)'!$A46)*(raw!$E$2:$E$3691='(2018-19)'!$B$6:$E$6)*(raw!$F$2:$F$3691='(2018-19)'!B$7)*(raw!$G$2:$G$3691))</f>
        <v>13</v>
      </c>
      <c r="C46" s="19">
        <f>SUMPRODUCT((raw!$A$2:$A$3691='(2018-19)'!$A$2)*(raw!$B$2:$B$3691='(2018-19)'!$A46)*(raw!$E$2:$E$3691='(2018-19)'!$B$6:$E$6)*(raw!$F$2:$F$3691='(2018-19)'!C$7)*(raw!$G$2:$G$3691))</f>
        <v>0</v>
      </c>
      <c r="D46" s="19" t="s">
        <v>188</v>
      </c>
      <c r="E46" s="15">
        <f t="shared" si="0"/>
        <v>0</v>
      </c>
      <c r="F46" s="19"/>
      <c r="G46" s="19">
        <f>SUMPRODUCT((raw!$A$2:$A$3691='(2018-19)'!$A$2)*(raw!$B$2:$B$3691='(2018-19)'!$A46)*(raw!$E$2:$E$3691='(2018-19)'!$G$6)*(raw!$F$2:$F$3691='(2018-19)'!G$7)*(raw!$G$2:$G$3691))</f>
        <v>16</v>
      </c>
      <c r="H46" s="19">
        <f>SUMPRODUCT((raw!$A$2:$A$3691='(2018-19)'!$A$2)*(raw!$B$2:$B$3691='(2018-19)'!$A46)*(raw!$E$2:$E$3691='(2018-19)'!$G$6)*(raw!$F$2:$F$3691='(2018-19)'!H$7)*(raw!$G$2:$G$3691))</f>
        <v>3</v>
      </c>
      <c r="I46" s="19" t="s">
        <v>188</v>
      </c>
      <c r="J46" s="15">
        <f t="shared" si="1"/>
        <v>0.15789473684210525</v>
      </c>
      <c r="K46" s="19"/>
      <c r="L46" s="14">
        <f t="shared" si="6"/>
        <v>29</v>
      </c>
      <c r="M46" s="14">
        <f t="shared" si="7"/>
        <v>3</v>
      </c>
      <c r="N46" s="19" t="s">
        <v>188</v>
      </c>
      <c r="O46" s="15">
        <f t="shared" si="2"/>
        <v>9.375E-2</v>
      </c>
      <c r="P46" s="19"/>
      <c r="Q46" s="19">
        <f>SUMPRODUCT((raw!$A$2:$A$3691='(2018-19)'!$A$2)*(raw!$B$2:$B$3691='(2018-19)'!$A46)*(raw!$E$2:$E$3691='(2018-19)'!$Q$6)*(raw!$F$2:$F$3691='(2018-19)'!Q$7)*(raw!$G$2:$G$3691))</f>
        <v>0</v>
      </c>
      <c r="R46" s="19">
        <f>SUMPRODUCT((raw!$A$2:$A$3691='(2018-19)'!$A$2)*(raw!$B$2:$B$3691='(2018-19)'!$A46)*(raw!$E$2:$E$3691='(2018-19)'!$Q$6)*(raw!$F$2:$F$3691='(2018-19)'!R$7)*(raw!$G$2:$G$3691))</f>
        <v>1</v>
      </c>
      <c r="S46" s="19" t="s">
        <v>188</v>
      </c>
      <c r="T46" s="15">
        <f t="shared" si="3"/>
        <v>1</v>
      </c>
      <c r="U46" s="19"/>
      <c r="V46" s="19">
        <f>SUMPRODUCT((raw!$A$2:$A$3691='(2018-19)'!$A$2)*(raw!$B$2:$B$3691='(2018-19)'!$A46)*(raw!$E$2:$E$3691='(2018-19)'!$V$6)*(raw!$F$2:$F$3691='(2018-19)'!V$7)*(raw!$G$2:$G$3691))</f>
        <v>4</v>
      </c>
      <c r="W46" s="19">
        <f>SUMPRODUCT((raw!$A$2:$A$3691='(2018-19)'!$A$2)*(raw!$B$2:$B$3691='(2018-19)'!$A46)*(raw!$E$2:$E$3691='(2018-19)'!$V$6)*(raw!$F$2:$F$3691='(2018-19)'!W$7)*(raw!$G$2:$G$3691))</f>
        <v>9</v>
      </c>
      <c r="X46" s="19" t="s">
        <v>188</v>
      </c>
      <c r="Y46" s="15">
        <f t="shared" si="4"/>
        <v>0.69230769230769229</v>
      </c>
      <c r="Z46" s="19"/>
      <c r="AA46" s="14">
        <f t="shared" si="8"/>
        <v>33</v>
      </c>
      <c r="AB46" s="14">
        <f t="shared" si="9"/>
        <v>13</v>
      </c>
      <c r="AC46" s="19" t="s">
        <v>188</v>
      </c>
      <c r="AD46" s="15">
        <f t="shared" si="5"/>
        <v>0.28260869565217389</v>
      </c>
      <c r="AE46" s="16"/>
      <c r="AF46" s="16"/>
      <c r="AG46" s="16"/>
      <c r="AH46" s="16"/>
      <c r="AI46" s="16"/>
      <c r="AJ46" s="16"/>
      <c r="AK46" s="16"/>
      <c r="AL46" s="16"/>
      <c r="AM46" s="16"/>
    </row>
    <row r="47" spans="1:39" s="6" customFormat="1" ht="15" customHeight="1" x14ac:dyDescent="0.3">
      <c r="A47" s="5" t="s">
        <v>49</v>
      </c>
      <c r="B47" s="19">
        <f>SUMPRODUCT((raw!$A$2:$A$3691='(2018-19)'!$A$2)*(raw!$B$2:$B$3691='(2018-19)'!$A47)*(raw!$E$2:$E$3691='(2018-19)'!$B$6:$E$6)*(raw!$F$2:$F$3691='(2018-19)'!B$7)*(raw!$G$2:$G$3691))</f>
        <v>13</v>
      </c>
      <c r="C47" s="19">
        <f>SUMPRODUCT((raw!$A$2:$A$3691='(2018-19)'!$A$2)*(raw!$B$2:$B$3691='(2018-19)'!$A47)*(raw!$E$2:$E$3691='(2018-19)'!$B$6:$E$6)*(raw!$F$2:$F$3691='(2018-19)'!C$7)*(raw!$G$2:$G$3691))</f>
        <v>4</v>
      </c>
      <c r="D47" s="19" t="s">
        <v>188</v>
      </c>
      <c r="E47" s="15">
        <f t="shared" si="0"/>
        <v>0.23529411764705882</v>
      </c>
      <c r="F47" s="19"/>
      <c r="G47" s="19">
        <f>SUMPRODUCT((raw!$A$2:$A$3691='(2018-19)'!$A$2)*(raw!$B$2:$B$3691='(2018-19)'!$A47)*(raw!$E$2:$E$3691='(2018-19)'!$G$6)*(raw!$F$2:$F$3691='(2018-19)'!G$7)*(raw!$G$2:$G$3691))</f>
        <v>38</v>
      </c>
      <c r="H47" s="19">
        <f>SUMPRODUCT((raw!$A$2:$A$3691='(2018-19)'!$A$2)*(raw!$B$2:$B$3691='(2018-19)'!$A47)*(raw!$E$2:$E$3691='(2018-19)'!$G$6)*(raw!$F$2:$F$3691='(2018-19)'!H$7)*(raw!$G$2:$G$3691))</f>
        <v>4</v>
      </c>
      <c r="I47" s="19" t="s">
        <v>188</v>
      </c>
      <c r="J47" s="15">
        <f t="shared" si="1"/>
        <v>9.5238095238095233E-2</v>
      </c>
      <c r="K47" s="19"/>
      <c r="L47" s="14">
        <f t="shared" si="6"/>
        <v>51</v>
      </c>
      <c r="M47" s="14">
        <f t="shared" si="7"/>
        <v>8</v>
      </c>
      <c r="N47" s="19" t="s">
        <v>188</v>
      </c>
      <c r="O47" s="15">
        <f t="shared" si="2"/>
        <v>0.13559322033898305</v>
      </c>
      <c r="P47" s="19"/>
      <c r="Q47" s="19">
        <f>SUMPRODUCT((raw!$A$2:$A$3691='(2018-19)'!$A$2)*(raw!$B$2:$B$3691='(2018-19)'!$A47)*(raw!$E$2:$E$3691='(2018-19)'!$Q$6)*(raw!$F$2:$F$3691='(2018-19)'!Q$7)*(raw!$G$2:$G$3691))</f>
        <v>0</v>
      </c>
      <c r="R47" s="19">
        <f>SUMPRODUCT((raw!$A$2:$A$3691='(2018-19)'!$A$2)*(raw!$B$2:$B$3691='(2018-19)'!$A47)*(raw!$E$2:$E$3691='(2018-19)'!$Q$6)*(raw!$F$2:$F$3691='(2018-19)'!R$7)*(raw!$G$2:$G$3691))</f>
        <v>0</v>
      </c>
      <c r="S47" s="19" t="s">
        <v>188</v>
      </c>
      <c r="T47" s="15" t="str">
        <f t="shared" si="3"/>
        <v>-</v>
      </c>
      <c r="U47" s="19"/>
      <c r="V47" s="19">
        <f>SUMPRODUCT((raw!$A$2:$A$3691='(2018-19)'!$A$2)*(raw!$B$2:$B$3691='(2018-19)'!$A47)*(raw!$E$2:$E$3691='(2018-19)'!$V$6)*(raw!$F$2:$F$3691='(2018-19)'!V$7)*(raw!$G$2:$G$3691))</f>
        <v>4</v>
      </c>
      <c r="W47" s="19">
        <f>SUMPRODUCT((raw!$A$2:$A$3691='(2018-19)'!$A$2)*(raw!$B$2:$B$3691='(2018-19)'!$A47)*(raw!$E$2:$E$3691='(2018-19)'!$V$6)*(raw!$F$2:$F$3691='(2018-19)'!W$7)*(raw!$G$2:$G$3691))</f>
        <v>7</v>
      </c>
      <c r="X47" s="19" t="s">
        <v>188</v>
      </c>
      <c r="Y47" s="15">
        <f t="shared" si="4"/>
        <v>0.63636363636363635</v>
      </c>
      <c r="Z47" s="19"/>
      <c r="AA47" s="14">
        <f t="shared" si="8"/>
        <v>55</v>
      </c>
      <c r="AB47" s="14">
        <f t="shared" si="9"/>
        <v>15</v>
      </c>
      <c r="AC47" s="19" t="s">
        <v>188</v>
      </c>
      <c r="AD47" s="15">
        <f t="shared" si="5"/>
        <v>0.21428571428571427</v>
      </c>
      <c r="AE47" s="16"/>
      <c r="AF47" s="16"/>
      <c r="AG47" s="16"/>
      <c r="AH47" s="16"/>
      <c r="AI47" s="16"/>
      <c r="AJ47" s="16"/>
      <c r="AK47" s="16"/>
      <c r="AL47" s="16"/>
      <c r="AM47" s="16"/>
    </row>
    <row r="48" spans="1:39" s="6" customFormat="1" ht="15" customHeight="1" x14ac:dyDescent="0.3">
      <c r="A48" s="5" t="s">
        <v>50</v>
      </c>
      <c r="B48" s="19">
        <f>SUMPRODUCT((raw!$A$2:$A$3691='(2018-19)'!$A$2)*(raw!$B$2:$B$3691='(2018-19)'!$A48)*(raw!$E$2:$E$3691='(2018-19)'!$B$6:$E$6)*(raw!$F$2:$F$3691='(2018-19)'!B$7)*(raw!$G$2:$G$3691))</f>
        <v>0</v>
      </c>
      <c r="C48" s="19">
        <f>SUMPRODUCT((raw!$A$2:$A$3691='(2018-19)'!$A$2)*(raw!$B$2:$B$3691='(2018-19)'!$A48)*(raw!$E$2:$E$3691='(2018-19)'!$B$6:$E$6)*(raw!$F$2:$F$3691='(2018-19)'!C$7)*(raw!$G$2:$G$3691))</f>
        <v>0</v>
      </c>
      <c r="D48" s="19" t="s">
        <v>188</v>
      </c>
      <c r="E48" s="15" t="str">
        <f t="shared" si="0"/>
        <v>-</v>
      </c>
      <c r="F48" s="19"/>
      <c r="G48" s="19">
        <f>SUMPRODUCT((raw!$A$2:$A$3691='(2018-19)'!$A$2)*(raw!$B$2:$B$3691='(2018-19)'!$A48)*(raw!$E$2:$E$3691='(2018-19)'!$G$6)*(raw!$F$2:$F$3691='(2018-19)'!G$7)*(raw!$G$2:$G$3691))</f>
        <v>3</v>
      </c>
      <c r="H48" s="19">
        <f>SUMPRODUCT((raw!$A$2:$A$3691='(2018-19)'!$A$2)*(raw!$B$2:$B$3691='(2018-19)'!$A48)*(raw!$E$2:$E$3691='(2018-19)'!$G$6)*(raw!$F$2:$F$3691='(2018-19)'!H$7)*(raw!$G$2:$G$3691))</f>
        <v>0</v>
      </c>
      <c r="I48" s="19" t="s">
        <v>188</v>
      </c>
      <c r="J48" s="15">
        <f t="shared" si="1"/>
        <v>0</v>
      </c>
      <c r="K48" s="19"/>
      <c r="L48" s="14">
        <f t="shared" si="6"/>
        <v>3</v>
      </c>
      <c r="M48" s="14">
        <f t="shared" si="7"/>
        <v>0</v>
      </c>
      <c r="N48" s="19" t="s">
        <v>188</v>
      </c>
      <c r="O48" s="15">
        <f t="shared" si="2"/>
        <v>0</v>
      </c>
      <c r="P48" s="19"/>
      <c r="Q48" s="19">
        <f>SUMPRODUCT((raw!$A$2:$A$3691='(2018-19)'!$A$2)*(raw!$B$2:$B$3691='(2018-19)'!$A48)*(raw!$E$2:$E$3691='(2018-19)'!$Q$6)*(raw!$F$2:$F$3691='(2018-19)'!Q$7)*(raw!$G$2:$G$3691))</f>
        <v>0</v>
      </c>
      <c r="R48" s="19">
        <f>SUMPRODUCT((raw!$A$2:$A$3691='(2018-19)'!$A$2)*(raw!$B$2:$B$3691='(2018-19)'!$A48)*(raw!$E$2:$E$3691='(2018-19)'!$Q$6)*(raw!$F$2:$F$3691='(2018-19)'!R$7)*(raw!$G$2:$G$3691))</f>
        <v>0</v>
      </c>
      <c r="S48" s="19" t="s">
        <v>188</v>
      </c>
      <c r="T48" s="15" t="str">
        <f t="shared" si="3"/>
        <v>-</v>
      </c>
      <c r="U48" s="19"/>
      <c r="V48" s="19">
        <f>SUMPRODUCT((raw!$A$2:$A$3691='(2018-19)'!$A$2)*(raw!$B$2:$B$3691='(2018-19)'!$A48)*(raw!$E$2:$E$3691='(2018-19)'!$V$6)*(raw!$F$2:$F$3691='(2018-19)'!V$7)*(raw!$G$2:$G$3691))</f>
        <v>0</v>
      </c>
      <c r="W48" s="19">
        <f>SUMPRODUCT((raw!$A$2:$A$3691='(2018-19)'!$A$2)*(raw!$B$2:$B$3691='(2018-19)'!$A48)*(raw!$E$2:$E$3691='(2018-19)'!$V$6)*(raw!$F$2:$F$3691='(2018-19)'!W$7)*(raw!$G$2:$G$3691))</f>
        <v>1</v>
      </c>
      <c r="X48" s="19" t="s">
        <v>188</v>
      </c>
      <c r="Y48" s="15">
        <f t="shared" si="4"/>
        <v>1</v>
      </c>
      <c r="Z48" s="19"/>
      <c r="AA48" s="14">
        <f t="shared" si="8"/>
        <v>3</v>
      </c>
      <c r="AB48" s="14">
        <f t="shared" si="9"/>
        <v>1</v>
      </c>
      <c r="AC48" s="19" t="s">
        <v>188</v>
      </c>
      <c r="AD48" s="15">
        <f t="shared" si="5"/>
        <v>0.25</v>
      </c>
      <c r="AE48" s="16"/>
      <c r="AF48" s="16"/>
      <c r="AG48" s="16"/>
      <c r="AH48" s="16"/>
      <c r="AI48" s="16"/>
      <c r="AJ48" s="16"/>
      <c r="AK48" s="16"/>
      <c r="AL48" s="16"/>
      <c r="AM48" s="16"/>
    </row>
    <row r="49" spans="1:39" s="6" customFormat="1" ht="15" customHeight="1" x14ac:dyDescent="0.3">
      <c r="A49" s="22" t="s">
        <v>51</v>
      </c>
      <c r="B49" s="14">
        <f>SUM(B50:B56)</f>
        <v>691</v>
      </c>
      <c r="C49" s="14">
        <f>SUM(C50:C56)</f>
        <v>118</v>
      </c>
      <c r="D49" s="14" t="s">
        <v>188</v>
      </c>
      <c r="E49" s="15">
        <f t="shared" si="0"/>
        <v>0.14585908529048208</v>
      </c>
      <c r="F49" s="14"/>
      <c r="G49" s="14">
        <f>SUM(G50:G56)</f>
        <v>41</v>
      </c>
      <c r="H49" s="14">
        <f>SUM(H50:H56)</f>
        <v>7</v>
      </c>
      <c r="I49" s="14" t="s">
        <v>188</v>
      </c>
      <c r="J49" s="15">
        <f t="shared" si="1"/>
        <v>0.14583333333333334</v>
      </c>
      <c r="K49" s="14"/>
      <c r="L49" s="14">
        <f t="shared" si="6"/>
        <v>732</v>
      </c>
      <c r="M49" s="14">
        <f t="shared" si="7"/>
        <v>125</v>
      </c>
      <c r="N49" s="14" t="s">
        <v>188</v>
      </c>
      <c r="O49" s="15">
        <f t="shared" si="2"/>
        <v>0.14585764294049008</v>
      </c>
      <c r="P49" s="14"/>
      <c r="Q49" s="14">
        <f>SUM(Q50:Q56)</f>
        <v>5</v>
      </c>
      <c r="R49" s="14">
        <f>SUM(R50:R56)</f>
        <v>17</v>
      </c>
      <c r="S49" s="14" t="s">
        <v>188</v>
      </c>
      <c r="T49" s="15">
        <f t="shared" si="3"/>
        <v>0.77272727272727271</v>
      </c>
      <c r="U49" s="14"/>
      <c r="V49" s="14">
        <f>SUM(V50:V56)</f>
        <v>151</v>
      </c>
      <c r="W49" s="14">
        <f>SUM(W50:W56)</f>
        <v>183</v>
      </c>
      <c r="X49" s="14" t="s">
        <v>188</v>
      </c>
      <c r="Y49" s="15">
        <f t="shared" si="4"/>
        <v>0.54790419161676651</v>
      </c>
      <c r="Z49" s="14"/>
      <c r="AA49" s="14">
        <f t="shared" si="8"/>
        <v>888</v>
      </c>
      <c r="AB49" s="14">
        <f t="shared" si="9"/>
        <v>325</v>
      </c>
      <c r="AC49" s="14" t="s">
        <v>188</v>
      </c>
      <c r="AD49" s="15">
        <f t="shared" si="5"/>
        <v>0.26793075020610058</v>
      </c>
      <c r="AE49" s="16"/>
      <c r="AF49" s="16"/>
      <c r="AG49" s="16"/>
      <c r="AH49" s="16"/>
      <c r="AI49" s="16"/>
      <c r="AJ49" s="16"/>
      <c r="AK49" s="16"/>
      <c r="AL49" s="16"/>
      <c r="AM49" s="16"/>
    </row>
    <row r="50" spans="1:39" s="6" customFormat="1" ht="15" customHeight="1" x14ac:dyDescent="0.3">
      <c r="A50" s="5" t="s">
        <v>52</v>
      </c>
      <c r="B50" s="19">
        <f>SUMPRODUCT((raw!$A$2:$A$3691='(2018-19)'!$A$2)*(raw!$B$2:$B$3691='(2018-19)'!$A50)*(raw!$E$2:$E$3691='(2018-19)'!$B$6:$E$6)*(raw!$F$2:$F$3691='(2018-19)'!B$7)*(raw!$G$2:$G$3691))</f>
        <v>106</v>
      </c>
      <c r="C50" s="19">
        <f>SUMPRODUCT((raw!$A$2:$A$3691='(2018-19)'!$A$2)*(raw!$B$2:$B$3691='(2018-19)'!$A50)*(raw!$E$2:$E$3691='(2018-19)'!$B$6:$E$6)*(raw!$F$2:$F$3691='(2018-19)'!C$7)*(raw!$G$2:$G$3691))</f>
        <v>19</v>
      </c>
      <c r="D50" s="19" t="s">
        <v>188</v>
      </c>
      <c r="E50" s="15">
        <f t="shared" si="0"/>
        <v>0.152</v>
      </c>
      <c r="F50" s="19"/>
      <c r="G50" s="19">
        <f>SUMPRODUCT((raw!$A$2:$A$3691='(2018-19)'!$A$2)*(raw!$B$2:$B$3691='(2018-19)'!$A50)*(raw!$E$2:$E$3691='(2018-19)'!$G$6)*(raw!$F$2:$F$3691='(2018-19)'!G$7)*(raw!$G$2:$G$3691))</f>
        <v>0</v>
      </c>
      <c r="H50" s="19">
        <f>SUMPRODUCT((raw!$A$2:$A$3691='(2018-19)'!$A$2)*(raw!$B$2:$B$3691='(2018-19)'!$A50)*(raw!$E$2:$E$3691='(2018-19)'!$G$6)*(raw!$F$2:$F$3691='(2018-19)'!H$7)*(raw!$G$2:$G$3691))</f>
        <v>0</v>
      </c>
      <c r="I50" s="19" t="s">
        <v>188</v>
      </c>
      <c r="J50" s="15" t="str">
        <f t="shared" si="1"/>
        <v>-</v>
      </c>
      <c r="K50" s="19"/>
      <c r="L50" s="14">
        <f t="shared" si="6"/>
        <v>106</v>
      </c>
      <c r="M50" s="14">
        <f t="shared" si="7"/>
        <v>19</v>
      </c>
      <c r="N50" s="19" t="s">
        <v>188</v>
      </c>
      <c r="O50" s="15">
        <f t="shared" si="2"/>
        <v>0.152</v>
      </c>
      <c r="P50" s="19"/>
      <c r="Q50" s="19">
        <f>SUMPRODUCT((raw!$A$2:$A$3691='(2018-19)'!$A$2)*(raw!$B$2:$B$3691='(2018-19)'!$A50)*(raw!$E$2:$E$3691='(2018-19)'!$Q$6)*(raw!$F$2:$F$3691='(2018-19)'!Q$7)*(raw!$G$2:$G$3691))</f>
        <v>0</v>
      </c>
      <c r="R50" s="19">
        <f>SUMPRODUCT((raw!$A$2:$A$3691='(2018-19)'!$A$2)*(raw!$B$2:$B$3691='(2018-19)'!$A50)*(raw!$E$2:$E$3691='(2018-19)'!$Q$6)*(raw!$F$2:$F$3691='(2018-19)'!R$7)*(raw!$G$2:$G$3691))</f>
        <v>0</v>
      </c>
      <c r="S50" s="19" t="s">
        <v>188</v>
      </c>
      <c r="T50" s="15" t="str">
        <f t="shared" si="3"/>
        <v>-</v>
      </c>
      <c r="U50" s="19"/>
      <c r="V50" s="19">
        <f>SUMPRODUCT((raw!$A$2:$A$3691='(2018-19)'!$A$2)*(raw!$B$2:$B$3691='(2018-19)'!$A50)*(raw!$E$2:$E$3691='(2018-19)'!$V$6)*(raw!$F$2:$F$3691='(2018-19)'!V$7)*(raw!$G$2:$G$3691))</f>
        <v>31</v>
      </c>
      <c r="W50" s="19">
        <f>SUMPRODUCT((raw!$A$2:$A$3691='(2018-19)'!$A$2)*(raw!$B$2:$B$3691='(2018-19)'!$A50)*(raw!$E$2:$E$3691='(2018-19)'!$V$6)*(raw!$F$2:$F$3691='(2018-19)'!W$7)*(raw!$G$2:$G$3691))</f>
        <v>28</v>
      </c>
      <c r="X50" s="19" t="s">
        <v>188</v>
      </c>
      <c r="Y50" s="15">
        <f t="shared" si="4"/>
        <v>0.47457627118644069</v>
      </c>
      <c r="Z50" s="19"/>
      <c r="AA50" s="14">
        <f t="shared" si="8"/>
        <v>137</v>
      </c>
      <c r="AB50" s="14">
        <f t="shared" si="9"/>
        <v>47</v>
      </c>
      <c r="AC50" s="19" t="s">
        <v>188</v>
      </c>
      <c r="AD50" s="15">
        <f t="shared" si="5"/>
        <v>0.25543478260869568</v>
      </c>
      <c r="AE50" s="16"/>
      <c r="AF50" s="16"/>
      <c r="AG50" s="16"/>
      <c r="AH50" s="16"/>
      <c r="AI50" s="16"/>
      <c r="AJ50" s="16"/>
      <c r="AK50" s="16"/>
      <c r="AL50" s="16"/>
      <c r="AM50" s="16"/>
    </row>
    <row r="51" spans="1:39" s="6" customFormat="1" ht="15" customHeight="1" x14ac:dyDescent="0.3">
      <c r="A51" s="5" t="s">
        <v>53</v>
      </c>
      <c r="B51" s="19">
        <f>SUMPRODUCT((raw!$A$2:$A$3691='(2018-19)'!$A$2)*(raw!$B$2:$B$3691='(2018-19)'!$A51)*(raw!$E$2:$E$3691='(2018-19)'!$B$6:$E$6)*(raw!$F$2:$F$3691='(2018-19)'!B$7)*(raw!$G$2:$G$3691))</f>
        <v>43</v>
      </c>
      <c r="C51" s="19">
        <f>SUMPRODUCT((raw!$A$2:$A$3691='(2018-19)'!$A$2)*(raw!$B$2:$B$3691='(2018-19)'!$A51)*(raw!$E$2:$E$3691='(2018-19)'!$B$6:$E$6)*(raw!$F$2:$F$3691='(2018-19)'!C$7)*(raw!$G$2:$G$3691))</f>
        <v>8</v>
      </c>
      <c r="D51" s="19" t="s">
        <v>188</v>
      </c>
      <c r="E51" s="15">
        <f t="shared" si="0"/>
        <v>0.15686274509803921</v>
      </c>
      <c r="F51" s="19"/>
      <c r="G51" s="19">
        <f>SUMPRODUCT((raw!$A$2:$A$3691='(2018-19)'!$A$2)*(raw!$B$2:$B$3691='(2018-19)'!$A51)*(raw!$E$2:$E$3691='(2018-19)'!$G$6)*(raw!$F$2:$F$3691='(2018-19)'!G$7)*(raw!$G$2:$G$3691))</f>
        <v>21</v>
      </c>
      <c r="H51" s="19">
        <f>SUMPRODUCT((raw!$A$2:$A$3691='(2018-19)'!$A$2)*(raw!$B$2:$B$3691='(2018-19)'!$A51)*(raw!$E$2:$E$3691='(2018-19)'!$G$6)*(raw!$F$2:$F$3691='(2018-19)'!H$7)*(raw!$G$2:$G$3691))</f>
        <v>4</v>
      </c>
      <c r="I51" s="19" t="s">
        <v>188</v>
      </c>
      <c r="J51" s="15">
        <f t="shared" si="1"/>
        <v>0.16</v>
      </c>
      <c r="K51" s="19"/>
      <c r="L51" s="14">
        <f t="shared" si="6"/>
        <v>64</v>
      </c>
      <c r="M51" s="14">
        <f t="shared" si="7"/>
        <v>12</v>
      </c>
      <c r="N51" s="19" t="s">
        <v>188</v>
      </c>
      <c r="O51" s="15">
        <f t="shared" si="2"/>
        <v>0.15789473684210525</v>
      </c>
      <c r="P51" s="19"/>
      <c r="Q51" s="19">
        <f>SUMPRODUCT((raw!$A$2:$A$3691='(2018-19)'!$A$2)*(raw!$B$2:$B$3691='(2018-19)'!$A51)*(raw!$E$2:$E$3691='(2018-19)'!$Q$6)*(raw!$F$2:$F$3691='(2018-19)'!Q$7)*(raw!$G$2:$G$3691))</f>
        <v>1</v>
      </c>
      <c r="R51" s="19">
        <f>SUMPRODUCT((raw!$A$2:$A$3691='(2018-19)'!$A$2)*(raw!$B$2:$B$3691='(2018-19)'!$A51)*(raw!$E$2:$E$3691='(2018-19)'!$Q$6)*(raw!$F$2:$F$3691='(2018-19)'!R$7)*(raw!$G$2:$G$3691))</f>
        <v>6</v>
      </c>
      <c r="S51" s="19" t="s">
        <v>188</v>
      </c>
      <c r="T51" s="15">
        <f t="shared" si="3"/>
        <v>0.8571428571428571</v>
      </c>
      <c r="U51" s="19"/>
      <c r="V51" s="19">
        <f>SUMPRODUCT((raw!$A$2:$A$3691='(2018-19)'!$A$2)*(raw!$B$2:$B$3691='(2018-19)'!$A51)*(raw!$E$2:$E$3691='(2018-19)'!$V$6)*(raw!$F$2:$F$3691='(2018-19)'!V$7)*(raw!$G$2:$G$3691))</f>
        <v>32</v>
      </c>
      <c r="W51" s="19">
        <f>SUMPRODUCT((raw!$A$2:$A$3691='(2018-19)'!$A$2)*(raw!$B$2:$B$3691='(2018-19)'!$A51)*(raw!$E$2:$E$3691='(2018-19)'!$V$6)*(raw!$F$2:$F$3691='(2018-19)'!W$7)*(raw!$G$2:$G$3691))</f>
        <v>23</v>
      </c>
      <c r="X51" s="19" t="s">
        <v>188</v>
      </c>
      <c r="Y51" s="15">
        <f t="shared" si="4"/>
        <v>0.41818181818181815</v>
      </c>
      <c r="Z51" s="19"/>
      <c r="AA51" s="14">
        <f t="shared" si="8"/>
        <v>97</v>
      </c>
      <c r="AB51" s="14">
        <f t="shared" si="9"/>
        <v>41</v>
      </c>
      <c r="AC51" s="19" t="s">
        <v>188</v>
      </c>
      <c r="AD51" s="15">
        <f t="shared" si="5"/>
        <v>0.29710144927536231</v>
      </c>
      <c r="AE51" s="16"/>
      <c r="AF51" s="16"/>
      <c r="AG51" s="16"/>
      <c r="AH51" s="16"/>
      <c r="AI51" s="16"/>
      <c r="AJ51" s="16"/>
      <c r="AK51" s="16"/>
      <c r="AL51" s="16"/>
      <c r="AM51" s="16"/>
    </row>
    <row r="52" spans="1:39" s="6" customFormat="1" ht="15" customHeight="1" x14ac:dyDescent="0.3">
      <c r="A52" s="5" t="s">
        <v>54</v>
      </c>
      <c r="B52" s="19">
        <f>SUMPRODUCT((raw!$A$2:$A$3691='(2018-19)'!$A$2)*(raw!$B$2:$B$3691='(2018-19)'!$A52)*(raw!$E$2:$E$3691='(2018-19)'!$B$6:$E$6)*(raw!$F$2:$F$3691='(2018-19)'!B$7)*(raw!$G$2:$G$3691))</f>
        <v>20</v>
      </c>
      <c r="C52" s="19">
        <f>SUMPRODUCT((raw!$A$2:$A$3691='(2018-19)'!$A$2)*(raw!$B$2:$B$3691='(2018-19)'!$A52)*(raw!$E$2:$E$3691='(2018-19)'!$B$6:$E$6)*(raw!$F$2:$F$3691='(2018-19)'!C$7)*(raw!$G$2:$G$3691))</f>
        <v>3</v>
      </c>
      <c r="D52" s="19" t="s">
        <v>188</v>
      </c>
      <c r="E52" s="15">
        <f t="shared" si="0"/>
        <v>0.13043478260869565</v>
      </c>
      <c r="F52" s="19"/>
      <c r="G52" s="19">
        <f>SUMPRODUCT((raw!$A$2:$A$3691='(2018-19)'!$A$2)*(raw!$B$2:$B$3691='(2018-19)'!$A52)*(raw!$E$2:$E$3691='(2018-19)'!$G$6)*(raw!$F$2:$F$3691='(2018-19)'!G$7)*(raw!$G$2:$G$3691))</f>
        <v>1</v>
      </c>
      <c r="H52" s="19">
        <f>SUMPRODUCT((raw!$A$2:$A$3691='(2018-19)'!$A$2)*(raw!$B$2:$B$3691='(2018-19)'!$A52)*(raw!$E$2:$E$3691='(2018-19)'!$G$6)*(raw!$F$2:$F$3691='(2018-19)'!H$7)*(raw!$G$2:$G$3691))</f>
        <v>0</v>
      </c>
      <c r="I52" s="19" t="s">
        <v>188</v>
      </c>
      <c r="J52" s="15">
        <f t="shared" si="1"/>
        <v>0</v>
      </c>
      <c r="K52" s="19"/>
      <c r="L52" s="14">
        <f t="shared" si="6"/>
        <v>21</v>
      </c>
      <c r="M52" s="14">
        <f t="shared" si="7"/>
        <v>3</v>
      </c>
      <c r="N52" s="19" t="s">
        <v>188</v>
      </c>
      <c r="O52" s="15">
        <f t="shared" si="2"/>
        <v>0.125</v>
      </c>
      <c r="P52" s="19"/>
      <c r="Q52" s="19">
        <f>SUMPRODUCT((raw!$A$2:$A$3691='(2018-19)'!$A$2)*(raw!$B$2:$B$3691='(2018-19)'!$A52)*(raw!$E$2:$E$3691='(2018-19)'!$Q$6)*(raw!$F$2:$F$3691='(2018-19)'!Q$7)*(raw!$G$2:$G$3691))</f>
        <v>0</v>
      </c>
      <c r="R52" s="19">
        <f>SUMPRODUCT((raw!$A$2:$A$3691='(2018-19)'!$A$2)*(raw!$B$2:$B$3691='(2018-19)'!$A52)*(raw!$E$2:$E$3691='(2018-19)'!$Q$6)*(raw!$F$2:$F$3691='(2018-19)'!R$7)*(raw!$G$2:$G$3691))</f>
        <v>0</v>
      </c>
      <c r="S52" s="19" t="s">
        <v>188</v>
      </c>
      <c r="T52" s="15" t="str">
        <f t="shared" si="3"/>
        <v>-</v>
      </c>
      <c r="U52" s="19"/>
      <c r="V52" s="19">
        <f>SUMPRODUCT((raw!$A$2:$A$3691='(2018-19)'!$A$2)*(raw!$B$2:$B$3691='(2018-19)'!$A52)*(raw!$E$2:$E$3691='(2018-19)'!$V$6)*(raw!$F$2:$F$3691='(2018-19)'!V$7)*(raw!$G$2:$G$3691))</f>
        <v>8</v>
      </c>
      <c r="W52" s="19">
        <f>SUMPRODUCT((raw!$A$2:$A$3691='(2018-19)'!$A$2)*(raw!$B$2:$B$3691='(2018-19)'!$A52)*(raw!$E$2:$E$3691='(2018-19)'!$V$6)*(raw!$F$2:$F$3691='(2018-19)'!W$7)*(raw!$G$2:$G$3691))</f>
        <v>9</v>
      </c>
      <c r="X52" s="19" t="s">
        <v>188</v>
      </c>
      <c r="Y52" s="15">
        <f t="shared" si="4"/>
        <v>0.52941176470588236</v>
      </c>
      <c r="Z52" s="19"/>
      <c r="AA52" s="14">
        <f t="shared" si="8"/>
        <v>29</v>
      </c>
      <c r="AB52" s="14">
        <f t="shared" si="9"/>
        <v>12</v>
      </c>
      <c r="AC52" s="19" t="s">
        <v>188</v>
      </c>
      <c r="AD52" s="15">
        <f t="shared" si="5"/>
        <v>0.29268292682926828</v>
      </c>
      <c r="AE52" s="16"/>
      <c r="AF52" s="16"/>
      <c r="AG52" s="16"/>
      <c r="AH52" s="16"/>
      <c r="AI52" s="16"/>
      <c r="AJ52" s="16"/>
      <c r="AK52" s="16"/>
      <c r="AL52" s="16"/>
      <c r="AM52" s="16"/>
    </row>
    <row r="53" spans="1:39" s="6" customFormat="1" ht="15" customHeight="1" x14ac:dyDescent="0.3">
      <c r="A53" s="2" t="s">
        <v>55</v>
      </c>
      <c r="B53" s="19">
        <f>SUMPRODUCT((raw!$A$2:$A$3691='(2018-19)'!$A$2)*(raw!$B$2:$B$3691='(2018-19)'!$A53)*(raw!$E$2:$E$3691='(2018-19)'!$B$6:$E$6)*(raw!$F$2:$F$3691='(2018-19)'!B$7)*(raw!$G$2:$G$3691))</f>
        <v>22</v>
      </c>
      <c r="C53" s="19">
        <f>SUMPRODUCT((raw!$A$2:$A$3691='(2018-19)'!$A$2)*(raw!$B$2:$B$3691='(2018-19)'!$A53)*(raw!$E$2:$E$3691='(2018-19)'!$B$6:$E$6)*(raw!$F$2:$F$3691='(2018-19)'!C$7)*(raw!$G$2:$G$3691))</f>
        <v>4</v>
      </c>
      <c r="D53" s="19" t="s">
        <v>188</v>
      </c>
      <c r="E53" s="15">
        <f t="shared" si="0"/>
        <v>0.15384615384615385</v>
      </c>
      <c r="F53" s="19"/>
      <c r="G53" s="19">
        <f>SUMPRODUCT((raw!$A$2:$A$3691='(2018-19)'!$A$2)*(raw!$B$2:$B$3691='(2018-19)'!$A53)*(raw!$E$2:$E$3691='(2018-19)'!$G$6)*(raw!$F$2:$F$3691='(2018-19)'!G$7)*(raw!$G$2:$G$3691))</f>
        <v>0</v>
      </c>
      <c r="H53" s="19">
        <f>SUMPRODUCT((raw!$A$2:$A$3691='(2018-19)'!$A$2)*(raw!$B$2:$B$3691='(2018-19)'!$A53)*(raw!$E$2:$E$3691='(2018-19)'!$G$6)*(raw!$F$2:$F$3691='(2018-19)'!H$7)*(raw!$G$2:$G$3691))</f>
        <v>0</v>
      </c>
      <c r="I53" s="19" t="s">
        <v>188</v>
      </c>
      <c r="J53" s="15" t="str">
        <f t="shared" si="1"/>
        <v>-</v>
      </c>
      <c r="K53" s="19"/>
      <c r="L53" s="14">
        <f t="shared" si="6"/>
        <v>22</v>
      </c>
      <c r="M53" s="14">
        <f t="shared" si="7"/>
        <v>4</v>
      </c>
      <c r="N53" s="19" t="s">
        <v>188</v>
      </c>
      <c r="O53" s="15">
        <f t="shared" si="2"/>
        <v>0.15384615384615385</v>
      </c>
      <c r="P53" s="19"/>
      <c r="Q53" s="19">
        <f>SUMPRODUCT((raw!$A$2:$A$3691='(2018-19)'!$A$2)*(raw!$B$2:$B$3691='(2018-19)'!$A53)*(raw!$E$2:$E$3691='(2018-19)'!$Q$6)*(raw!$F$2:$F$3691='(2018-19)'!Q$7)*(raw!$G$2:$G$3691))</f>
        <v>1</v>
      </c>
      <c r="R53" s="19">
        <f>SUMPRODUCT((raw!$A$2:$A$3691='(2018-19)'!$A$2)*(raw!$B$2:$B$3691='(2018-19)'!$A53)*(raw!$E$2:$E$3691='(2018-19)'!$Q$6)*(raw!$F$2:$F$3691='(2018-19)'!R$7)*(raw!$G$2:$G$3691))</f>
        <v>4</v>
      </c>
      <c r="S53" s="19" t="s">
        <v>188</v>
      </c>
      <c r="T53" s="15">
        <f t="shared" si="3"/>
        <v>0.8</v>
      </c>
      <c r="U53" s="19"/>
      <c r="V53" s="19">
        <f>SUMPRODUCT((raw!$A$2:$A$3691='(2018-19)'!$A$2)*(raw!$B$2:$B$3691='(2018-19)'!$A53)*(raw!$E$2:$E$3691='(2018-19)'!$V$6)*(raw!$F$2:$F$3691='(2018-19)'!V$7)*(raw!$G$2:$G$3691))</f>
        <v>10</v>
      </c>
      <c r="W53" s="19">
        <f>SUMPRODUCT((raw!$A$2:$A$3691='(2018-19)'!$A$2)*(raw!$B$2:$B$3691='(2018-19)'!$A53)*(raw!$E$2:$E$3691='(2018-19)'!$V$6)*(raw!$F$2:$F$3691='(2018-19)'!W$7)*(raw!$G$2:$G$3691))</f>
        <v>21</v>
      </c>
      <c r="X53" s="19" t="s">
        <v>188</v>
      </c>
      <c r="Y53" s="15">
        <f t="shared" si="4"/>
        <v>0.67741935483870963</v>
      </c>
      <c r="Z53" s="19"/>
      <c r="AA53" s="14">
        <f t="shared" si="8"/>
        <v>33</v>
      </c>
      <c r="AB53" s="14">
        <f t="shared" si="9"/>
        <v>29</v>
      </c>
      <c r="AC53" s="19" t="s">
        <v>188</v>
      </c>
      <c r="AD53" s="15">
        <f t="shared" si="5"/>
        <v>0.46774193548387094</v>
      </c>
      <c r="AE53" s="16"/>
      <c r="AF53" s="16"/>
      <c r="AG53" s="16"/>
      <c r="AH53" s="16"/>
      <c r="AI53" s="16"/>
      <c r="AJ53" s="16"/>
      <c r="AK53" s="16"/>
      <c r="AL53" s="16"/>
      <c r="AM53" s="16"/>
    </row>
    <row r="54" spans="1:39" s="6" customFormat="1" ht="15" customHeight="1" x14ac:dyDescent="0.3">
      <c r="A54" s="2" t="s">
        <v>56</v>
      </c>
      <c r="B54" s="19">
        <f>SUMPRODUCT((raw!$A$2:$A$3691='(2018-19)'!$A$2)*(raw!$B$2:$B$3691='(2018-19)'!$A54)*(raw!$E$2:$E$3691='(2018-19)'!$B$6:$E$6)*(raw!$F$2:$F$3691='(2018-19)'!B$7)*(raw!$G$2:$G$3691))</f>
        <v>52</v>
      </c>
      <c r="C54" s="19">
        <f>SUMPRODUCT((raw!$A$2:$A$3691='(2018-19)'!$A$2)*(raw!$B$2:$B$3691='(2018-19)'!$A54)*(raw!$E$2:$E$3691='(2018-19)'!$B$6:$E$6)*(raw!$F$2:$F$3691='(2018-19)'!C$7)*(raw!$G$2:$G$3691))</f>
        <v>38</v>
      </c>
      <c r="D54" s="19" t="s">
        <v>188</v>
      </c>
      <c r="E54" s="15">
        <f t="shared" si="0"/>
        <v>0.42222222222222222</v>
      </c>
      <c r="F54" s="19"/>
      <c r="G54" s="19">
        <f>SUMPRODUCT((raw!$A$2:$A$3691='(2018-19)'!$A$2)*(raw!$B$2:$B$3691='(2018-19)'!$A54)*(raw!$E$2:$E$3691='(2018-19)'!$G$6)*(raw!$F$2:$F$3691='(2018-19)'!G$7)*(raw!$G$2:$G$3691))</f>
        <v>0</v>
      </c>
      <c r="H54" s="19">
        <f>SUMPRODUCT((raw!$A$2:$A$3691='(2018-19)'!$A$2)*(raw!$B$2:$B$3691='(2018-19)'!$A54)*(raw!$E$2:$E$3691='(2018-19)'!$G$6)*(raw!$F$2:$F$3691='(2018-19)'!H$7)*(raw!$G$2:$G$3691))</f>
        <v>0</v>
      </c>
      <c r="I54" s="19" t="s">
        <v>188</v>
      </c>
      <c r="J54" s="15" t="str">
        <f t="shared" si="1"/>
        <v>-</v>
      </c>
      <c r="K54" s="19"/>
      <c r="L54" s="14">
        <f t="shared" si="6"/>
        <v>52</v>
      </c>
      <c r="M54" s="14">
        <f t="shared" si="7"/>
        <v>38</v>
      </c>
      <c r="N54" s="19" t="s">
        <v>188</v>
      </c>
      <c r="O54" s="15">
        <f t="shared" si="2"/>
        <v>0.42222222222222222</v>
      </c>
      <c r="P54" s="19"/>
      <c r="Q54" s="19">
        <f>SUMPRODUCT((raw!$A$2:$A$3691='(2018-19)'!$A$2)*(raw!$B$2:$B$3691='(2018-19)'!$A54)*(raw!$E$2:$E$3691='(2018-19)'!$Q$6)*(raw!$F$2:$F$3691='(2018-19)'!Q$7)*(raw!$G$2:$G$3691))</f>
        <v>0</v>
      </c>
      <c r="R54" s="19">
        <f>SUMPRODUCT((raw!$A$2:$A$3691='(2018-19)'!$A$2)*(raw!$B$2:$B$3691='(2018-19)'!$A54)*(raw!$E$2:$E$3691='(2018-19)'!$Q$6)*(raw!$F$2:$F$3691='(2018-19)'!R$7)*(raw!$G$2:$G$3691))</f>
        <v>0</v>
      </c>
      <c r="S54" s="19" t="s">
        <v>188</v>
      </c>
      <c r="T54" s="15" t="str">
        <f t="shared" si="3"/>
        <v>-</v>
      </c>
      <c r="U54" s="19"/>
      <c r="V54" s="19">
        <f>SUMPRODUCT((raw!$A$2:$A$3691='(2018-19)'!$A$2)*(raw!$B$2:$B$3691='(2018-19)'!$A54)*(raw!$E$2:$E$3691='(2018-19)'!$V$6)*(raw!$F$2:$F$3691='(2018-19)'!V$7)*(raw!$G$2:$G$3691))</f>
        <v>9</v>
      </c>
      <c r="W54" s="19">
        <f>SUMPRODUCT((raw!$A$2:$A$3691='(2018-19)'!$A$2)*(raw!$B$2:$B$3691='(2018-19)'!$A54)*(raw!$E$2:$E$3691='(2018-19)'!$V$6)*(raw!$F$2:$F$3691='(2018-19)'!W$7)*(raw!$G$2:$G$3691))</f>
        <v>11</v>
      </c>
      <c r="X54" s="19" t="s">
        <v>188</v>
      </c>
      <c r="Y54" s="15">
        <f t="shared" si="4"/>
        <v>0.55000000000000004</v>
      </c>
      <c r="Z54" s="19"/>
      <c r="AA54" s="14">
        <f t="shared" si="8"/>
        <v>61</v>
      </c>
      <c r="AB54" s="14">
        <f t="shared" si="9"/>
        <v>49</v>
      </c>
      <c r="AC54" s="19" t="s">
        <v>188</v>
      </c>
      <c r="AD54" s="15">
        <f t="shared" si="5"/>
        <v>0.44545454545454544</v>
      </c>
      <c r="AE54" s="16"/>
      <c r="AF54" s="16"/>
      <c r="AG54" s="16"/>
      <c r="AH54" s="16"/>
      <c r="AI54" s="16"/>
      <c r="AJ54" s="16"/>
      <c r="AK54" s="16"/>
      <c r="AL54" s="16"/>
      <c r="AM54" s="16"/>
    </row>
    <row r="55" spans="1:39" s="6" customFormat="1" ht="15" customHeight="1" x14ac:dyDescent="0.3">
      <c r="A55" s="2" t="s">
        <v>57</v>
      </c>
      <c r="B55" s="19">
        <f>SUMPRODUCT((raw!$A$2:$A$3691='(2018-19)'!$A$2)*(raw!$B$2:$B$3691='(2018-19)'!$A55)*(raw!$E$2:$E$3691='(2018-19)'!$B$6:$E$6)*(raw!$F$2:$F$3691='(2018-19)'!B$7)*(raw!$G$2:$G$3691))</f>
        <v>61</v>
      </c>
      <c r="C55" s="19">
        <f>SUMPRODUCT((raw!$A$2:$A$3691='(2018-19)'!$A$2)*(raw!$B$2:$B$3691='(2018-19)'!$A55)*(raw!$E$2:$E$3691='(2018-19)'!$B$6:$E$6)*(raw!$F$2:$F$3691='(2018-19)'!C$7)*(raw!$G$2:$G$3691))</f>
        <v>5</v>
      </c>
      <c r="D55" s="19" t="s">
        <v>188</v>
      </c>
      <c r="E55" s="15">
        <f t="shared" si="0"/>
        <v>7.575757575757576E-2</v>
      </c>
      <c r="F55" s="19"/>
      <c r="G55" s="19">
        <f>SUMPRODUCT((raw!$A$2:$A$3691='(2018-19)'!$A$2)*(raw!$B$2:$B$3691='(2018-19)'!$A55)*(raw!$E$2:$E$3691='(2018-19)'!$G$6)*(raw!$F$2:$F$3691='(2018-19)'!G$7)*(raw!$G$2:$G$3691))</f>
        <v>19</v>
      </c>
      <c r="H55" s="19">
        <f>SUMPRODUCT((raw!$A$2:$A$3691='(2018-19)'!$A$2)*(raw!$B$2:$B$3691='(2018-19)'!$A55)*(raw!$E$2:$E$3691='(2018-19)'!$G$6)*(raw!$F$2:$F$3691='(2018-19)'!H$7)*(raw!$G$2:$G$3691))</f>
        <v>3</v>
      </c>
      <c r="I55" s="19" t="s">
        <v>188</v>
      </c>
      <c r="J55" s="15">
        <f t="shared" si="1"/>
        <v>0.13636363636363635</v>
      </c>
      <c r="K55" s="19"/>
      <c r="L55" s="14">
        <f t="shared" si="6"/>
        <v>80</v>
      </c>
      <c r="M55" s="14">
        <f t="shared" si="7"/>
        <v>8</v>
      </c>
      <c r="N55" s="19" t="s">
        <v>188</v>
      </c>
      <c r="O55" s="15">
        <f t="shared" si="2"/>
        <v>9.0909090909090912E-2</v>
      </c>
      <c r="P55" s="19"/>
      <c r="Q55" s="19">
        <f>SUMPRODUCT((raw!$A$2:$A$3691='(2018-19)'!$A$2)*(raw!$B$2:$B$3691='(2018-19)'!$A55)*(raw!$E$2:$E$3691='(2018-19)'!$Q$6)*(raw!$F$2:$F$3691='(2018-19)'!Q$7)*(raw!$G$2:$G$3691))</f>
        <v>2</v>
      </c>
      <c r="R55" s="19">
        <f>SUMPRODUCT((raw!$A$2:$A$3691='(2018-19)'!$A$2)*(raw!$B$2:$B$3691='(2018-19)'!$A55)*(raw!$E$2:$E$3691='(2018-19)'!$Q$6)*(raw!$F$2:$F$3691='(2018-19)'!R$7)*(raw!$G$2:$G$3691))</f>
        <v>3</v>
      </c>
      <c r="S55" s="19" t="s">
        <v>188</v>
      </c>
      <c r="T55" s="15">
        <f t="shared" si="3"/>
        <v>0.6</v>
      </c>
      <c r="U55" s="19"/>
      <c r="V55" s="19">
        <f>SUMPRODUCT((raw!$A$2:$A$3691='(2018-19)'!$A$2)*(raw!$B$2:$B$3691='(2018-19)'!$A55)*(raw!$E$2:$E$3691='(2018-19)'!$V$6)*(raw!$F$2:$F$3691='(2018-19)'!V$7)*(raw!$G$2:$G$3691))</f>
        <v>19</v>
      </c>
      <c r="W55" s="19">
        <f>SUMPRODUCT((raw!$A$2:$A$3691='(2018-19)'!$A$2)*(raw!$B$2:$B$3691='(2018-19)'!$A55)*(raw!$E$2:$E$3691='(2018-19)'!$V$6)*(raw!$F$2:$F$3691='(2018-19)'!W$7)*(raw!$G$2:$G$3691))</f>
        <v>25</v>
      </c>
      <c r="X55" s="19" t="s">
        <v>188</v>
      </c>
      <c r="Y55" s="15">
        <f t="shared" si="4"/>
        <v>0.56818181818181823</v>
      </c>
      <c r="Z55" s="19"/>
      <c r="AA55" s="14">
        <f t="shared" si="8"/>
        <v>101</v>
      </c>
      <c r="AB55" s="14">
        <f t="shared" si="9"/>
        <v>36</v>
      </c>
      <c r="AC55" s="19" t="s">
        <v>188</v>
      </c>
      <c r="AD55" s="15">
        <f t="shared" si="5"/>
        <v>0.26277372262773724</v>
      </c>
      <c r="AE55" s="16"/>
      <c r="AF55" s="16"/>
      <c r="AG55" s="16"/>
      <c r="AH55" s="16"/>
      <c r="AI55" s="16"/>
      <c r="AJ55" s="16"/>
      <c r="AK55" s="16"/>
      <c r="AL55" s="16"/>
      <c r="AM55" s="16"/>
    </row>
    <row r="56" spans="1:39" s="6" customFormat="1" ht="15" customHeight="1" thickBot="1" x14ac:dyDescent="0.35">
      <c r="A56" s="23" t="s">
        <v>58</v>
      </c>
      <c r="B56" s="24">
        <f>SUMPRODUCT((raw!$A$2:$A$3691='(2018-19)'!$A$2)*(raw!$B$2:$B$3691='(2018-19)'!$A56)*(raw!$E$2:$E$3691='(2018-19)'!$B$6:$E$6)*(raw!$F$2:$F$3691='(2018-19)'!B$7)*(raw!$G$2:$G$3691))</f>
        <v>387</v>
      </c>
      <c r="C56" s="24">
        <f>SUMPRODUCT((raw!$A$2:$A$3691='(2018-19)'!$A$2)*(raw!$B$2:$B$3691='(2018-19)'!$A56)*(raw!$E$2:$E$3691='(2018-19)'!$B$6:$E$6)*(raw!$F$2:$F$3691='(2018-19)'!C$7)*(raw!$G$2:$G$3691))</f>
        <v>41</v>
      </c>
      <c r="D56" s="24" t="s">
        <v>188</v>
      </c>
      <c r="E56" s="26">
        <f t="shared" si="0"/>
        <v>9.5794392523364483E-2</v>
      </c>
      <c r="F56" s="24"/>
      <c r="G56" s="24">
        <f>SUMPRODUCT((raw!$A$2:$A$3691='(2018-19)'!$A$2)*(raw!$B$2:$B$3691='(2018-19)'!$A56)*(raw!$E$2:$E$3691='(2018-19)'!$G$6)*(raw!$F$2:$F$3691='(2018-19)'!G$7)*(raw!$G$2:$G$3691))</f>
        <v>0</v>
      </c>
      <c r="H56" s="24">
        <f>SUMPRODUCT((raw!$A$2:$A$3691='(2018-19)'!$A$2)*(raw!$B$2:$B$3691='(2018-19)'!$A56)*(raw!$E$2:$E$3691='(2018-19)'!$G$6)*(raw!$F$2:$F$3691='(2018-19)'!H$7)*(raw!$G$2:$G$3691))</f>
        <v>0</v>
      </c>
      <c r="I56" s="24" t="s">
        <v>188</v>
      </c>
      <c r="J56" s="26" t="str">
        <f t="shared" si="1"/>
        <v>-</v>
      </c>
      <c r="K56" s="24"/>
      <c r="L56" s="25">
        <f t="shared" si="6"/>
        <v>387</v>
      </c>
      <c r="M56" s="25">
        <f t="shared" si="7"/>
        <v>41</v>
      </c>
      <c r="N56" s="24" t="s">
        <v>188</v>
      </c>
      <c r="O56" s="26">
        <f t="shared" si="2"/>
        <v>9.5794392523364483E-2</v>
      </c>
      <c r="P56" s="24"/>
      <c r="Q56" s="24">
        <f>SUMPRODUCT((raw!$A$2:$A$3691='(2018-19)'!$A$2)*(raw!$B$2:$B$3691='(2018-19)'!$A56)*(raw!$E$2:$E$3691='(2018-19)'!$Q$6)*(raw!$F$2:$F$3691='(2018-19)'!Q$7)*(raw!$G$2:$G$3691))</f>
        <v>1</v>
      </c>
      <c r="R56" s="24">
        <f>SUMPRODUCT((raw!$A$2:$A$3691='(2018-19)'!$A$2)*(raw!$B$2:$B$3691='(2018-19)'!$A56)*(raw!$E$2:$E$3691='(2018-19)'!$Q$6)*(raw!$F$2:$F$3691='(2018-19)'!R$7)*(raw!$G$2:$G$3691))</f>
        <v>4</v>
      </c>
      <c r="S56" s="24" t="s">
        <v>188</v>
      </c>
      <c r="T56" s="26">
        <f t="shared" si="3"/>
        <v>0.8</v>
      </c>
      <c r="U56" s="24"/>
      <c r="V56" s="24">
        <f>SUMPRODUCT((raw!$A$2:$A$3691='(2018-19)'!$A$2)*(raw!$B$2:$B$3691='(2018-19)'!$A56)*(raw!$E$2:$E$3691='(2018-19)'!$V$6)*(raw!$F$2:$F$3691='(2018-19)'!V$7)*(raw!$G$2:$G$3691))</f>
        <v>42</v>
      </c>
      <c r="W56" s="24">
        <f>SUMPRODUCT((raw!$A$2:$A$3691='(2018-19)'!$A$2)*(raw!$B$2:$B$3691='(2018-19)'!$A56)*(raw!$E$2:$E$3691='(2018-19)'!$V$6)*(raw!$F$2:$F$3691='(2018-19)'!W$7)*(raw!$G$2:$G$3691))</f>
        <v>66</v>
      </c>
      <c r="X56" s="24" t="s">
        <v>188</v>
      </c>
      <c r="Y56" s="26">
        <f t="shared" si="4"/>
        <v>0.61111111111111116</v>
      </c>
      <c r="Z56" s="24"/>
      <c r="AA56" s="25">
        <f t="shared" si="8"/>
        <v>430</v>
      </c>
      <c r="AB56" s="25">
        <f t="shared" si="9"/>
        <v>111</v>
      </c>
      <c r="AC56" s="24" t="s">
        <v>188</v>
      </c>
      <c r="AD56" s="26">
        <f t="shared" si="5"/>
        <v>0.20517560073937152</v>
      </c>
      <c r="AE56" s="16"/>
      <c r="AF56" s="16"/>
      <c r="AG56" s="16"/>
      <c r="AH56" s="16"/>
      <c r="AI56" s="16"/>
      <c r="AJ56" s="16"/>
      <c r="AK56" s="16"/>
      <c r="AL56" s="16"/>
      <c r="AM56" s="16"/>
    </row>
    <row r="57" spans="1:39" s="6" customFormat="1" ht="1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6"/>
      <c r="AF57" s="16"/>
      <c r="AG57" s="16"/>
      <c r="AH57" s="16"/>
      <c r="AI57" s="16"/>
      <c r="AJ57" s="16"/>
      <c r="AK57" s="16"/>
      <c r="AL57" s="16"/>
      <c r="AM57" s="16"/>
    </row>
    <row r="58" spans="1:39" x14ac:dyDescent="0.3">
      <c r="A58" s="138" t="s">
        <v>59</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1:39" x14ac:dyDescent="0.3">
      <c r="A59" s="61" t="s">
        <v>69</v>
      </c>
      <c r="B59" s="61"/>
      <c r="C59" s="61"/>
      <c r="D59" s="122"/>
      <c r="E59" s="61"/>
      <c r="F59" s="61"/>
      <c r="G59" s="61"/>
      <c r="H59" s="61"/>
      <c r="I59" s="122"/>
      <c r="J59" s="61"/>
      <c r="K59" s="61"/>
      <c r="L59" s="61"/>
      <c r="M59" s="61"/>
      <c r="N59" s="122"/>
      <c r="O59" s="61"/>
      <c r="P59" s="61"/>
      <c r="Q59" s="61"/>
      <c r="R59" s="61"/>
      <c r="S59" s="122"/>
      <c r="T59" s="61"/>
      <c r="U59" s="61"/>
      <c r="V59" s="61"/>
      <c r="W59" s="61"/>
      <c r="X59" s="122"/>
      <c r="Y59" s="61"/>
      <c r="Z59" s="61"/>
      <c r="AA59" s="61"/>
      <c r="AB59" s="61"/>
      <c r="AC59" s="122"/>
      <c r="AD59" s="61"/>
    </row>
    <row r="60" spans="1:39" x14ac:dyDescent="0.3">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row>
    <row r="61" spans="1:39" x14ac:dyDescent="0.3">
      <c r="A61" s="28" t="s">
        <v>60</v>
      </c>
    </row>
    <row r="62" spans="1:39" x14ac:dyDescent="0.3">
      <c r="A62" s="137" t="s">
        <v>61</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row>
    <row r="64" spans="1:39" x14ac:dyDescent="0.3">
      <c r="A64" s="5" t="s">
        <v>62</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0" x14ac:dyDescent="0.3">
      <c r="A65" s="30" t="s">
        <v>63</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7" spans="1:30" x14ac:dyDescent="0.3">
      <c r="A67" s="138" t="s">
        <v>64</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row>
    <row r="68" spans="1:30" x14ac:dyDescent="0.3">
      <c r="A68" s="30"/>
      <c r="AD68" s="6"/>
    </row>
    <row r="69" spans="1:30" x14ac:dyDescent="0.3">
      <c r="A69" s="5" t="s">
        <v>65</v>
      </c>
      <c r="AD69" s="37" t="s">
        <v>66</v>
      </c>
    </row>
    <row r="70" spans="1:30" x14ac:dyDescent="0.3">
      <c r="A70" s="30" t="s">
        <v>67</v>
      </c>
      <c r="AD70" s="31" t="s">
        <v>68</v>
      </c>
    </row>
  </sheetData>
  <mergeCells count="11">
    <mergeCell ref="A58:AD58"/>
    <mergeCell ref="A60:AD60"/>
    <mergeCell ref="A62:AD62"/>
    <mergeCell ref="A67:AD67"/>
    <mergeCell ref="A1:AD1"/>
    <mergeCell ref="B6:E6"/>
    <mergeCell ref="G6:J6"/>
    <mergeCell ref="L6:O6"/>
    <mergeCell ref="Q6:T6"/>
    <mergeCell ref="V6:Y6"/>
    <mergeCell ref="AA6:AD6"/>
  </mergeCells>
  <hyperlinks>
    <hyperlink ref="A65" r:id="rId1" xr:uid="{2100F6D7-27B1-4304-84B2-EFA20B955A23}"/>
    <hyperlink ref="A70" r:id="rId2" xr:uid="{18638CD7-0B06-498F-8534-0AB16050E4A5}"/>
    <hyperlink ref="AD69" r:id="rId3" xr:uid="{133BAD50-337F-4DBC-9EC6-7C39D38E8040}"/>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5731-BEE3-4ED7-8527-9FFF45EE8C9B}">
  <sheetPr codeName="Sheet10">
    <tabColor rgb="FFFF0000"/>
  </sheetPr>
  <dimension ref="A1:AN70"/>
  <sheetViews>
    <sheetView workbookViewId="0">
      <selection activeCell="D10" sqref="D10"/>
    </sheetView>
  </sheetViews>
  <sheetFormatPr defaultColWidth="9.21875" defaultRowHeight="14.4" x14ac:dyDescent="0.3"/>
  <cols>
    <col min="1" max="1" width="50.77734375" style="5" customWidth="1"/>
    <col min="2" max="4" width="8.77734375" style="5" customWidth="1"/>
    <col min="5" max="5" width="12.77734375" style="5" customWidth="1"/>
    <col min="6" max="6" width="2.77734375" style="5" customWidth="1"/>
    <col min="7" max="9" width="8.77734375" style="5" customWidth="1"/>
    <col min="10" max="10" width="12.77734375" style="5" customWidth="1"/>
    <col min="11" max="11" width="2.77734375" style="5" customWidth="1"/>
    <col min="12" max="14" width="8.77734375" style="5" customWidth="1"/>
    <col min="15" max="15" width="12.77734375" style="5" customWidth="1"/>
    <col min="16" max="16" width="7.77734375" style="5" customWidth="1"/>
    <col min="17" max="19" width="8.77734375" style="5" customWidth="1"/>
    <col min="20" max="20" width="12.77734375" style="5" customWidth="1"/>
    <col min="21" max="21" width="2.77734375" style="5" customWidth="1"/>
    <col min="22" max="24" width="8.77734375" style="5" customWidth="1"/>
    <col min="25" max="25" width="12.77734375" style="5" customWidth="1"/>
    <col min="26" max="26" width="2.77734375" style="5" customWidth="1"/>
    <col min="27" max="29" width="8.77734375" style="5" customWidth="1"/>
    <col min="30" max="30" width="12.77734375" style="5" customWidth="1"/>
    <col min="31" max="16384" width="9.21875" style="5"/>
  </cols>
  <sheetData>
    <row r="1" spans="1:40" s="1" customFormat="1" ht="23.25" customHeight="1" x14ac:dyDescent="0.45">
      <c r="A1" s="139" t="s">
        <v>186</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40" s="4" customFormat="1" x14ac:dyDescent="0.3">
      <c r="A2" s="2">
        <v>2020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35">
      <c r="A6" s="5"/>
      <c r="B6" s="140" t="s">
        <v>87</v>
      </c>
      <c r="C6" s="140"/>
      <c r="D6" s="140"/>
      <c r="E6" s="140"/>
      <c r="F6" s="3"/>
      <c r="G6" s="140" t="s">
        <v>94</v>
      </c>
      <c r="H6" s="140"/>
      <c r="I6" s="140"/>
      <c r="J6" s="140"/>
      <c r="K6" s="3"/>
      <c r="L6" s="141" t="s">
        <v>2</v>
      </c>
      <c r="M6" s="141"/>
      <c r="N6" s="141"/>
      <c r="O6" s="141"/>
      <c r="P6" s="3"/>
      <c r="Q6" s="140" t="s">
        <v>3</v>
      </c>
      <c r="R6" s="140"/>
      <c r="S6" s="140"/>
      <c r="T6" s="140"/>
      <c r="U6" s="3"/>
      <c r="V6" s="140" t="s">
        <v>4</v>
      </c>
      <c r="W6" s="140"/>
      <c r="X6" s="140"/>
      <c r="Y6" s="140"/>
      <c r="Z6" s="3"/>
      <c r="AA6" s="141" t="s">
        <v>5</v>
      </c>
      <c r="AB6" s="141"/>
      <c r="AC6" s="141"/>
      <c r="AD6" s="141"/>
    </row>
    <row r="7" spans="1:40" s="12" customFormat="1" ht="43.8" thickBot="1" x14ac:dyDescent="0.35">
      <c r="A7" s="7" t="s">
        <v>6</v>
      </c>
      <c r="B7" s="76" t="s">
        <v>7</v>
      </c>
      <c r="C7" s="76" t="s">
        <v>8</v>
      </c>
      <c r="D7" s="123" t="s">
        <v>182</v>
      </c>
      <c r="E7" s="9" t="s">
        <v>9</v>
      </c>
      <c r="F7" s="76"/>
      <c r="G7" s="76" t="s">
        <v>7</v>
      </c>
      <c r="H7" s="76" t="s">
        <v>8</v>
      </c>
      <c r="I7" s="123" t="s">
        <v>182</v>
      </c>
      <c r="J7" s="9" t="s">
        <v>9</v>
      </c>
      <c r="K7" s="76"/>
      <c r="L7" s="77" t="s">
        <v>7</v>
      </c>
      <c r="M7" s="77" t="s">
        <v>8</v>
      </c>
      <c r="N7" s="124" t="s">
        <v>182</v>
      </c>
      <c r="O7" s="11" t="s">
        <v>9</v>
      </c>
      <c r="P7" s="76"/>
      <c r="Q7" s="76" t="s">
        <v>7</v>
      </c>
      <c r="R7" s="76" t="s">
        <v>8</v>
      </c>
      <c r="S7" s="123" t="s">
        <v>182</v>
      </c>
      <c r="T7" s="9" t="s">
        <v>9</v>
      </c>
      <c r="U7" s="76"/>
      <c r="V7" s="76" t="s">
        <v>7</v>
      </c>
      <c r="W7" s="76" t="s">
        <v>8</v>
      </c>
      <c r="X7" s="123" t="s">
        <v>182</v>
      </c>
      <c r="Y7" s="9" t="s">
        <v>9</v>
      </c>
      <c r="Z7" s="76"/>
      <c r="AA7" s="77" t="s">
        <v>7</v>
      </c>
      <c r="AB7" s="77" t="s">
        <v>8</v>
      </c>
      <c r="AC7" s="124" t="s">
        <v>182</v>
      </c>
      <c r="AD7" s="11" t="s">
        <v>9</v>
      </c>
    </row>
    <row r="8" spans="1:40" s="6" customFormat="1" ht="15" customHeight="1" x14ac:dyDescent="0.3">
      <c r="A8" s="13" t="s">
        <v>10</v>
      </c>
      <c r="B8" s="14">
        <f>B9+B49</f>
        <v>1047</v>
      </c>
      <c r="C8" s="14">
        <f>C9+C49</f>
        <v>185</v>
      </c>
      <c r="D8" s="14" t="s">
        <v>188</v>
      </c>
      <c r="E8" s="15">
        <f>IF(B8+C8=0,"-",(C8/(B8+C8)))</f>
        <v>0.15016233766233766</v>
      </c>
      <c r="F8" s="14"/>
      <c r="G8" s="14">
        <f>G9+G49</f>
        <v>1436</v>
      </c>
      <c r="H8" s="14">
        <f>H9+H49</f>
        <v>177</v>
      </c>
      <c r="I8" s="14" t="s">
        <v>188</v>
      </c>
      <c r="J8" s="15">
        <f>IF(G8+H8=0,"-",(H8/(G8+H8)))</f>
        <v>0.1097334159950403</v>
      </c>
      <c r="K8" s="14"/>
      <c r="L8" s="14">
        <f>L9+L49</f>
        <v>2483</v>
      </c>
      <c r="M8" s="14">
        <f>M9+M49</f>
        <v>362</v>
      </c>
      <c r="N8" s="14" t="s">
        <v>188</v>
      </c>
      <c r="O8" s="15">
        <f>IF(L8+M8=0,"-",(M8/(L8+M8)))</f>
        <v>0.12724077328646749</v>
      </c>
      <c r="P8" s="14"/>
      <c r="Q8" s="14">
        <f>Q9+Q49</f>
        <v>44</v>
      </c>
      <c r="R8" s="14">
        <f>R9+R49</f>
        <v>75</v>
      </c>
      <c r="S8" s="14" t="s">
        <v>188</v>
      </c>
      <c r="T8" s="15">
        <f>IF(Q8+R8=0,"-",(R8/(Q8+R8)))</f>
        <v>0.63025210084033612</v>
      </c>
      <c r="U8" s="14"/>
      <c r="V8" s="14">
        <f>V9+V49</f>
        <v>482</v>
      </c>
      <c r="W8" s="14">
        <f>W9+W49</f>
        <v>602</v>
      </c>
      <c r="X8" s="14" t="s">
        <v>188</v>
      </c>
      <c r="Y8" s="15">
        <f>IF(V8+W8=0,"-",(W8/(V8+W8)))</f>
        <v>0.55535055350553508</v>
      </c>
      <c r="Z8" s="14"/>
      <c r="AA8" s="14">
        <f>AA9+AA49</f>
        <v>3009</v>
      </c>
      <c r="AB8" s="14">
        <f>AB9+AB49</f>
        <v>1039</v>
      </c>
      <c r="AC8" s="14" t="s">
        <v>188</v>
      </c>
      <c r="AD8" s="15">
        <f>IF(AA8+AB8=0,"-",(AB8/(AA8+AB8)))</f>
        <v>0.25666996047430829</v>
      </c>
      <c r="AE8" s="16"/>
      <c r="AF8" s="16"/>
      <c r="AG8" s="16"/>
      <c r="AH8" s="16"/>
      <c r="AI8" s="16"/>
      <c r="AJ8" s="16"/>
      <c r="AK8" s="16"/>
      <c r="AL8" s="16"/>
      <c r="AM8" s="16"/>
      <c r="AN8" s="17"/>
    </row>
    <row r="9" spans="1:40" s="6" customFormat="1" ht="15" customHeight="1" x14ac:dyDescent="0.3">
      <c r="A9" s="18" t="s">
        <v>11</v>
      </c>
      <c r="B9" s="14">
        <f>SUM(B10:B48)</f>
        <v>581</v>
      </c>
      <c r="C9" s="14">
        <f>SUM(C10:C48)</f>
        <v>85</v>
      </c>
      <c r="D9" s="14" t="s">
        <v>188</v>
      </c>
      <c r="E9" s="15">
        <f t="shared" ref="E9:E56" si="0">IF(B9+C9=0,"-",(C9/(B9+C9)))</f>
        <v>0.12762762762762764</v>
      </c>
      <c r="F9" s="14"/>
      <c r="G9" s="14">
        <f>SUM(G10:G48)</f>
        <v>1369</v>
      </c>
      <c r="H9" s="14">
        <f>SUM(H10:H48)</f>
        <v>165</v>
      </c>
      <c r="I9" s="14" t="s">
        <v>188</v>
      </c>
      <c r="J9" s="15">
        <f t="shared" ref="J9:J56" si="1">IF(G9+H9=0,"-",(H9/(G9+H9)))</f>
        <v>0.1075619295958279</v>
      </c>
      <c r="K9" s="14"/>
      <c r="L9" s="14">
        <f>SUM(L10:L48)</f>
        <v>1950</v>
      </c>
      <c r="M9" s="14">
        <f>SUM(M10:M48)</f>
        <v>250</v>
      </c>
      <c r="N9" s="14" t="s">
        <v>188</v>
      </c>
      <c r="O9" s="15">
        <f t="shared" ref="O9:O56" si="2">IF(L9+M9=0,"-",(M9/(L9+M9)))</f>
        <v>0.11363636363636363</v>
      </c>
      <c r="P9" s="14"/>
      <c r="Q9" s="14">
        <f>SUM(Q10:Q48)</f>
        <v>36</v>
      </c>
      <c r="R9" s="14">
        <f>SUM(R10:R48)</f>
        <v>52</v>
      </c>
      <c r="S9" s="14" t="s">
        <v>188</v>
      </c>
      <c r="T9" s="15">
        <f t="shared" ref="T9:T56" si="3">IF(Q9+R9=0,"-",(R9/(Q9+R9)))</f>
        <v>0.59090909090909094</v>
      </c>
      <c r="U9" s="14"/>
      <c r="V9" s="14">
        <f>SUM(V10:V48)</f>
        <v>365</v>
      </c>
      <c r="W9" s="14">
        <f>SUM(W10:W48)</f>
        <v>473</v>
      </c>
      <c r="X9" s="14" t="s">
        <v>188</v>
      </c>
      <c r="Y9" s="15">
        <f t="shared" ref="Y9:Y56" si="4">IF(V9+W9=0,"-",(W9/(V9+W9)))</f>
        <v>0.56443914081145585</v>
      </c>
      <c r="Z9" s="14"/>
      <c r="AA9" s="14">
        <f>SUM(AA10:AA48)</f>
        <v>2351</v>
      </c>
      <c r="AB9" s="14">
        <f>SUM(AB10:AB48)</f>
        <v>775</v>
      </c>
      <c r="AC9" s="14" t="s">
        <v>188</v>
      </c>
      <c r="AD9" s="15">
        <f t="shared" ref="AD9:AD56" si="5">IF(AA9+AB9=0,"-",(AB9/(AA9+AB9)))</f>
        <v>0.24792066538707613</v>
      </c>
      <c r="AE9" s="16"/>
      <c r="AF9" s="16"/>
      <c r="AG9" s="16"/>
      <c r="AH9" s="16"/>
      <c r="AI9" s="16"/>
      <c r="AJ9" s="16"/>
      <c r="AK9" s="16"/>
      <c r="AL9" s="16"/>
      <c r="AM9" s="16"/>
    </row>
    <row r="10" spans="1:40" s="6" customFormat="1" ht="15" customHeight="1" x14ac:dyDescent="0.3">
      <c r="A10" s="5" t="s">
        <v>12</v>
      </c>
      <c r="B10" s="19">
        <f>SUMPRODUCT((raw!$A$2:$A$3691='(2019-20)'!$A$2)*(raw!$B$2:$B$3691='(2019-20)'!$A10)*(raw!$E$2:$E$3691='(2019-20)'!$B$6:$E$6)*(raw!$F$2:$F$3691='(2019-20)'!B$7)*(raw!$G$2:$G$3691))</f>
        <v>14</v>
      </c>
      <c r="C10" s="19">
        <f>SUMPRODUCT((raw!$A$2:$A$3691='(2019-20)'!$A$2)*(raw!$B$2:$B$3691='(2019-20)'!$A10)*(raw!$E$2:$E$3691='(2019-20)'!$B$6:$E$6)*(raw!$F$2:$F$3691='(2019-20)'!C$7)*(raw!$G$2:$G$3691))</f>
        <v>4</v>
      </c>
      <c r="D10" s="19" t="s">
        <v>188</v>
      </c>
      <c r="E10" s="15">
        <f t="shared" si="0"/>
        <v>0.22222222222222221</v>
      </c>
      <c r="F10" s="19"/>
      <c r="G10" s="19">
        <f>SUMPRODUCT((raw!$A$2:$A$3691='(2019-20)'!$A$2)*(raw!$B$2:$B$3691='(2019-20)'!$A10)*(raw!$E$2:$E$3691='(2019-20)'!$G$6)*(raw!$F$2:$F$3691='(2019-20)'!G$7)*(raw!$G$2:$G$3691))</f>
        <v>24</v>
      </c>
      <c r="H10" s="19">
        <f>SUMPRODUCT((raw!$A$2:$A$3691='(2019-20)'!$A$2)*(raw!$B$2:$B$3691='(2019-20)'!$A10)*(raw!$E$2:$E$3691='(2019-20)'!$G$6)*(raw!$F$2:$F$3691='(2019-20)'!H$7)*(raw!$G$2:$G$3691))</f>
        <v>1</v>
      </c>
      <c r="I10" s="19" t="s">
        <v>188</v>
      </c>
      <c r="J10" s="15">
        <f t="shared" si="1"/>
        <v>0.04</v>
      </c>
      <c r="K10" s="19"/>
      <c r="L10" s="14">
        <f>B10+G10</f>
        <v>38</v>
      </c>
      <c r="M10" s="14">
        <f>C10+H10</f>
        <v>5</v>
      </c>
      <c r="N10" s="19" t="s">
        <v>188</v>
      </c>
      <c r="O10" s="15">
        <f t="shared" si="2"/>
        <v>0.11627906976744186</v>
      </c>
      <c r="P10" s="19"/>
      <c r="Q10" s="19">
        <f>SUMPRODUCT((raw!$A$2:$A$3691='(2019-20)'!$A$2)*(raw!$B$2:$B$3691='(2019-20)'!$A10)*(raw!$E$2:$E$3691='(2019-20)'!$Q$6)*(raw!$F$2:$F$3691='(2019-20)'!Q$7)*(raw!$G$2:$G$3691))</f>
        <v>2</v>
      </c>
      <c r="R10" s="19">
        <f>SUMPRODUCT((raw!$A$2:$A$3691='(2019-20)'!$A$2)*(raw!$B$2:$B$3691='(2019-20)'!$A10)*(raw!$E$2:$E$3691='(2019-20)'!$Q$6)*(raw!$F$2:$F$3691='(2019-20)'!R$7)*(raw!$G$2:$G$3691))</f>
        <v>2</v>
      </c>
      <c r="S10" s="19" t="s">
        <v>188</v>
      </c>
      <c r="T10" s="15">
        <f t="shared" si="3"/>
        <v>0.5</v>
      </c>
      <c r="U10" s="19"/>
      <c r="V10" s="19">
        <f>SUMPRODUCT((raw!$A$2:$A$3691='(2019-20)'!$A$2)*(raw!$B$2:$B$3691='(2019-20)'!$A10)*(raw!$E$2:$E$3691='(2019-20)'!$V$6)*(raw!$F$2:$F$3691='(2019-20)'!V$7)*(raw!$G$2:$G$3691))</f>
        <v>7</v>
      </c>
      <c r="W10" s="19">
        <f>SUMPRODUCT((raw!$A$2:$A$3691='(2019-20)'!$A$2)*(raw!$B$2:$B$3691='(2019-20)'!$A10)*(raw!$E$2:$E$3691='(2019-20)'!$V$6)*(raw!$F$2:$F$3691='(2019-20)'!W$7)*(raw!$G$2:$G$3691))</f>
        <v>24</v>
      </c>
      <c r="X10" s="19" t="s">
        <v>188</v>
      </c>
      <c r="Y10" s="15">
        <f t="shared" si="4"/>
        <v>0.77419354838709675</v>
      </c>
      <c r="Z10" s="19"/>
      <c r="AA10" s="14">
        <f>L10+Q10+V10</f>
        <v>47</v>
      </c>
      <c r="AB10" s="14">
        <f>M10+R10+W10</f>
        <v>31</v>
      </c>
      <c r="AC10" s="19" t="s">
        <v>188</v>
      </c>
      <c r="AD10" s="15">
        <f t="shared" si="5"/>
        <v>0.39743589743589741</v>
      </c>
      <c r="AE10" s="16"/>
      <c r="AF10" s="16"/>
      <c r="AG10" s="16"/>
      <c r="AH10" s="16"/>
      <c r="AI10" s="16"/>
      <c r="AJ10" s="16"/>
      <c r="AK10" s="16"/>
      <c r="AL10" s="16"/>
      <c r="AM10" s="16"/>
    </row>
    <row r="11" spans="1:40" s="6" customFormat="1" ht="15" customHeight="1" x14ac:dyDescent="0.3">
      <c r="A11" s="5" t="s">
        <v>13</v>
      </c>
      <c r="B11" s="19">
        <f>SUMPRODUCT((raw!$A$2:$A$3691='(2019-20)'!$A$2)*(raw!$B$2:$B$3691='(2019-20)'!$A11)*(raw!$E$2:$E$3691='(2019-20)'!$B$6:$E$6)*(raw!$F$2:$F$3691='(2019-20)'!B$7)*(raw!$G$2:$G$3691))</f>
        <v>19</v>
      </c>
      <c r="C11" s="19">
        <f>SUMPRODUCT((raw!$A$2:$A$3691='(2019-20)'!$A$2)*(raw!$B$2:$B$3691='(2019-20)'!$A11)*(raw!$E$2:$E$3691='(2019-20)'!$B$6:$E$6)*(raw!$F$2:$F$3691='(2019-20)'!C$7)*(raw!$G$2:$G$3691))</f>
        <v>2</v>
      </c>
      <c r="D11" s="19" t="s">
        <v>188</v>
      </c>
      <c r="E11" s="15">
        <f t="shared" si="0"/>
        <v>9.5238095238095233E-2</v>
      </c>
      <c r="F11" s="19"/>
      <c r="G11" s="19">
        <f>SUMPRODUCT((raw!$A$2:$A$3691='(2019-20)'!$A$2)*(raw!$B$2:$B$3691='(2019-20)'!$A11)*(raw!$E$2:$E$3691='(2019-20)'!$G$6)*(raw!$F$2:$F$3691='(2019-20)'!G$7)*(raw!$G$2:$G$3691))</f>
        <v>24</v>
      </c>
      <c r="H11" s="19">
        <f>SUMPRODUCT((raw!$A$2:$A$3691='(2019-20)'!$A$2)*(raw!$B$2:$B$3691='(2019-20)'!$A11)*(raw!$E$2:$E$3691='(2019-20)'!$G$6)*(raw!$F$2:$F$3691='(2019-20)'!H$7)*(raw!$G$2:$G$3691))</f>
        <v>2</v>
      </c>
      <c r="I11" s="19" t="s">
        <v>188</v>
      </c>
      <c r="J11" s="15">
        <f t="shared" si="1"/>
        <v>7.6923076923076927E-2</v>
      </c>
      <c r="K11" s="19"/>
      <c r="L11" s="14">
        <f t="shared" ref="L11:L56" si="6">B11+G11</f>
        <v>43</v>
      </c>
      <c r="M11" s="14">
        <f t="shared" ref="M11:M56" si="7">C11+H11</f>
        <v>4</v>
      </c>
      <c r="N11" s="19" t="s">
        <v>188</v>
      </c>
      <c r="O11" s="15">
        <f t="shared" si="2"/>
        <v>8.5106382978723402E-2</v>
      </c>
      <c r="P11" s="19"/>
      <c r="Q11" s="19">
        <f>SUMPRODUCT((raw!$A$2:$A$3691='(2019-20)'!$A$2)*(raw!$B$2:$B$3691='(2019-20)'!$A11)*(raw!$E$2:$E$3691='(2019-20)'!$Q$6)*(raw!$F$2:$F$3691='(2019-20)'!Q$7)*(raw!$G$2:$G$3691))</f>
        <v>1</v>
      </c>
      <c r="R11" s="19">
        <f>SUMPRODUCT((raw!$A$2:$A$3691='(2019-20)'!$A$2)*(raw!$B$2:$B$3691='(2019-20)'!$A11)*(raw!$E$2:$E$3691='(2019-20)'!$Q$6)*(raw!$F$2:$F$3691='(2019-20)'!R$7)*(raw!$G$2:$G$3691))</f>
        <v>2</v>
      </c>
      <c r="S11" s="19" t="s">
        <v>188</v>
      </c>
      <c r="T11" s="15">
        <f t="shared" si="3"/>
        <v>0.66666666666666663</v>
      </c>
      <c r="U11" s="19"/>
      <c r="V11" s="19">
        <f>SUMPRODUCT((raw!$A$2:$A$3691='(2019-20)'!$A$2)*(raw!$B$2:$B$3691='(2019-20)'!$A11)*(raw!$E$2:$E$3691='(2019-20)'!$V$6)*(raw!$F$2:$F$3691='(2019-20)'!V$7)*(raw!$G$2:$G$3691))</f>
        <v>10</v>
      </c>
      <c r="W11" s="19">
        <f>SUMPRODUCT((raw!$A$2:$A$3691='(2019-20)'!$A$2)*(raw!$B$2:$B$3691='(2019-20)'!$A11)*(raw!$E$2:$E$3691='(2019-20)'!$V$6)*(raw!$F$2:$F$3691='(2019-20)'!W$7)*(raw!$G$2:$G$3691))</f>
        <v>10</v>
      </c>
      <c r="X11" s="19" t="s">
        <v>188</v>
      </c>
      <c r="Y11" s="15">
        <f t="shared" si="4"/>
        <v>0.5</v>
      </c>
      <c r="Z11" s="19"/>
      <c r="AA11" s="14">
        <f t="shared" ref="AA11:AA56" si="8">L11+Q11+V11</f>
        <v>54</v>
      </c>
      <c r="AB11" s="14">
        <f t="shared" ref="AB11:AB56" si="9">M11+R11+W11</f>
        <v>16</v>
      </c>
      <c r="AC11" s="19" t="s">
        <v>188</v>
      </c>
      <c r="AD11" s="15">
        <f t="shared" si="5"/>
        <v>0.22857142857142856</v>
      </c>
      <c r="AE11" s="16"/>
      <c r="AF11" s="16"/>
      <c r="AG11" s="16"/>
      <c r="AH11" s="16"/>
      <c r="AI11" s="16"/>
      <c r="AJ11" s="16"/>
      <c r="AK11" s="16"/>
      <c r="AL11" s="16"/>
      <c r="AM11" s="16"/>
    </row>
    <row r="12" spans="1:40" s="6" customFormat="1" ht="15" customHeight="1" x14ac:dyDescent="0.3">
      <c r="A12" s="5" t="s">
        <v>14</v>
      </c>
      <c r="B12" s="19">
        <f>SUMPRODUCT((raw!$A$2:$A$3691='(2019-20)'!$A$2)*(raw!$B$2:$B$3691='(2019-20)'!$A12)*(raw!$E$2:$E$3691='(2019-20)'!$B$6:$E$6)*(raw!$F$2:$F$3691='(2019-20)'!B$7)*(raw!$G$2:$G$3691))</f>
        <v>22</v>
      </c>
      <c r="C12" s="19">
        <f>SUMPRODUCT((raw!$A$2:$A$3691='(2019-20)'!$A$2)*(raw!$B$2:$B$3691='(2019-20)'!$A12)*(raw!$E$2:$E$3691='(2019-20)'!$B$6:$E$6)*(raw!$F$2:$F$3691='(2019-20)'!C$7)*(raw!$G$2:$G$3691))</f>
        <v>1</v>
      </c>
      <c r="D12" s="19" t="s">
        <v>188</v>
      </c>
      <c r="E12" s="15">
        <f t="shared" si="0"/>
        <v>4.3478260869565216E-2</v>
      </c>
      <c r="F12" s="19"/>
      <c r="G12" s="19">
        <f>SUMPRODUCT((raw!$A$2:$A$3691='(2019-20)'!$A$2)*(raw!$B$2:$B$3691='(2019-20)'!$A12)*(raw!$E$2:$E$3691='(2019-20)'!$G$6)*(raw!$F$2:$F$3691='(2019-20)'!G$7)*(raw!$G$2:$G$3691))</f>
        <v>8</v>
      </c>
      <c r="H12" s="19">
        <f>SUMPRODUCT((raw!$A$2:$A$3691='(2019-20)'!$A$2)*(raw!$B$2:$B$3691='(2019-20)'!$A12)*(raw!$E$2:$E$3691='(2019-20)'!$G$6)*(raw!$F$2:$F$3691='(2019-20)'!H$7)*(raw!$G$2:$G$3691))</f>
        <v>5</v>
      </c>
      <c r="I12" s="19" t="s">
        <v>188</v>
      </c>
      <c r="J12" s="15">
        <f t="shared" si="1"/>
        <v>0.38461538461538464</v>
      </c>
      <c r="K12" s="19"/>
      <c r="L12" s="14">
        <f t="shared" si="6"/>
        <v>30</v>
      </c>
      <c r="M12" s="14">
        <f t="shared" si="7"/>
        <v>6</v>
      </c>
      <c r="N12" s="19" t="s">
        <v>188</v>
      </c>
      <c r="O12" s="15">
        <f t="shared" si="2"/>
        <v>0.16666666666666666</v>
      </c>
      <c r="P12" s="19"/>
      <c r="Q12" s="19">
        <f>SUMPRODUCT((raw!$A$2:$A$3691='(2019-20)'!$A$2)*(raw!$B$2:$B$3691='(2019-20)'!$A12)*(raw!$E$2:$E$3691='(2019-20)'!$Q$6)*(raw!$F$2:$F$3691='(2019-20)'!Q$7)*(raw!$G$2:$G$3691))</f>
        <v>1</v>
      </c>
      <c r="R12" s="19">
        <f>SUMPRODUCT((raw!$A$2:$A$3691='(2019-20)'!$A$2)*(raw!$B$2:$B$3691='(2019-20)'!$A12)*(raw!$E$2:$E$3691='(2019-20)'!$Q$6)*(raw!$F$2:$F$3691='(2019-20)'!R$7)*(raw!$G$2:$G$3691))</f>
        <v>2</v>
      </c>
      <c r="S12" s="19" t="s">
        <v>188</v>
      </c>
      <c r="T12" s="15">
        <f t="shared" si="3"/>
        <v>0.66666666666666663</v>
      </c>
      <c r="U12" s="19"/>
      <c r="V12" s="19">
        <f>SUMPRODUCT((raw!$A$2:$A$3691='(2019-20)'!$A$2)*(raw!$B$2:$B$3691='(2019-20)'!$A12)*(raw!$E$2:$E$3691='(2019-20)'!$V$6)*(raw!$F$2:$F$3691='(2019-20)'!V$7)*(raw!$G$2:$G$3691))</f>
        <v>13</v>
      </c>
      <c r="W12" s="19">
        <f>SUMPRODUCT((raw!$A$2:$A$3691='(2019-20)'!$A$2)*(raw!$B$2:$B$3691='(2019-20)'!$A12)*(raw!$E$2:$E$3691='(2019-20)'!$V$6)*(raw!$F$2:$F$3691='(2019-20)'!W$7)*(raw!$G$2:$G$3691))</f>
        <v>15</v>
      </c>
      <c r="X12" s="19" t="s">
        <v>188</v>
      </c>
      <c r="Y12" s="15">
        <f t="shared" si="4"/>
        <v>0.5357142857142857</v>
      </c>
      <c r="Z12" s="19"/>
      <c r="AA12" s="14">
        <f t="shared" si="8"/>
        <v>44</v>
      </c>
      <c r="AB12" s="14">
        <f t="shared" si="9"/>
        <v>23</v>
      </c>
      <c r="AC12" s="19" t="s">
        <v>188</v>
      </c>
      <c r="AD12" s="15">
        <f t="shared" si="5"/>
        <v>0.34328358208955223</v>
      </c>
      <c r="AE12" s="16"/>
      <c r="AF12" s="16"/>
      <c r="AG12" s="16"/>
      <c r="AH12" s="16"/>
      <c r="AI12" s="16"/>
      <c r="AJ12" s="16"/>
      <c r="AK12" s="16"/>
      <c r="AL12" s="16"/>
      <c r="AM12" s="16"/>
    </row>
    <row r="13" spans="1:40" s="6" customFormat="1" ht="15" customHeight="1" x14ac:dyDescent="0.3">
      <c r="A13" s="5" t="s">
        <v>15</v>
      </c>
      <c r="B13" s="19">
        <f>SUMPRODUCT((raw!$A$2:$A$3691='(2019-20)'!$A$2)*(raw!$B$2:$B$3691='(2019-20)'!$A13)*(raw!$E$2:$E$3691='(2019-20)'!$B$6:$E$6)*(raw!$F$2:$F$3691='(2019-20)'!B$7)*(raw!$G$2:$G$3691))</f>
        <v>18</v>
      </c>
      <c r="C13" s="19">
        <f>SUMPRODUCT((raw!$A$2:$A$3691='(2019-20)'!$A$2)*(raw!$B$2:$B$3691='(2019-20)'!$A13)*(raw!$E$2:$E$3691='(2019-20)'!$B$6:$E$6)*(raw!$F$2:$F$3691='(2019-20)'!C$7)*(raw!$G$2:$G$3691))</f>
        <v>3</v>
      </c>
      <c r="D13" s="19" t="s">
        <v>188</v>
      </c>
      <c r="E13" s="15">
        <f t="shared" si="0"/>
        <v>0.14285714285714285</v>
      </c>
      <c r="F13" s="19"/>
      <c r="G13" s="19">
        <f>SUMPRODUCT((raw!$A$2:$A$3691='(2019-20)'!$A$2)*(raw!$B$2:$B$3691='(2019-20)'!$A13)*(raw!$E$2:$E$3691='(2019-20)'!$G$6)*(raw!$F$2:$F$3691='(2019-20)'!G$7)*(raw!$G$2:$G$3691))</f>
        <v>21</v>
      </c>
      <c r="H13" s="19">
        <f>SUMPRODUCT((raw!$A$2:$A$3691='(2019-20)'!$A$2)*(raw!$B$2:$B$3691='(2019-20)'!$A13)*(raw!$E$2:$E$3691='(2019-20)'!$G$6)*(raw!$F$2:$F$3691='(2019-20)'!H$7)*(raw!$G$2:$G$3691))</f>
        <v>0</v>
      </c>
      <c r="I13" s="19" t="s">
        <v>188</v>
      </c>
      <c r="J13" s="15">
        <f t="shared" si="1"/>
        <v>0</v>
      </c>
      <c r="K13" s="19"/>
      <c r="L13" s="14">
        <f t="shared" si="6"/>
        <v>39</v>
      </c>
      <c r="M13" s="14">
        <f t="shared" si="7"/>
        <v>3</v>
      </c>
      <c r="N13" s="19" t="s">
        <v>188</v>
      </c>
      <c r="O13" s="15">
        <f t="shared" si="2"/>
        <v>7.1428571428571425E-2</v>
      </c>
      <c r="P13" s="19"/>
      <c r="Q13" s="19">
        <f>SUMPRODUCT((raw!$A$2:$A$3691='(2019-20)'!$A$2)*(raw!$B$2:$B$3691='(2019-20)'!$A13)*(raw!$E$2:$E$3691='(2019-20)'!$Q$6)*(raw!$F$2:$F$3691='(2019-20)'!Q$7)*(raw!$G$2:$G$3691))</f>
        <v>0</v>
      </c>
      <c r="R13" s="19">
        <f>SUMPRODUCT((raw!$A$2:$A$3691='(2019-20)'!$A$2)*(raw!$B$2:$B$3691='(2019-20)'!$A13)*(raw!$E$2:$E$3691='(2019-20)'!$Q$6)*(raw!$F$2:$F$3691='(2019-20)'!R$7)*(raw!$G$2:$G$3691))</f>
        <v>0</v>
      </c>
      <c r="S13" s="19" t="s">
        <v>188</v>
      </c>
      <c r="T13" s="15" t="str">
        <f t="shared" si="3"/>
        <v>-</v>
      </c>
      <c r="U13" s="19"/>
      <c r="V13" s="19">
        <f>SUMPRODUCT((raw!$A$2:$A$3691='(2019-20)'!$A$2)*(raw!$B$2:$B$3691='(2019-20)'!$A13)*(raw!$E$2:$E$3691='(2019-20)'!$V$6)*(raw!$F$2:$F$3691='(2019-20)'!V$7)*(raw!$G$2:$G$3691))</f>
        <v>13</v>
      </c>
      <c r="W13" s="19">
        <f>SUMPRODUCT((raw!$A$2:$A$3691='(2019-20)'!$A$2)*(raw!$B$2:$B$3691='(2019-20)'!$A13)*(raw!$E$2:$E$3691='(2019-20)'!$V$6)*(raw!$F$2:$F$3691='(2019-20)'!W$7)*(raw!$G$2:$G$3691))</f>
        <v>12</v>
      </c>
      <c r="X13" s="19" t="s">
        <v>188</v>
      </c>
      <c r="Y13" s="15">
        <f t="shared" si="4"/>
        <v>0.48</v>
      </c>
      <c r="Z13" s="19"/>
      <c r="AA13" s="14">
        <f t="shared" si="8"/>
        <v>52</v>
      </c>
      <c r="AB13" s="14">
        <f t="shared" si="9"/>
        <v>15</v>
      </c>
      <c r="AC13" s="19" t="s">
        <v>188</v>
      </c>
      <c r="AD13" s="15">
        <f t="shared" si="5"/>
        <v>0.22388059701492538</v>
      </c>
      <c r="AE13" s="16"/>
      <c r="AF13" s="16"/>
      <c r="AG13" s="16"/>
      <c r="AH13" s="16"/>
      <c r="AI13" s="16"/>
      <c r="AJ13" s="16"/>
      <c r="AK13" s="16"/>
      <c r="AL13" s="16"/>
      <c r="AM13" s="16"/>
    </row>
    <row r="14" spans="1:40" s="6" customFormat="1" ht="15" customHeight="1" x14ac:dyDescent="0.3">
      <c r="A14" s="5" t="s">
        <v>16</v>
      </c>
      <c r="B14" s="19">
        <f>SUMPRODUCT((raw!$A$2:$A$3691='(2019-20)'!$A$2)*(raw!$B$2:$B$3691='(2019-20)'!$A14)*(raw!$E$2:$E$3691='(2019-20)'!$B$6:$E$6)*(raw!$F$2:$F$3691='(2019-20)'!B$7)*(raw!$G$2:$G$3691))</f>
        <v>8</v>
      </c>
      <c r="C14" s="19">
        <f>SUMPRODUCT((raw!$A$2:$A$3691='(2019-20)'!$A$2)*(raw!$B$2:$B$3691='(2019-20)'!$A14)*(raw!$E$2:$E$3691='(2019-20)'!$B$6:$E$6)*(raw!$F$2:$F$3691='(2019-20)'!C$7)*(raw!$G$2:$G$3691))</f>
        <v>0</v>
      </c>
      <c r="D14" s="19" t="s">
        <v>188</v>
      </c>
      <c r="E14" s="15">
        <f t="shared" si="0"/>
        <v>0</v>
      </c>
      <c r="F14" s="19"/>
      <c r="G14" s="19">
        <f>SUMPRODUCT((raw!$A$2:$A$3691='(2019-20)'!$A$2)*(raw!$B$2:$B$3691='(2019-20)'!$A14)*(raw!$E$2:$E$3691='(2019-20)'!$G$6)*(raw!$F$2:$F$3691='(2019-20)'!G$7)*(raw!$G$2:$G$3691))</f>
        <v>30</v>
      </c>
      <c r="H14" s="19">
        <f>SUMPRODUCT((raw!$A$2:$A$3691='(2019-20)'!$A$2)*(raw!$B$2:$B$3691='(2019-20)'!$A14)*(raw!$E$2:$E$3691='(2019-20)'!$G$6)*(raw!$F$2:$F$3691='(2019-20)'!H$7)*(raw!$G$2:$G$3691))</f>
        <v>6</v>
      </c>
      <c r="I14" s="19" t="s">
        <v>188</v>
      </c>
      <c r="J14" s="15">
        <f t="shared" si="1"/>
        <v>0.16666666666666666</v>
      </c>
      <c r="K14" s="19"/>
      <c r="L14" s="14">
        <f t="shared" si="6"/>
        <v>38</v>
      </c>
      <c r="M14" s="14">
        <f t="shared" si="7"/>
        <v>6</v>
      </c>
      <c r="N14" s="19" t="s">
        <v>188</v>
      </c>
      <c r="O14" s="15">
        <f t="shared" si="2"/>
        <v>0.13636363636363635</v>
      </c>
      <c r="P14" s="19"/>
      <c r="Q14" s="19">
        <f>SUMPRODUCT((raw!$A$2:$A$3691='(2019-20)'!$A$2)*(raw!$B$2:$B$3691='(2019-20)'!$A14)*(raw!$E$2:$E$3691='(2019-20)'!$Q$6)*(raw!$F$2:$F$3691='(2019-20)'!Q$7)*(raw!$G$2:$G$3691))</f>
        <v>0</v>
      </c>
      <c r="R14" s="19">
        <f>SUMPRODUCT((raw!$A$2:$A$3691='(2019-20)'!$A$2)*(raw!$B$2:$B$3691='(2019-20)'!$A14)*(raw!$E$2:$E$3691='(2019-20)'!$Q$6)*(raw!$F$2:$F$3691='(2019-20)'!R$7)*(raw!$G$2:$G$3691))</f>
        <v>5</v>
      </c>
      <c r="S14" s="19" t="s">
        <v>188</v>
      </c>
      <c r="T14" s="15">
        <f t="shared" si="3"/>
        <v>1</v>
      </c>
      <c r="U14" s="19"/>
      <c r="V14" s="19">
        <f>SUMPRODUCT((raw!$A$2:$A$3691='(2019-20)'!$A$2)*(raw!$B$2:$B$3691='(2019-20)'!$A14)*(raw!$E$2:$E$3691='(2019-20)'!$V$6)*(raw!$F$2:$F$3691='(2019-20)'!V$7)*(raw!$G$2:$G$3691))</f>
        <v>8</v>
      </c>
      <c r="W14" s="19">
        <f>SUMPRODUCT((raw!$A$2:$A$3691='(2019-20)'!$A$2)*(raw!$B$2:$B$3691='(2019-20)'!$A14)*(raw!$E$2:$E$3691='(2019-20)'!$V$6)*(raw!$F$2:$F$3691='(2019-20)'!W$7)*(raw!$G$2:$G$3691))</f>
        <v>10</v>
      </c>
      <c r="X14" s="19" t="s">
        <v>188</v>
      </c>
      <c r="Y14" s="15">
        <f t="shared" si="4"/>
        <v>0.55555555555555558</v>
      </c>
      <c r="Z14" s="19"/>
      <c r="AA14" s="14">
        <f t="shared" si="8"/>
        <v>46</v>
      </c>
      <c r="AB14" s="14">
        <f t="shared" si="9"/>
        <v>21</v>
      </c>
      <c r="AC14" s="19" t="s">
        <v>188</v>
      </c>
      <c r="AD14" s="15">
        <f t="shared" si="5"/>
        <v>0.31343283582089554</v>
      </c>
      <c r="AE14" s="16"/>
      <c r="AF14" s="16"/>
      <c r="AG14" s="16"/>
      <c r="AH14" s="16"/>
      <c r="AI14" s="16"/>
      <c r="AJ14" s="16"/>
      <c r="AK14" s="16"/>
      <c r="AL14" s="16"/>
      <c r="AM14" s="16"/>
    </row>
    <row r="15" spans="1:40" s="6" customFormat="1" ht="15" customHeight="1" x14ac:dyDescent="0.3">
      <c r="A15" s="5" t="s">
        <v>17</v>
      </c>
      <c r="B15" s="19">
        <f>SUMPRODUCT((raw!$A$2:$A$3691='(2019-20)'!$A$2)*(raw!$B$2:$B$3691='(2019-20)'!$A15)*(raw!$E$2:$E$3691='(2019-20)'!$B$6:$E$6)*(raw!$F$2:$F$3691='(2019-20)'!B$7)*(raw!$G$2:$G$3691))</f>
        <v>21</v>
      </c>
      <c r="C15" s="19">
        <f>SUMPRODUCT((raw!$A$2:$A$3691='(2019-20)'!$A$2)*(raw!$B$2:$B$3691='(2019-20)'!$A15)*(raw!$E$2:$E$3691='(2019-20)'!$B$6:$E$6)*(raw!$F$2:$F$3691='(2019-20)'!C$7)*(raw!$G$2:$G$3691))</f>
        <v>2</v>
      </c>
      <c r="D15" s="19" t="s">
        <v>188</v>
      </c>
      <c r="E15" s="15">
        <f t="shared" si="0"/>
        <v>8.6956521739130432E-2</v>
      </c>
      <c r="F15" s="19"/>
      <c r="G15" s="19">
        <f>SUMPRODUCT((raw!$A$2:$A$3691='(2019-20)'!$A$2)*(raw!$B$2:$B$3691='(2019-20)'!$A15)*(raw!$E$2:$E$3691='(2019-20)'!$G$6)*(raw!$F$2:$F$3691='(2019-20)'!G$7)*(raw!$G$2:$G$3691))</f>
        <v>32</v>
      </c>
      <c r="H15" s="19">
        <f>SUMPRODUCT((raw!$A$2:$A$3691='(2019-20)'!$A$2)*(raw!$B$2:$B$3691='(2019-20)'!$A15)*(raw!$E$2:$E$3691='(2019-20)'!$G$6)*(raw!$F$2:$F$3691='(2019-20)'!H$7)*(raw!$G$2:$G$3691))</f>
        <v>7</v>
      </c>
      <c r="I15" s="19" t="s">
        <v>188</v>
      </c>
      <c r="J15" s="15">
        <f t="shared" si="1"/>
        <v>0.17948717948717949</v>
      </c>
      <c r="K15" s="19"/>
      <c r="L15" s="14">
        <f t="shared" si="6"/>
        <v>53</v>
      </c>
      <c r="M15" s="14">
        <f t="shared" si="7"/>
        <v>9</v>
      </c>
      <c r="N15" s="19" t="s">
        <v>188</v>
      </c>
      <c r="O15" s="15">
        <f t="shared" si="2"/>
        <v>0.14516129032258066</v>
      </c>
      <c r="P15" s="19"/>
      <c r="Q15" s="19">
        <f>SUMPRODUCT((raw!$A$2:$A$3691='(2019-20)'!$A$2)*(raw!$B$2:$B$3691='(2019-20)'!$A15)*(raw!$E$2:$E$3691='(2019-20)'!$Q$6)*(raw!$F$2:$F$3691='(2019-20)'!Q$7)*(raw!$G$2:$G$3691))</f>
        <v>0</v>
      </c>
      <c r="R15" s="19">
        <f>SUMPRODUCT((raw!$A$2:$A$3691='(2019-20)'!$A$2)*(raw!$B$2:$B$3691='(2019-20)'!$A15)*(raw!$E$2:$E$3691='(2019-20)'!$Q$6)*(raw!$F$2:$F$3691='(2019-20)'!R$7)*(raw!$G$2:$G$3691))</f>
        <v>0</v>
      </c>
      <c r="S15" s="19" t="s">
        <v>188</v>
      </c>
      <c r="T15" s="15" t="str">
        <f t="shared" si="3"/>
        <v>-</v>
      </c>
      <c r="U15" s="19"/>
      <c r="V15" s="19">
        <f>SUMPRODUCT((raw!$A$2:$A$3691='(2019-20)'!$A$2)*(raw!$B$2:$B$3691='(2019-20)'!$A15)*(raw!$E$2:$E$3691='(2019-20)'!$V$6)*(raw!$F$2:$F$3691='(2019-20)'!V$7)*(raw!$G$2:$G$3691))</f>
        <v>11</v>
      </c>
      <c r="W15" s="19">
        <f>SUMPRODUCT((raw!$A$2:$A$3691='(2019-20)'!$A$2)*(raw!$B$2:$B$3691='(2019-20)'!$A15)*(raw!$E$2:$E$3691='(2019-20)'!$V$6)*(raw!$F$2:$F$3691='(2019-20)'!W$7)*(raw!$G$2:$G$3691))</f>
        <v>20</v>
      </c>
      <c r="X15" s="19" t="s">
        <v>188</v>
      </c>
      <c r="Y15" s="15">
        <f t="shared" si="4"/>
        <v>0.64516129032258063</v>
      </c>
      <c r="Z15" s="19"/>
      <c r="AA15" s="14">
        <f t="shared" si="8"/>
        <v>64</v>
      </c>
      <c r="AB15" s="14">
        <f t="shared" si="9"/>
        <v>29</v>
      </c>
      <c r="AC15" s="19" t="s">
        <v>188</v>
      </c>
      <c r="AD15" s="15">
        <f t="shared" si="5"/>
        <v>0.31182795698924731</v>
      </c>
      <c r="AE15" s="16"/>
      <c r="AF15" s="16"/>
      <c r="AG15" s="16"/>
      <c r="AH15" s="16"/>
      <c r="AI15" s="16"/>
      <c r="AJ15" s="16"/>
      <c r="AK15" s="16"/>
      <c r="AL15" s="16"/>
      <c r="AM15" s="16"/>
    </row>
    <row r="16" spans="1:40" s="6" customFormat="1" ht="15" customHeight="1" x14ac:dyDescent="0.3">
      <c r="A16" s="5" t="s">
        <v>18</v>
      </c>
      <c r="B16" s="19">
        <f>SUMPRODUCT((raw!$A$2:$A$3691='(2019-20)'!$A$2)*(raw!$B$2:$B$3691='(2019-20)'!$A16)*(raw!$E$2:$E$3691='(2019-20)'!$B$6:$E$6)*(raw!$F$2:$F$3691='(2019-20)'!B$7)*(raw!$G$2:$G$3691))</f>
        <v>29</v>
      </c>
      <c r="C16" s="19">
        <f>SUMPRODUCT((raw!$A$2:$A$3691='(2019-20)'!$A$2)*(raw!$B$2:$B$3691='(2019-20)'!$A16)*(raw!$E$2:$E$3691='(2019-20)'!$B$6:$E$6)*(raw!$F$2:$F$3691='(2019-20)'!C$7)*(raw!$G$2:$G$3691))</f>
        <v>3</v>
      </c>
      <c r="D16" s="19" t="s">
        <v>188</v>
      </c>
      <c r="E16" s="15">
        <f t="shared" si="0"/>
        <v>9.375E-2</v>
      </c>
      <c r="F16" s="19"/>
      <c r="G16" s="19">
        <f>SUMPRODUCT((raw!$A$2:$A$3691='(2019-20)'!$A$2)*(raw!$B$2:$B$3691='(2019-20)'!$A16)*(raw!$E$2:$E$3691='(2019-20)'!$G$6)*(raw!$F$2:$F$3691='(2019-20)'!G$7)*(raw!$G$2:$G$3691))</f>
        <v>6</v>
      </c>
      <c r="H16" s="19">
        <f>SUMPRODUCT((raw!$A$2:$A$3691='(2019-20)'!$A$2)*(raw!$B$2:$B$3691='(2019-20)'!$A16)*(raw!$E$2:$E$3691='(2019-20)'!$G$6)*(raw!$F$2:$F$3691='(2019-20)'!H$7)*(raw!$G$2:$G$3691))</f>
        <v>1</v>
      </c>
      <c r="I16" s="19" t="s">
        <v>188</v>
      </c>
      <c r="J16" s="15">
        <f t="shared" si="1"/>
        <v>0.14285714285714285</v>
      </c>
      <c r="K16" s="19"/>
      <c r="L16" s="14">
        <f t="shared" si="6"/>
        <v>35</v>
      </c>
      <c r="M16" s="14">
        <f t="shared" si="7"/>
        <v>4</v>
      </c>
      <c r="N16" s="19" t="s">
        <v>188</v>
      </c>
      <c r="O16" s="15">
        <f t="shared" si="2"/>
        <v>0.10256410256410256</v>
      </c>
      <c r="P16" s="19"/>
      <c r="Q16" s="19">
        <f>SUMPRODUCT((raw!$A$2:$A$3691='(2019-20)'!$A$2)*(raw!$B$2:$B$3691='(2019-20)'!$A16)*(raw!$E$2:$E$3691='(2019-20)'!$Q$6)*(raw!$F$2:$F$3691='(2019-20)'!Q$7)*(raw!$G$2:$G$3691))</f>
        <v>3</v>
      </c>
      <c r="R16" s="19">
        <f>SUMPRODUCT((raw!$A$2:$A$3691='(2019-20)'!$A$2)*(raw!$B$2:$B$3691='(2019-20)'!$A16)*(raw!$E$2:$E$3691='(2019-20)'!$Q$6)*(raw!$F$2:$F$3691='(2019-20)'!R$7)*(raw!$G$2:$G$3691))</f>
        <v>1</v>
      </c>
      <c r="S16" s="19" t="s">
        <v>188</v>
      </c>
      <c r="T16" s="15">
        <f t="shared" si="3"/>
        <v>0.25</v>
      </c>
      <c r="U16" s="19"/>
      <c r="V16" s="19">
        <f>SUMPRODUCT((raw!$A$2:$A$3691='(2019-20)'!$A$2)*(raw!$B$2:$B$3691='(2019-20)'!$A16)*(raw!$E$2:$E$3691='(2019-20)'!$V$6)*(raw!$F$2:$F$3691='(2019-20)'!V$7)*(raw!$G$2:$G$3691))</f>
        <v>6</v>
      </c>
      <c r="W16" s="19">
        <f>SUMPRODUCT((raw!$A$2:$A$3691='(2019-20)'!$A$2)*(raw!$B$2:$B$3691='(2019-20)'!$A16)*(raw!$E$2:$E$3691='(2019-20)'!$V$6)*(raw!$F$2:$F$3691='(2019-20)'!W$7)*(raw!$G$2:$G$3691))</f>
        <v>2</v>
      </c>
      <c r="X16" s="19" t="s">
        <v>188</v>
      </c>
      <c r="Y16" s="15">
        <f t="shared" si="4"/>
        <v>0.25</v>
      </c>
      <c r="Z16" s="19"/>
      <c r="AA16" s="14">
        <f t="shared" si="8"/>
        <v>44</v>
      </c>
      <c r="AB16" s="14">
        <f t="shared" si="9"/>
        <v>7</v>
      </c>
      <c r="AC16" s="19" t="s">
        <v>188</v>
      </c>
      <c r="AD16" s="15">
        <f t="shared" si="5"/>
        <v>0.13725490196078433</v>
      </c>
      <c r="AE16" s="16"/>
      <c r="AF16" s="16"/>
      <c r="AG16" s="16"/>
      <c r="AH16" s="16"/>
      <c r="AI16" s="16"/>
      <c r="AJ16" s="16"/>
      <c r="AK16" s="16"/>
      <c r="AL16" s="16"/>
      <c r="AM16" s="16"/>
    </row>
    <row r="17" spans="1:39" s="6" customFormat="1" ht="15" customHeight="1" x14ac:dyDescent="0.3">
      <c r="A17" s="5" t="s">
        <v>19</v>
      </c>
      <c r="B17" s="19">
        <f>SUMPRODUCT((raw!$A$2:$A$3691='(2019-20)'!$A$2)*(raw!$B$2:$B$3691='(2019-20)'!$A17)*(raw!$E$2:$E$3691='(2019-20)'!$B$6:$E$6)*(raw!$F$2:$F$3691='(2019-20)'!B$7)*(raw!$G$2:$G$3691))</f>
        <v>6</v>
      </c>
      <c r="C17" s="19">
        <f>SUMPRODUCT((raw!$A$2:$A$3691='(2019-20)'!$A$2)*(raw!$B$2:$B$3691='(2019-20)'!$A17)*(raw!$E$2:$E$3691='(2019-20)'!$B$6:$E$6)*(raw!$F$2:$F$3691='(2019-20)'!C$7)*(raw!$G$2:$G$3691))</f>
        <v>1</v>
      </c>
      <c r="D17" s="19" t="s">
        <v>188</v>
      </c>
      <c r="E17" s="15">
        <f t="shared" si="0"/>
        <v>0.14285714285714285</v>
      </c>
      <c r="F17" s="19"/>
      <c r="G17" s="19">
        <f>SUMPRODUCT((raw!$A$2:$A$3691='(2019-20)'!$A$2)*(raw!$B$2:$B$3691='(2019-20)'!$A17)*(raw!$E$2:$E$3691='(2019-20)'!$G$6)*(raw!$F$2:$F$3691='(2019-20)'!G$7)*(raw!$G$2:$G$3691))</f>
        <v>36</v>
      </c>
      <c r="H17" s="19">
        <f>SUMPRODUCT((raw!$A$2:$A$3691='(2019-20)'!$A$2)*(raw!$B$2:$B$3691='(2019-20)'!$A17)*(raw!$E$2:$E$3691='(2019-20)'!$G$6)*(raw!$F$2:$F$3691='(2019-20)'!H$7)*(raw!$G$2:$G$3691))</f>
        <v>4</v>
      </c>
      <c r="I17" s="19" t="s">
        <v>188</v>
      </c>
      <c r="J17" s="15">
        <f t="shared" si="1"/>
        <v>0.1</v>
      </c>
      <c r="K17" s="19"/>
      <c r="L17" s="14">
        <f t="shared" si="6"/>
        <v>42</v>
      </c>
      <c r="M17" s="14">
        <f t="shared" si="7"/>
        <v>5</v>
      </c>
      <c r="N17" s="19" t="s">
        <v>188</v>
      </c>
      <c r="O17" s="15">
        <f t="shared" si="2"/>
        <v>0.10638297872340426</v>
      </c>
      <c r="P17" s="19"/>
      <c r="Q17" s="19">
        <f>SUMPRODUCT((raw!$A$2:$A$3691='(2019-20)'!$A$2)*(raw!$B$2:$B$3691='(2019-20)'!$A17)*(raw!$E$2:$E$3691='(2019-20)'!$Q$6)*(raw!$F$2:$F$3691='(2019-20)'!Q$7)*(raw!$G$2:$G$3691))</f>
        <v>1</v>
      </c>
      <c r="R17" s="19">
        <f>SUMPRODUCT((raw!$A$2:$A$3691='(2019-20)'!$A$2)*(raw!$B$2:$B$3691='(2019-20)'!$A17)*(raw!$E$2:$E$3691='(2019-20)'!$Q$6)*(raw!$F$2:$F$3691='(2019-20)'!R$7)*(raw!$G$2:$G$3691))</f>
        <v>0</v>
      </c>
      <c r="S17" s="19" t="s">
        <v>188</v>
      </c>
      <c r="T17" s="15">
        <f t="shared" si="3"/>
        <v>0</v>
      </c>
      <c r="U17" s="19"/>
      <c r="V17" s="19">
        <f>SUMPRODUCT((raw!$A$2:$A$3691='(2019-20)'!$A$2)*(raw!$B$2:$B$3691='(2019-20)'!$A17)*(raw!$E$2:$E$3691='(2019-20)'!$V$6)*(raw!$F$2:$F$3691='(2019-20)'!V$7)*(raw!$G$2:$G$3691))</f>
        <v>5</v>
      </c>
      <c r="W17" s="19">
        <f>SUMPRODUCT((raw!$A$2:$A$3691='(2019-20)'!$A$2)*(raw!$B$2:$B$3691='(2019-20)'!$A17)*(raw!$E$2:$E$3691='(2019-20)'!$V$6)*(raw!$F$2:$F$3691='(2019-20)'!W$7)*(raw!$G$2:$G$3691))</f>
        <v>4</v>
      </c>
      <c r="X17" s="19" t="s">
        <v>188</v>
      </c>
      <c r="Y17" s="15">
        <f t="shared" si="4"/>
        <v>0.44444444444444442</v>
      </c>
      <c r="Z17" s="19"/>
      <c r="AA17" s="14">
        <f t="shared" si="8"/>
        <v>48</v>
      </c>
      <c r="AB17" s="14">
        <f t="shared" si="9"/>
        <v>9</v>
      </c>
      <c r="AC17" s="19" t="s">
        <v>188</v>
      </c>
      <c r="AD17" s="15">
        <f t="shared" si="5"/>
        <v>0.15789473684210525</v>
      </c>
      <c r="AE17" s="16"/>
      <c r="AF17" s="16"/>
      <c r="AG17" s="16"/>
      <c r="AH17" s="16"/>
      <c r="AI17" s="16"/>
      <c r="AJ17" s="16"/>
      <c r="AK17" s="16"/>
      <c r="AL17" s="16"/>
      <c r="AM17" s="16"/>
    </row>
    <row r="18" spans="1:39" s="6" customFormat="1" ht="15" customHeight="1" x14ac:dyDescent="0.3">
      <c r="A18" s="5" t="s">
        <v>20</v>
      </c>
      <c r="B18" s="19">
        <f>SUMPRODUCT((raw!$A$2:$A$3691='(2019-20)'!$A$2)*(raw!$B$2:$B$3691='(2019-20)'!$A18)*(raw!$E$2:$E$3691='(2019-20)'!$B$6:$E$6)*(raw!$F$2:$F$3691='(2019-20)'!B$7)*(raw!$G$2:$G$3691))</f>
        <v>9</v>
      </c>
      <c r="C18" s="19">
        <f>SUMPRODUCT((raw!$A$2:$A$3691='(2019-20)'!$A$2)*(raw!$B$2:$B$3691='(2019-20)'!$A18)*(raw!$E$2:$E$3691='(2019-20)'!$B$6:$E$6)*(raw!$F$2:$F$3691='(2019-20)'!C$7)*(raw!$G$2:$G$3691))</f>
        <v>3</v>
      </c>
      <c r="D18" s="19" t="s">
        <v>188</v>
      </c>
      <c r="E18" s="15">
        <f t="shared" si="0"/>
        <v>0.25</v>
      </c>
      <c r="F18" s="19"/>
      <c r="G18" s="19">
        <f>SUMPRODUCT((raw!$A$2:$A$3691='(2019-20)'!$A$2)*(raw!$B$2:$B$3691='(2019-20)'!$A18)*(raw!$E$2:$E$3691='(2019-20)'!$G$6)*(raw!$F$2:$F$3691='(2019-20)'!G$7)*(raw!$G$2:$G$3691))</f>
        <v>38</v>
      </c>
      <c r="H18" s="19">
        <f>SUMPRODUCT((raw!$A$2:$A$3691='(2019-20)'!$A$2)*(raw!$B$2:$B$3691='(2019-20)'!$A18)*(raw!$E$2:$E$3691='(2019-20)'!$G$6)*(raw!$F$2:$F$3691='(2019-20)'!H$7)*(raw!$G$2:$G$3691))</f>
        <v>4</v>
      </c>
      <c r="I18" s="19" t="s">
        <v>188</v>
      </c>
      <c r="J18" s="15">
        <f t="shared" si="1"/>
        <v>9.5238095238095233E-2</v>
      </c>
      <c r="K18" s="19"/>
      <c r="L18" s="14">
        <f t="shared" si="6"/>
        <v>47</v>
      </c>
      <c r="M18" s="14">
        <f t="shared" si="7"/>
        <v>7</v>
      </c>
      <c r="N18" s="19" t="s">
        <v>188</v>
      </c>
      <c r="O18" s="15">
        <f t="shared" si="2"/>
        <v>0.12962962962962962</v>
      </c>
      <c r="P18" s="19"/>
      <c r="Q18" s="19">
        <f>SUMPRODUCT((raw!$A$2:$A$3691='(2019-20)'!$A$2)*(raw!$B$2:$B$3691='(2019-20)'!$A18)*(raw!$E$2:$E$3691='(2019-20)'!$Q$6)*(raw!$F$2:$F$3691='(2019-20)'!Q$7)*(raw!$G$2:$G$3691))</f>
        <v>0</v>
      </c>
      <c r="R18" s="19">
        <f>SUMPRODUCT((raw!$A$2:$A$3691='(2019-20)'!$A$2)*(raw!$B$2:$B$3691='(2019-20)'!$A18)*(raw!$E$2:$E$3691='(2019-20)'!$Q$6)*(raw!$F$2:$F$3691='(2019-20)'!R$7)*(raw!$G$2:$G$3691))</f>
        <v>0</v>
      </c>
      <c r="S18" s="19" t="s">
        <v>188</v>
      </c>
      <c r="T18" s="15" t="str">
        <f t="shared" si="3"/>
        <v>-</v>
      </c>
      <c r="U18" s="19"/>
      <c r="V18" s="19">
        <f>SUMPRODUCT((raw!$A$2:$A$3691='(2019-20)'!$A$2)*(raw!$B$2:$B$3691='(2019-20)'!$A18)*(raw!$E$2:$E$3691='(2019-20)'!$V$6)*(raw!$F$2:$F$3691='(2019-20)'!V$7)*(raw!$G$2:$G$3691))</f>
        <v>10</v>
      </c>
      <c r="W18" s="19">
        <f>SUMPRODUCT((raw!$A$2:$A$3691='(2019-20)'!$A$2)*(raw!$B$2:$B$3691='(2019-20)'!$A18)*(raw!$E$2:$E$3691='(2019-20)'!$V$6)*(raw!$F$2:$F$3691='(2019-20)'!W$7)*(raw!$G$2:$G$3691))</f>
        <v>3</v>
      </c>
      <c r="X18" s="19" t="s">
        <v>188</v>
      </c>
      <c r="Y18" s="15">
        <f t="shared" si="4"/>
        <v>0.23076923076923078</v>
      </c>
      <c r="Z18" s="19"/>
      <c r="AA18" s="14">
        <f t="shared" si="8"/>
        <v>57</v>
      </c>
      <c r="AB18" s="14">
        <f t="shared" si="9"/>
        <v>10</v>
      </c>
      <c r="AC18" s="19" t="s">
        <v>188</v>
      </c>
      <c r="AD18" s="15">
        <f t="shared" si="5"/>
        <v>0.14925373134328357</v>
      </c>
      <c r="AE18" s="16"/>
      <c r="AF18" s="16"/>
      <c r="AG18" s="16"/>
      <c r="AH18" s="16"/>
      <c r="AI18" s="16"/>
      <c r="AJ18" s="16"/>
      <c r="AK18" s="16"/>
      <c r="AL18" s="16"/>
      <c r="AM18" s="16"/>
    </row>
    <row r="19" spans="1:39" s="6" customFormat="1" ht="15" customHeight="1" x14ac:dyDescent="0.3">
      <c r="A19" s="21" t="s">
        <v>21</v>
      </c>
      <c r="B19" s="19">
        <f>SUMPRODUCT((raw!$A$2:$A$3691='(2019-20)'!$A$2)*(raw!$B$2:$B$3691='(2019-20)'!$A19)*(raw!$E$2:$E$3691='(2019-20)'!$B$6:$E$6)*(raw!$F$2:$F$3691='(2019-20)'!B$7)*(raw!$G$2:$G$3691))</f>
        <v>15</v>
      </c>
      <c r="C19" s="19">
        <f>SUMPRODUCT((raw!$A$2:$A$3691='(2019-20)'!$A$2)*(raw!$B$2:$B$3691='(2019-20)'!$A19)*(raw!$E$2:$E$3691='(2019-20)'!$B$6:$E$6)*(raw!$F$2:$F$3691='(2019-20)'!C$7)*(raw!$G$2:$G$3691))</f>
        <v>1</v>
      </c>
      <c r="D19" s="19" t="s">
        <v>188</v>
      </c>
      <c r="E19" s="15">
        <f t="shared" si="0"/>
        <v>6.25E-2</v>
      </c>
      <c r="F19" s="19"/>
      <c r="G19" s="19">
        <f>SUMPRODUCT((raw!$A$2:$A$3691='(2019-20)'!$A$2)*(raw!$B$2:$B$3691='(2019-20)'!$A19)*(raw!$E$2:$E$3691='(2019-20)'!$G$6)*(raw!$F$2:$F$3691='(2019-20)'!G$7)*(raw!$G$2:$G$3691))</f>
        <v>35</v>
      </c>
      <c r="H19" s="19">
        <f>SUMPRODUCT((raw!$A$2:$A$3691='(2019-20)'!$A$2)*(raw!$B$2:$B$3691='(2019-20)'!$A19)*(raw!$E$2:$E$3691='(2019-20)'!$G$6)*(raw!$F$2:$F$3691='(2019-20)'!H$7)*(raw!$G$2:$G$3691))</f>
        <v>7</v>
      </c>
      <c r="I19" s="19" t="s">
        <v>188</v>
      </c>
      <c r="J19" s="15">
        <f t="shared" si="1"/>
        <v>0.16666666666666666</v>
      </c>
      <c r="K19" s="19"/>
      <c r="L19" s="14">
        <f t="shared" si="6"/>
        <v>50</v>
      </c>
      <c r="M19" s="14">
        <f t="shared" si="7"/>
        <v>8</v>
      </c>
      <c r="N19" s="19" t="s">
        <v>188</v>
      </c>
      <c r="O19" s="15">
        <f t="shared" si="2"/>
        <v>0.13793103448275862</v>
      </c>
      <c r="P19" s="19"/>
      <c r="Q19" s="19">
        <f>SUMPRODUCT((raw!$A$2:$A$3691='(2019-20)'!$A$2)*(raw!$B$2:$B$3691='(2019-20)'!$A19)*(raw!$E$2:$E$3691='(2019-20)'!$Q$6)*(raw!$F$2:$F$3691='(2019-20)'!Q$7)*(raw!$G$2:$G$3691))</f>
        <v>3</v>
      </c>
      <c r="R19" s="19">
        <f>SUMPRODUCT((raw!$A$2:$A$3691='(2019-20)'!$A$2)*(raw!$B$2:$B$3691='(2019-20)'!$A19)*(raw!$E$2:$E$3691='(2019-20)'!$Q$6)*(raw!$F$2:$F$3691='(2019-20)'!R$7)*(raw!$G$2:$G$3691))</f>
        <v>3</v>
      </c>
      <c r="S19" s="19" t="s">
        <v>188</v>
      </c>
      <c r="T19" s="15">
        <f t="shared" si="3"/>
        <v>0.5</v>
      </c>
      <c r="U19" s="19"/>
      <c r="V19" s="19">
        <f>SUMPRODUCT((raw!$A$2:$A$3691='(2019-20)'!$A$2)*(raw!$B$2:$B$3691='(2019-20)'!$A19)*(raw!$E$2:$E$3691='(2019-20)'!$V$6)*(raw!$F$2:$F$3691='(2019-20)'!V$7)*(raw!$G$2:$G$3691))</f>
        <v>5</v>
      </c>
      <c r="W19" s="19">
        <f>SUMPRODUCT((raw!$A$2:$A$3691='(2019-20)'!$A$2)*(raw!$B$2:$B$3691='(2019-20)'!$A19)*(raw!$E$2:$E$3691='(2019-20)'!$V$6)*(raw!$F$2:$F$3691='(2019-20)'!W$7)*(raw!$G$2:$G$3691))</f>
        <v>10</v>
      </c>
      <c r="X19" s="19" t="s">
        <v>188</v>
      </c>
      <c r="Y19" s="15">
        <f t="shared" si="4"/>
        <v>0.66666666666666663</v>
      </c>
      <c r="Z19" s="19"/>
      <c r="AA19" s="14">
        <f t="shared" si="8"/>
        <v>58</v>
      </c>
      <c r="AB19" s="14">
        <f t="shared" si="9"/>
        <v>21</v>
      </c>
      <c r="AC19" s="19" t="s">
        <v>188</v>
      </c>
      <c r="AD19" s="15">
        <f t="shared" si="5"/>
        <v>0.26582278481012656</v>
      </c>
      <c r="AE19" s="16"/>
      <c r="AF19" s="16"/>
      <c r="AG19" s="16"/>
      <c r="AH19" s="16"/>
      <c r="AI19" s="16"/>
      <c r="AJ19" s="16"/>
      <c r="AK19" s="16"/>
      <c r="AL19" s="16"/>
      <c r="AM19" s="16"/>
    </row>
    <row r="20" spans="1:39" s="6" customFormat="1" ht="15" customHeight="1" x14ac:dyDescent="0.3">
      <c r="A20" s="21" t="s">
        <v>22</v>
      </c>
      <c r="B20" s="19">
        <f>SUMPRODUCT((raw!$A$2:$A$3691='(2019-20)'!$A$2)*(raw!$B$2:$B$3691='(2019-20)'!$A20)*(raw!$E$2:$E$3691='(2019-20)'!$B$6:$E$6)*(raw!$F$2:$F$3691='(2019-20)'!B$7)*(raw!$G$2:$G$3691))</f>
        <v>8</v>
      </c>
      <c r="C20" s="19">
        <f>SUMPRODUCT((raw!$A$2:$A$3691='(2019-20)'!$A$2)*(raw!$B$2:$B$3691='(2019-20)'!$A20)*(raw!$E$2:$E$3691='(2019-20)'!$B$6:$E$6)*(raw!$F$2:$F$3691='(2019-20)'!C$7)*(raw!$G$2:$G$3691))</f>
        <v>1</v>
      </c>
      <c r="D20" s="19" t="s">
        <v>188</v>
      </c>
      <c r="E20" s="15">
        <f t="shared" si="0"/>
        <v>0.1111111111111111</v>
      </c>
      <c r="F20" s="19"/>
      <c r="G20" s="19">
        <f>SUMPRODUCT((raw!$A$2:$A$3691='(2019-20)'!$A$2)*(raw!$B$2:$B$3691='(2019-20)'!$A20)*(raw!$E$2:$E$3691='(2019-20)'!$G$6)*(raw!$F$2:$F$3691='(2019-20)'!G$7)*(raw!$G$2:$G$3691))</f>
        <v>123</v>
      </c>
      <c r="H20" s="19">
        <f>SUMPRODUCT((raw!$A$2:$A$3691='(2019-20)'!$A$2)*(raw!$B$2:$B$3691='(2019-20)'!$A20)*(raw!$E$2:$E$3691='(2019-20)'!$G$6)*(raw!$F$2:$F$3691='(2019-20)'!H$7)*(raw!$G$2:$G$3691))</f>
        <v>10</v>
      </c>
      <c r="I20" s="19" t="s">
        <v>188</v>
      </c>
      <c r="J20" s="15">
        <f t="shared" si="1"/>
        <v>7.5187969924812026E-2</v>
      </c>
      <c r="K20" s="19"/>
      <c r="L20" s="14">
        <f t="shared" si="6"/>
        <v>131</v>
      </c>
      <c r="M20" s="14">
        <f t="shared" si="7"/>
        <v>11</v>
      </c>
      <c r="N20" s="19" t="s">
        <v>188</v>
      </c>
      <c r="O20" s="15">
        <f t="shared" si="2"/>
        <v>7.746478873239436E-2</v>
      </c>
      <c r="P20" s="19"/>
      <c r="Q20" s="19">
        <f>SUMPRODUCT((raw!$A$2:$A$3691='(2019-20)'!$A$2)*(raw!$B$2:$B$3691='(2019-20)'!$A20)*(raw!$E$2:$E$3691='(2019-20)'!$Q$6)*(raw!$F$2:$F$3691='(2019-20)'!Q$7)*(raw!$G$2:$G$3691))</f>
        <v>0</v>
      </c>
      <c r="R20" s="19">
        <f>SUMPRODUCT((raw!$A$2:$A$3691='(2019-20)'!$A$2)*(raw!$B$2:$B$3691='(2019-20)'!$A20)*(raw!$E$2:$E$3691='(2019-20)'!$Q$6)*(raw!$F$2:$F$3691='(2019-20)'!R$7)*(raw!$G$2:$G$3691))</f>
        <v>2</v>
      </c>
      <c r="S20" s="19" t="s">
        <v>188</v>
      </c>
      <c r="T20" s="15">
        <f t="shared" si="3"/>
        <v>1</v>
      </c>
      <c r="U20" s="19"/>
      <c r="V20" s="19">
        <f>SUMPRODUCT((raw!$A$2:$A$3691='(2019-20)'!$A$2)*(raw!$B$2:$B$3691='(2019-20)'!$A20)*(raw!$E$2:$E$3691='(2019-20)'!$V$6)*(raw!$F$2:$F$3691='(2019-20)'!V$7)*(raw!$G$2:$G$3691))</f>
        <v>14</v>
      </c>
      <c r="W20" s="19">
        <f>SUMPRODUCT((raw!$A$2:$A$3691='(2019-20)'!$A$2)*(raw!$B$2:$B$3691='(2019-20)'!$A20)*(raw!$E$2:$E$3691='(2019-20)'!$V$6)*(raw!$F$2:$F$3691='(2019-20)'!W$7)*(raw!$G$2:$G$3691))</f>
        <v>14</v>
      </c>
      <c r="X20" s="19" t="s">
        <v>188</v>
      </c>
      <c r="Y20" s="15">
        <f t="shared" si="4"/>
        <v>0.5</v>
      </c>
      <c r="Z20" s="19"/>
      <c r="AA20" s="14">
        <f t="shared" si="8"/>
        <v>145</v>
      </c>
      <c r="AB20" s="14">
        <f t="shared" si="9"/>
        <v>27</v>
      </c>
      <c r="AC20" s="19" t="s">
        <v>188</v>
      </c>
      <c r="AD20" s="15">
        <f t="shared" si="5"/>
        <v>0.15697674418604651</v>
      </c>
      <c r="AE20" s="16"/>
      <c r="AF20" s="16"/>
      <c r="AG20" s="16"/>
      <c r="AH20" s="16"/>
      <c r="AI20" s="16"/>
      <c r="AJ20" s="16"/>
      <c r="AK20" s="16"/>
      <c r="AL20" s="16"/>
      <c r="AM20" s="16"/>
    </row>
    <row r="21" spans="1:39" s="6" customFormat="1" ht="15" customHeight="1" x14ac:dyDescent="0.3">
      <c r="A21" s="5" t="s">
        <v>23</v>
      </c>
      <c r="B21" s="19">
        <f>SUMPRODUCT((raw!$A$2:$A$3691='(2019-20)'!$A$2)*(raw!$B$2:$B$3691='(2019-20)'!$A21)*(raw!$E$2:$E$3691='(2019-20)'!$B$6:$E$6)*(raw!$F$2:$F$3691='(2019-20)'!B$7)*(raw!$G$2:$G$3691))</f>
        <v>11</v>
      </c>
      <c r="C21" s="19">
        <f>SUMPRODUCT((raw!$A$2:$A$3691='(2019-20)'!$A$2)*(raw!$B$2:$B$3691='(2019-20)'!$A21)*(raw!$E$2:$E$3691='(2019-20)'!$B$6:$E$6)*(raw!$F$2:$F$3691='(2019-20)'!C$7)*(raw!$G$2:$G$3691))</f>
        <v>0</v>
      </c>
      <c r="D21" s="19" t="s">
        <v>188</v>
      </c>
      <c r="E21" s="15">
        <f t="shared" si="0"/>
        <v>0</v>
      </c>
      <c r="F21" s="19"/>
      <c r="G21" s="19">
        <f>SUMPRODUCT((raw!$A$2:$A$3691='(2019-20)'!$A$2)*(raw!$B$2:$B$3691='(2019-20)'!$A21)*(raw!$E$2:$E$3691='(2019-20)'!$G$6)*(raw!$F$2:$F$3691='(2019-20)'!G$7)*(raw!$G$2:$G$3691))</f>
        <v>90</v>
      </c>
      <c r="H21" s="19">
        <f>SUMPRODUCT((raw!$A$2:$A$3691='(2019-20)'!$A$2)*(raw!$B$2:$B$3691='(2019-20)'!$A21)*(raw!$E$2:$E$3691='(2019-20)'!$G$6)*(raw!$F$2:$F$3691='(2019-20)'!H$7)*(raw!$G$2:$G$3691))</f>
        <v>9</v>
      </c>
      <c r="I21" s="19" t="s">
        <v>188</v>
      </c>
      <c r="J21" s="15">
        <f t="shared" si="1"/>
        <v>9.0909090909090912E-2</v>
      </c>
      <c r="K21" s="19"/>
      <c r="L21" s="14">
        <f t="shared" si="6"/>
        <v>101</v>
      </c>
      <c r="M21" s="14">
        <f t="shared" si="7"/>
        <v>9</v>
      </c>
      <c r="N21" s="19" t="s">
        <v>188</v>
      </c>
      <c r="O21" s="15">
        <f t="shared" si="2"/>
        <v>8.1818181818181818E-2</v>
      </c>
      <c r="P21" s="19"/>
      <c r="Q21" s="19">
        <f>SUMPRODUCT((raw!$A$2:$A$3691='(2019-20)'!$A$2)*(raw!$B$2:$B$3691='(2019-20)'!$A21)*(raw!$E$2:$E$3691='(2019-20)'!$Q$6)*(raw!$F$2:$F$3691='(2019-20)'!Q$7)*(raw!$G$2:$G$3691))</f>
        <v>3</v>
      </c>
      <c r="R21" s="19">
        <f>SUMPRODUCT((raw!$A$2:$A$3691='(2019-20)'!$A$2)*(raw!$B$2:$B$3691='(2019-20)'!$A21)*(raw!$E$2:$E$3691='(2019-20)'!$Q$6)*(raw!$F$2:$F$3691='(2019-20)'!R$7)*(raw!$G$2:$G$3691))</f>
        <v>3</v>
      </c>
      <c r="S21" s="19" t="s">
        <v>188</v>
      </c>
      <c r="T21" s="15">
        <f t="shared" si="3"/>
        <v>0.5</v>
      </c>
      <c r="U21" s="19"/>
      <c r="V21" s="19">
        <f>SUMPRODUCT((raw!$A$2:$A$3691='(2019-20)'!$A$2)*(raw!$B$2:$B$3691='(2019-20)'!$A21)*(raw!$E$2:$E$3691='(2019-20)'!$V$6)*(raw!$F$2:$F$3691='(2019-20)'!V$7)*(raw!$G$2:$G$3691))</f>
        <v>25</v>
      </c>
      <c r="W21" s="19">
        <f>SUMPRODUCT((raw!$A$2:$A$3691='(2019-20)'!$A$2)*(raw!$B$2:$B$3691='(2019-20)'!$A21)*(raw!$E$2:$E$3691='(2019-20)'!$V$6)*(raw!$F$2:$F$3691='(2019-20)'!W$7)*(raw!$G$2:$G$3691))</f>
        <v>43</v>
      </c>
      <c r="X21" s="19" t="s">
        <v>188</v>
      </c>
      <c r="Y21" s="15">
        <f t="shared" si="4"/>
        <v>0.63235294117647056</v>
      </c>
      <c r="Z21" s="19"/>
      <c r="AA21" s="14">
        <f t="shared" si="8"/>
        <v>129</v>
      </c>
      <c r="AB21" s="14">
        <f t="shared" si="9"/>
        <v>55</v>
      </c>
      <c r="AC21" s="19" t="s">
        <v>188</v>
      </c>
      <c r="AD21" s="15">
        <f t="shared" si="5"/>
        <v>0.29891304347826086</v>
      </c>
      <c r="AE21" s="16"/>
      <c r="AF21" s="16"/>
      <c r="AG21" s="16"/>
      <c r="AH21" s="16"/>
      <c r="AI21" s="16"/>
      <c r="AJ21" s="16"/>
      <c r="AK21" s="16"/>
      <c r="AL21" s="16"/>
      <c r="AM21" s="16"/>
    </row>
    <row r="22" spans="1:39" s="6" customFormat="1" ht="15" customHeight="1" x14ac:dyDescent="0.3">
      <c r="A22" s="5" t="s">
        <v>24</v>
      </c>
      <c r="B22" s="19">
        <f>SUMPRODUCT((raw!$A$2:$A$3691='(2019-20)'!$A$2)*(raw!$B$2:$B$3691='(2019-20)'!$A22)*(raw!$E$2:$E$3691='(2019-20)'!$B$6:$E$6)*(raw!$F$2:$F$3691='(2019-20)'!B$7)*(raw!$G$2:$G$3691))</f>
        <v>14</v>
      </c>
      <c r="C22" s="19">
        <f>SUMPRODUCT((raw!$A$2:$A$3691='(2019-20)'!$A$2)*(raw!$B$2:$B$3691='(2019-20)'!$A22)*(raw!$E$2:$E$3691='(2019-20)'!$B$6:$E$6)*(raw!$F$2:$F$3691='(2019-20)'!C$7)*(raw!$G$2:$G$3691))</f>
        <v>3</v>
      </c>
      <c r="D22" s="19" t="s">
        <v>188</v>
      </c>
      <c r="E22" s="15">
        <f t="shared" si="0"/>
        <v>0.17647058823529413</v>
      </c>
      <c r="F22" s="19"/>
      <c r="G22" s="19">
        <f>SUMPRODUCT((raw!$A$2:$A$3691='(2019-20)'!$A$2)*(raw!$B$2:$B$3691='(2019-20)'!$A22)*(raw!$E$2:$E$3691='(2019-20)'!$G$6)*(raw!$F$2:$F$3691='(2019-20)'!G$7)*(raw!$G$2:$G$3691))</f>
        <v>26</v>
      </c>
      <c r="H22" s="19">
        <f>SUMPRODUCT((raw!$A$2:$A$3691='(2019-20)'!$A$2)*(raw!$B$2:$B$3691='(2019-20)'!$A22)*(raw!$E$2:$E$3691='(2019-20)'!$G$6)*(raw!$F$2:$F$3691='(2019-20)'!H$7)*(raw!$G$2:$G$3691))</f>
        <v>2</v>
      </c>
      <c r="I22" s="19" t="s">
        <v>188</v>
      </c>
      <c r="J22" s="15">
        <f t="shared" si="1"/>
        <v>7.1428571428571425E-2</v>
      </c>
      <c r="K22" s="19"/>
      <c r="L22" s="14">
        <f t="shared" si="6"/>
        <v>40</v>
      </c>
      <c r="M22" s="14">
        <f t="shared" si="7"/>
        <v>5</v>
      </c>
      <c r="N22" s="19" t="s">
        <v>188</v>
      </c>
      <c r="O22" s="15">
        <f t="shared" si="2"/>
        <v>0.1111111111111111</v>
      </c>
      <c r="P22" s="19"/>
      <c r="Q22" s="19">
        <f>SUMPRODUCT((raw!$A$2:$A$3691='(2019-20)'!$A$2)*(raw!$B$2:$B$3691='(2019-20)'!$A22)*(raw!$E$2:$E$3691='(2019-20)'!$Q$6)*(raw!$F$2:$F$3691='(2019-20)'!Q$7)*(raw!$G$2:$G$3691))</f>
        <v>0</v>
      </c>
      <c r="R22" s="19">
        <f>SUMPRODUCT((raw!$A$2:$A$3691='(2019-20)'!$A$2)*(raw!$B$2:$B$3691='(2019-20)'!$A22)*(raw!$E$2:$E$3691='(2019-20)'!$Q$6)*(raw!$F$2:$F$3691='(2019-20)'!R$7)*(raw!$G$2:$G$3691))</f>
        <v>0</v>
      </c>
      <c r="S22" s="19" t="s">
        <v>188</v>
      </c>
      <c r="T22" s="15" t="str">
        <f t="shared" si="3"/>
        <v>-</v>
      </c>
      <c r="U22" s="19"/>
      <c r="V22" s="19">
        <f>SUMPRODUCT((raw!$A$2:$A$3691='(2019-20)'!$A$2)*(raw!$B$2:$B$3691='(2019-20)'!$A22)*(raw!$E$2:$E$3691='(2019-20)'!$V$6)*(raw!$F$2:$F$3691='(2019-20)'!V$7)*(raw!$G$2:$G$3691))</f>
        <v>4</v>
      </c>
      <c r="W22" s="19">
        <f>SUMPRODUCT((raw!$A$2:$A$3691='(2019-20)'!$A$2)*(raw!$B$2:$B$3691='(2019-20)'!$A22)*(raw!$E$2:$E$3691='(2019-20)'!$V$6)*(raw!$F$2:$F$3691='(2019-20)'!W$7)*(raw!$G$2:$G$3691))</f>
        <v>6</v>
      </c>
      <c r="X22" s="19" t="s">
        <v>188</v>
      </c>
      <c r="Y22" s="15">
        <f t="shared" si="4"/>
        <v>0.6</v>
      </c>
      <c r="Z22" s="19"/>
      <c r="AA22" s="14">
        <f t="shared" si="8"/>
        <v>44</v>
      </c>
      <c r="AB22" s="14">
        <f t="shared" si="9"/>
        <v>11</v>
      </c>
      <c r="AC22" s="19" t="s">
        <v>188</v>
      </c>
      <c r="AD22" s="15">
        <f t="shared" si="5"/>
        <v>0.2</v>
      </c>
      <c r="AE22" s="16"/>
      <c r="AF22" s="16"/>
      <c r="AG22" s="16"/>
      <c r="AH22" s="16"/>
      <c r="AI22" s="16"/>
      <c r="AJ22" s="16"/>
      <c r="AK22" s="16"/>
      <c r="AL22" s="16"/>
      <c r="AM22" s="16"/>
    </row>
    <row r="23" spans="1:39" s="6" customFormat="1" ht="15" customHeight="1" x14ac:dyDescent="0.3">
      <c r="A23" s="5" t="s">
        <v>25</v>
      </c>
      <c r="B23" s="19">
        <f>SUMPRODUCT((raw!$A$2:$A$3691='(2019-20)'!$A$2)*(raw!$B$2:$B$3691='(2019-20)'!$A23)*(raw!$E$2:$E$3691='(2019-20)'!$B$6:$E$6)*(raw!$F$2:$F$3691='(2019-20)'!B$7)*(raw!$G$2:$G$3691))</f>
        <v>12</v>
      </c>
      <c r="C23" s="19">
        <f>SUMPRODUCT((raw!$A$2:$A$3691='(2019-20)'!$A$2)*(raw!$B$2:$B$3691='(2019-20)'!$A23)*(raw!$E$2:$E$3691='(2019-20)'!$B$6:$E$6)*(raw!$F$2:$F$3691='(2019-20)'!C$7)*(raw!$G$2:$G$3691))</f>
        <v>3</v>
      </c>
      <c r="D23" s="19" t="s">
        <v>188</v>
      </c>
      <c r="E23" s="15">
        <f t="shared" si="0"/>
        <v>0.2</v>
      </c>
      <c r="F23" s="19"/>
      <c r="G23" s="19">
        <f>SUMPRODUCT((raw!$A$2:$A$3691='(2019-20)'!$A$2)*(raw!$B$2:$B$3691='(2019-20)'!$A23)*(raw!$E$2:$E$3691='(2019-20)'!$G$6)*(raw!$F$2:$F$3691='(2019-20)'!G$7)*(raw!$G$2:$G$3691))</f>
        <v>22</v>
      </c>
      <c r="H23" s="19">
        <f>SUMPRODUCT((raw!$A$2:$A$3691='(2019-20)'!$A$2)*(raw!$B$2:$B$3691='(2019-20)'!$A23)*(raw!$E$2:$E$3691='(2019-20)'!$G$6)*(raw!$F$2:$F$3691='(2019-20)'!H$7)*(raw!$G$2:$G$3691))</f>
        <v>4</v>
      </c>
      <c r="I23" s="19" t="s">
        <v>188</v>
      </c>
      <c r="J23" s="15">
        <f t="shared" si="1"/>
        <v>0.15384615384615385</v>
      </c>
      <c r="K23" s="19"/>
      <c r="L23" s="14">
        <f t="shared" si="6"/>
        <v>34</v>
      </c>
      <c r="M23" s="14">
        <f t="shared" si="7"/>
        <v>7</v>
      </c>
      <c r="N23" s="19" t="s">
        <v>188</v>
      </c>
      <c r="O23" s="15">
        <f t="shared" si="2"/>
        <v>0.17073170731707318</v>
      </c>
      <c r="P23" s="19"/>
      <c r="Q23" s="19">
        <f>SUMPRODUCT((raw!$A$2:$A$3691='(2019-20)'!$A$2)*(raw!$B$2:$B$3691='(2019-20)'!$A23)*(raw!$E$2:$E$3691='(2019-20)'!$Q$6)*(raw!$F$2:$F$3691='(2019-20)'!Q$7)*(raw!$G$2:$G$3691))</f>
        <v>3</v>
      </c>
      <c r="R23" s="19">
        <f>SUMPRODUCT((raw!$A$2:$A$3691='(2019-20)'!$A$2)*(raw!$B$2:$B$3691='(2019-20)'!$A23)*(raw!$E$2:$E$3691='(2019-20)'!$Q$6)*(raw!$F$2:$F$3691='(2019-20)'!R$7)*(raw!$G$2:$G$3691))</f>
        <v>1</v>
      </c>
      <c r="S23" s="19" t="s">
        <v>188</v>
      </c>
      <c r="T23" s="15">
        <f t="shared" si="3"/>
        <v>0.25</v>
      </c>
      <c r="U23" s="19"/>
      <c r="V23" s="19">
        <f>SUMPRODUCT((raw!$A$2:$A$3691='(2019-20)'!$A$2)*(raw!$B$2:$B$3691='(2019-20)'!$A23)*(raw!$E$2:$E$3691='(2019-20)'!$V$6)*(raw!$F$2:$F$3691='(2019-20)'!V$7)*(raw!$G$2:$G$3691))</f>
        <v>12</v>
      </c>
      <c r="W23" s="19">
        <f>SUMPRODUCT((raw!$A$2:$A$3691='(2019-20)'!$A$2)*(raw!$B$2:$B$3691='(2019-20)'!$A23)*(raw!$E$2:$E$3691='(2019-20)'!$V$6)*(raw!$F$2:$F$3691='(2019-20)'!W$7)*(raw!$G$2:$G$3691))</f>
        <v>7</v>
      </c>
      <c r="X23" s="19" t="s">
        <v>188</v>
      </c>
      <c r="Y23" s="15">
        <f t="shared" si="4"/>
        <v>0.36842105263157893</v>
      </c>
      <c r="Z23" s="19"/>
      <c r="AA23" s="14">
        <f t="shared" si="8"/>
        <v>49</v>
      </c>
      <c r="AB23" s="14">
        <f t="shared" si="9"/>
        <v>15</v>
      </c>
      <c r="AC23" s="19" t="s">
        <v>188</v>
      </c>
      <c r="AD23" s="15">
        <f t="shared" si="5"/>
        <v>0.234375</v>
      </c>
      <c r="AE23" s="16"/>
      <c r="AF23" s="16"/>
      <c r="AG23" s="16"/>
      <c r="AH23" s="16"/>
      <c r="AI23" s="16"/>
      <c r="AJ23" s="16"/>
      <c r="AK23" s="16"/>
      <c r="AL23" s="16"/>
      <c r="AM23" s="16"/>
    </row>
    <row r="24" spans="1:39" s="6" customFormat="1" ht="15" customHeight="1" x14ac:dyDescent="0.3">
      <c r="A24" s="5" t="s">
        <v>26</v>
      </c>
      <c r="B24" s="19">
        <f>SUMPRODUCT((raw!$A$2:$A$3691='(2019-20)'!$A$2)*(raw!$B$2:$B$3691='(2019-20)'!$A24)*(raw!$E$2:$E$3691='(2019-20)'!$B$6:$E$6)*(raw!$F$2:$F$3691='(2019-20)'!B$7)*(raw!$G$2:$G$3691))</f>
        <v>26</v>
      </c>
      <c r="C24" s="19">
        <f>SUMPRODUCT((raw!$A$2:$A$3691='(2019-20)'!$A$2)*(raw!$B$2:$B$3691='(2019-20)'!$A24)*(raw!$E$2:$E$3691='(2019-20)'!$B$6:$E$6)*(raw!$F$2:$F$3691='(2019-20)'!C$7)*(raw!$G$2:$G$3691))</f>
        <v>4</v>
      </c>
      <c r="D24" s="19" t="s">
        <v>188</v>
      </c>
      <c r="E24" s="15">
        <f t="shared" si="0"/>
        <v>0.13333333333333333</v>
      </c>
      <c r="F24" s="19"/>
      <c r="G24" s="19">
        <f>SUMPRODUCT((raw!$A$2:$A$3691='(2019-20)'!$A$2)*(raw!$B$2:$B$3691='(2019-20)'!$A24)*(raw!$E$2:$E$3691='(2019-20)'!$G$6)*(raw!$F$2:$F$3691='(2019-20)'!G$7)*(raw!$G$2:$G$3691))</f>
        <v>77</v>
      </c>
      <c r="H24" s="19">
        <f>SUMPRODUCT((raw!$A$2:$A$3691='(2019-20)'!$A$2)*(raw!$B$2:$B$3691='(2019-20)'!$A24)*(raw!$E$2:$E$3691='(2019-20)'!$G$6)*(raw!$F$2:$F$3691='(2019-20)'!H$7)*(raw!$G$2:$G$3691))</f>
        <v>3</v>
      </c>
      <c r="I24" s="19" t="s">
        <v>188</v>
      </c>
      <c r="J24" s="15">
        <f t="shared" si="1"/>
        <v>3.7499999999999999E-2</v>
      </c>
      <c r="K24" s="19"/>
      <c r="L24" s="14">
        <f t="shared" si="6"/>
        <v>103</v>
      </c>
      <c r="M24" s="14">
        <f t="shared" si="7"/>
        <v>7</v>
      </c>
      <c r="N24" s="19" t="s">
        <v>188</v>
      </c>
      <c r="O24" s="15">
        <f t="shared" si="2"/>
        <v>6.363636363636363E-2</v>
      </c>
      <c r="P24" s="19"/>
      <c r="Q24" s="19">
        <f>SUMPRODUCT((raw!$A$2:$A$3691='(2019-20)'!$A$2)*(raw!$B$2:$B$3691='(2019-20)'!$A24)*(raw!$E$2:$E$3691='(2019-20)'!$Q$6)*(raw!$F$2:$F$3691='(2019-20)'!Q$7)*(raw!$G$2:$G$3691))</f>
        <v>1</v>
      </c>
      <c r="R24" s="19">
        <f>SUMPRODUCT((raw!$A$2:$A$3691='(2019-20)'!$A$2)*(raw!$B$2:$B$3691='(2019-20)'!$A24)*(raw!$E$2:$E$3691='(2019-20)'!$Q$6)*(raw!$F$2:$F$3691='(2019-20)'!R$7)*(raw!$G$2:$G$3691))</f>
        <v>1</v>
      </c>
      <c r="S24" s="19" t="s">
        <v>188</v>
      </c>
      <c r="T24" s="15">
        <f t="shared" si="3"/>
        <v>0.5</v>
      </c>
      <c r="U24" s="19"/>
      <c r="V24" s="19">
        <f>SUMPRODUCT((raw!$A$2:$A$3691='(2019-20)'!$A$2)*(raw!$B$2:$B$3691='(2019-20)'!$A24)*(raw!$E$2:$E$3691='(2019-20)'!$V$6)*(raw!$F$2:$F$3691='(2019-20)'!V$7)*(raw!$G$2:$G$3691))</f>
        <v>23</v>
      </c>
      <c r="W24" s="19">
        <f>SUMPRODUCT((raw!$A$2:$A$3691='(2019-20)'!$A$2)*(raw!$B$2:$B$3691='(2019-20)'!$A24)*(raw!$E$2:$E$3691='(2019-20)'!$V$6)*(raw!$F$2:$F$3691='(2019-20)'!W$7)*(raw!$G$2:$G$3691))</f>
        <v>37</v>
      </c>
      <c r="X24" s="19" t="s">
        <v>188</v>
      </c>
      <c r="Y24" s="15">
        <f t="shared" si="4"/>
        <v>0.6166666666666667</v>
      </c>
      <c r="Z24" s="19"/>
      <c r="AA24" s="14">
        <f t="shared" si="8"/>
        <v>127</v>
      </c>
      <c r="AB24" s="14">
        <f t="shared" si="9"/>
        <v>45</v>
      </c>
      <c r="AC24" s="19" t="s">
        <v>188</v>
      </c>
      <c r="AD24" s="15">
        <f t="shared" si="5"/>
        <v>0.26162790697674421</v>
      </c>
      <c r="AE24" s="16"/>
      <c r="AF24" s="16"/>
      <c r="AG24" s="16"/>
      <c r="AH24" s="16"/>
      <c r="AI24" s="16"/>
      <c r="AJ24" s="16"/>
      <c r="AK24" s="16"/>
      <c r="AL24" s="16"/>
      <c r="AM24" s="16"/>
    </row>
    <row r="25" spans="1:39" s="6" customFormat="1" ht="15" customHeight="1" x14ac:dyDescent="0.3">
      <c r="A25" s="5" t="s">
        <v>27</v>
      </c>
      <c r="B25" s="19">
        <f>SUMPRODUCT((raw!$A$2:$A$3691='(2019-20)'!$A$2)*(raw!$B$2:$B$3691='(2019-20)'!$A25)*(raw!$E$2:$E$3691='(2019-20)'!$B$6:$E$6)*(raw!$F$2:$F$3691='(2019-20)'!B$7)*(raw!$G$2:$G$3691))</f>
        <v>6</v>
      </c>
      <c r="C25" s="19">
        <f>SUMPRODUCT((raw!$A$2:$A$3691='(2019-20)'!$A$2)*(raw!$B$2:$B$3691='(2019-20)'!$A25)*(raw!$E$2:$E$3691='(2019-20)'!$B$6:$E$6)*(raw!$F$2:$F$3691='(2019-20)'!C$7)*(raw!$G$2:$G$3691))</f>
        <v>2</v>
      </c>
      <c r="D25" s="19" t="s">
        <v>188</v>
      </c>
      <c r="E25" s="15">
        <f t="shared" si="0"/>
        <v>0.25</v>
      </c>
      <c r="F25" s="19"/>
      <c r="G25" s="19">
        <f>SUMPRODUCT((raw!$A$2:$A$3691='(2019-20)'!$A$2)*(raw!$B$2:$B$3691='(2019-20)'!$A25)*(raw!$E$2:$E$3691='(2019-20)'!$G$6)*(raw!$F$2:$F$3691='(2019-20)'!G$7)*(raw!$G$2:$G$3691))</f>
        <v>31</v>
      </c>
      <c r="H25" s="19">
        <f>SUMPRODUCT((raw!$A$2:$A$3691='(2019-20)'!$A$2)*(raw!$B$2:$B$3691='(2019-20)'!$A25)*(raw!$E$2:$E$3691='(2019-20)'!$G$6)*(raw!$F$2:$F$3691='(2019-20)'!H$7)*(raw!$G$2:$G$3691))</f>
        <v>5</v>
      </c>
      <c r="I25" s="19" t="s">
        <v>188</v>
      </c>
      <c r="J25" s="15">
        <f t="shared" si="1"/>
        <v>0.1388888888888889</v>
      </c>
      <c r="K25" s="19"/>
      <c r="L25" s="14">
        <f t="shared" si="6"/>
        <v>37</v>
      </c>
      <c r="M25" s="14">
        <f t="shared" si="7"/>
        <v>7</v>
      </c>
      <c r="N25" s="19" t="s">
        <v>188</v>
      </c>
      <c r="O25" s="15">
        <f t="shared" si="2"/>
        <v>0.15909090909090909</v>
      </c>
      <c r="P25" s="19"/>
      <c r="Q25" s="19">
        <f>SUMPRODUCT((raw!$A$2:$A$3691='(2019-20)'!$A$2)*(raw!$B$2:$B$3691='(2019-20)'!$A25)*(raw!$E$2:$E$3691='(2019-20)'!$Q$6)*(raw!$F$2:$F$3691='(2019-20)'!Q$7)*(raw!$G$2:$G$3691))</f>
        <v>0</v>
      </c>
      <c r="R25" s="19">
        <f>SUMPRODUCT((raw!$A$2:$A$3691='(2019-20)'!$A$2)*(raw!$B$2:$B$3691='(2019-20)'!$A25)*(raw!$E$2:$E$3691='(2019-20)'!$Q$6)*(raw!$F$2:$F$3691='(2019-20)'!R$7)*(raw!$G$2:$G$3691))</f>
        <v>2</v>
      </c>
      <c r="S25" s="19" t="s">
        <v>188</v>
      </c>
      <c r="T25" s="15">
        <f t="shared" si="3"/>
        <v>1</v>
      </c>
      <c r="U25" s="19"/>
      <c r="V25" s="19">
        <f>SUMPRODUCT((raw!$A$2:$A$3691='(2019-20)'!$A$2)*(raw!$B$2:$B$3691='(2019-20)'!$A25)*(raw!$E$2:$E$3691='(2019-20)'!$V$6)*(raw!$F$2:$F$3691='(2019-20)'!V$7)*(raw!$G$2:$G$3691))</f>
        <v>3</v>
      </c>
      <c r="W25" s="19">
        <f>SUMPRODUCT((raw!$A$2:$A$3691='(2019-20)'!$A$2)*(raw!$B$2:$B$3691='(2019-20)'!$A25)*(raw!$E$2:$E$3691='(2019-20)'!$V$6)*(raw!$F$2:$F$3691='(2019-20)'!W$7)*(raw!$G$2:$G$3691))</f>
        <v>4</v>
      </c>
      <c r="X25" s="19" t="s">
        <v>188</v>
      </c>
      <c r="Y25" s="15">
        <f t="shared" si="4"/>
        <v>0.5714285714285714</v>
      </c>
      <c r="Z25" s="19"/>
      <c r="AA25" s="14">
        <f t="shared" si="8"/>
        <v>40</v>
      </c>
      <c r="AB25" s="14">
        <f t="shared" si="9"/>
        <v>13</v>
      </c>
      <c r="AC25" s="19" t="s">
        <v>188</v>
      </c>
      <c r="AD25" s="15">
        <f t="shared" si="5"/>
        <v>0.24528301886792453</v>
      </c>
      <c r="AE25" s="16"/>
      <c r="AF25" s="16"/>
      <c r="AG25" s="16"/>
      <c r="AH25" s="16"/>
      <c r="AI25" s="16"/>
      <c r="AJ25" s="16"/>
      <c r="AK25" s="16"/>
      <c r="AL25" s="16"/>
      <c r="AM25" s="16"/>
    </row>
    <row r="26" spans="1:39" s="6" customFormat="1" ht="15" customHeight="1" x14ac:dyDescent="0.3">
      <c r="A26" s="5" t="s">
        <v>28</v>
      </c>
      <c r="B26" s="19">
        <f>SUMPRODUCT((raw!$A$2:$A$3691='(2019-20)'!$A$2)*(raw!$B$2:$B$3691='(2019-20)'!$A26)*(raw!$E$2:$E$3691='(2019-20)'!$B$6:$E$6)*(raw!$F$2:$F$3691='(2019-20)'!B$7)*(raw!$G$2:$G$3691))</f>
        <v>24</v>
      </c>
      <c r="C26" s="19">
        <f>SUMPRODUCT((raw!$A$2:$A$3691='(2019-20)'!$A$2)*(raw!$B$2:$B$3691='(2019-20)'!$A26)*(raw!$E$2:$E$3691='(2019-20)'!$B$6:$E$6)*(raw!$F$2:$F$3691='(2019-20)'!C$7)*(raw!$G$2:$G$3691))</f>
        <v>5</v>
      </c>
      <c r="D26" s="19" t="s">
        <v>188</v>
      </c>
      <c r="E26" s="15">
        <f t="shared" si="0"/>
        <v>0.17241379310344829</v>
      </c>
      <c r="F26" s="19"/>
      <c r="G26" s="19">
        <f>SUMPRODUCT((raw!$A$2:$A$3691='(2019-20)'!$A$2)*(raw!$B$2:$B$3691='(2019-20)'!$A26)*(raw!$E$2:$E$3691='(2019-20)'!$G$6)*(raw!$F$2:$F$3691='(2019-20)'!G$7)*(raw!$G$2:$G$3691))</f>
        <v>57</v>
      </c>
      <c r="H26" s="19">
        <f>SUMPRODUCT((raw!$A$2:$A$3691='(2019-20)'!$A$2)*(raw!$B$2:$B$3691='(2019-20)'!$A26)*(raw!$E$2:$E$3691='(2019-20)'!$G$6)*(raw!$F$2:$F$3691='(2019-20)'!H$7)*(raw!$G$2:$G$3691))</f>
        <v>13</v>
      </c>
      <c r="I26" s="19" t="s">
        <v>188</v>
      </c>
      <c r="J26" s="15">
        <f t="shared" si="1"/>
        <v>0.18571428571428572</v>
      </c>
      <c r="K26" s="19"/>
      <c r="L26" s="14">
        <f t="shared" si="6"/>
        <v>81</v>
      </c>
      <c r="M26" s="14">
        <f t="shared" si="7"/>
        <v>18</v>
      </c>
      <c r="N26" s="19" t="s">
        <v>188</v>
      </c>
      <c r="O26" s="15">
        <f t="shared" si="2"/>
        <v>0.18181818181818182</v>
      </c>
      <c r="P26" s="19"/>
      <c r="Q26" s="19">
        <f>SUMPRODUCT((raw!$A$2:$A$3691='(2019-20)'!$A$2)*(raw!$B$2:$B$3691='(2019-20)'!$A26)*(raw!$E$2:$E$3691='(2019-20)'!$Q$6)*(raw!$F$2:$F$3691='(2019-20)'!Q$7)*(raw!$G$2:$G$3691))</f>
        <v>0</v>
      </c>
      <c r="R26" s="19">
        <f>SUMPRODUCT((raw!$A$2:$A$3691='(2019-20)'!$A$2)*(raw!$B$2:$B$3691='(2019-20)'!$A26)*(raw!$E$2:$E$3691='(2019-20)'!$Q$6)*(raw!$F$2:$F$3691='(2019-20)'!R$7)*(raw!$G$2:$G$3691))</f>
        <v>2</v>
      </c>
      <c r="S26" s="19" t="s">
        <v>188</v>
      </c>
      <c r="T26" s="15">
        <f t="shared" si="3"/>
        <v>1</v>
      </c>
      <c r="U26" s="19"/>
      <c r="V26" s="19">
        <f>SUMPRODUCT((raw!$A$2:$A$3691='(2019-20)'!$A$2)*(raw!$B$2:$B$3691='(2019-20)'!$A26)*(raw!$E$2:$E$3691='(2019-20)'!$V$6)*(raw!$F$2:$F$3691='(2019-20)'!V$7)*(raw!$G$2:$G$3691))</f>
        <v>24</v>
      </c>
      <c r="W26" s="19">
        <f>SUMPRODUCT((raw!$A$2:$A$3691='(2019-20)'!$A$2)*(raw!$B$2:$B$3691='(2019-20)'!$A26)*(raw!$E$2:$E$3691='(2019-20)'!$V$6)*(raw!$F$2:$F$3691='(2019-20)'!W$7)*(raw!$G$2:$G$3691))</f>
        <v>28</v>
      </c>
      <c r="X26" s="19" t="s">
        <v>188</v>
      </c>
      <c r="Y26" s="15">
        <f t="shared" si="4"/>
        <v>0.53846153846153844</v>
      </c>
      <c r="Z26" s="19"/>
      <c r="AA26" s="14">
        <f t="shared" si="8"/>
        <v>105</v>
      </c>
      <c r="AB26" s="14">
        <f t="shared" si="9"/>
        <v>48</v>
      </c>
      <c r="AC26" s="19" t="s">
        <v>188</v>
      </c>
      <c r="AD26" s="15">
        <f t="shared" si="5"/>
        <v>0.31372549019607843</v>
      </c>
      <c r="AE26" s="16"/>
      <c r="AF26" s="16"/>
      <c r="AG26" s="16"/>
      <c r="AH26" s="16"/>
      <c r="AI26" s="16"/>
      <c r="AJ26" s="16"/>
      <c r="AK26" s="16"/>
      <c r="AL26" s="16"/>
      <c r="AM26" s="16"/>
    </row>
    <row r="27" spans="1:39" s="6" customFormat="1" ht="15" customHeight="1" x14ac:dyDescent="0.3">
      <c r="A27" s="5" t="s">
        <v>29</v>
      </c>
      <c r="B27" s="19">
        <f>SUMPRODUCT((raw!$A$2:$A$3691='(2019-20)'!$A$2)*(raw!$B$2:$B$3691='(2019-20)'!$A27)*(raw!$E$2:$E$3691='(2019-20)'!$B$6:$E$6)*(raw!$F$2:$F$3691='(2019-20)'!B$7)*(raw!$G$2:$G$3691))</f>
        <v>18</v>
      </c>
      <c r="C27" s="19">
        <f>SUMPRODUCT((raw!$A$2:$A$3691='(2019-20)'!$A$2)*(raw!$B$2:$B$3691='(2019-20)'!$A27)*(raw!$E$2:$E$3691='(2019-20)'!$B$6:$E$6)*(raw!$F$2:$F$3691='(2019-20)'!C$7)*(raw!$G$2:$G$3691))</f>
        <v>5</v>
      </c>
      <c r="D27" s="19" t="s">
        <v>188</v>
      </c>
      <c r="E27" s="15">
        <f t="shared" si="0"/>
        <v>0.21739130434782608</v>
      </c>
      <c r="F27" s="19"/>
      <c r="G27" s="19">
        <f>SUMPRODUCT((raw!$A$2:$A$3691='(2019-20)'!$A$2)*(raw!$B$2:$B$3691='(2019-20)'!$A27)*(raw!$E$2:$E$3691='(2019-20)'!$G$6)*(raw!$F$2:$F$3691='(2019-20)'!G$7)*(raw!$G$2:$G$3691))</f>
        <v>46</v>
      </c>
      <c r="H27" s="19">
        <f>SUMPRODUCT((raw!$A$2:$A$3691='(2019-20)'!$A$2)*(raw!$B$2:$B$3691='(2019-20)'!$A27)*(raw!$E$2:$E$3691='(2019-20)'!$G$6)*(raw!$F$2:$F$3691='(2019-20)'!H$7)*(raw!$G$2:$G$3691))</f>
        <v>3</v>
      </c>
      <c r="I27" s="19" t="s">
        <v>188</v>
      </c>
      <c r="J27" s="15">
        <f t="shared" si="1"/>
        <v>6.1224489795918366E-2</v>
      </c>
      <c r="K27" s="19"/>
      <c r="L27" s="14">
        <f t="shared" si="6"/>
        <v>64</v>
      </c>
      <c r="M27" s="14">
        <f t="shared" si="7"/>
        <v>8</v>
      </c>
      <c r="N27" s="19" t="s">
        <v>188</v>
      </c>
      <c r="O27" s="15">
        <f t="shared" si="2"/>
        <v>0.1111111111111111</v>
      </c>
      <c r="P27" s="19"/>
      <c r="Q27" s="19">
        <f>SUMPRODUCT((raw!$A$2:$A$3691='(2019-20)'!$A$2)*(raw!$B$2:$B$3691='(2019-20)'!$A27)*(raw!$E$2:$E$3691='(2019-20)'!$Q$6)*(raw!$F$2:$F$3691='(2019-20)'!Q$7)*(raw!$G$2:$G$3691))</f>
        <v>0</v>
      </c>
      <c r="R27" s="19">
        <f>SUMPRODUCT((raw!$A$2:$A$3691='(2019-20)'!$A$2)*(raw!$B$2:$B$3691='(2019-20)'!$A27)*(raw!$E$2:$E$3691='(2019-20)'!$Q$6)*(raw!$F$2:$F$3691='(2019-20)'!R$7)*(raw!$G$2:$G$3691))</f>
        <v>0</v>
      </c>
      <c r="S27" s="19" t="s">
        <v>188</v>
      </c>
      <c r="T27" s="15" t="str">
        <f t="shared" si="3"/>
        <v>-</v>
      </c>
      <c r="U27" s="19"/>
      <c r="V27" s="19">
        <f>SUMPRODUCT((raw!$A$2:$A$3691='(2019-20)'!$A$2)*(raw!$B$2:$B$3691='(2019-20)'!$A27)*(raw!$E$2:$E$3691='(2019-20)'!$V$6)*(raw!$F$2:$F$3691='(2019-20)'!V$7)*(raw!$G$2:$G$3691))</f>
        <v>13</v>
      </c>
      <c r="W27" s="19">
        <f>SUMPRODUCT((raw!$A$2:$A$3691='(2019-20)'!$A$2)*(raw!$B$2:$B$3691='(2019-20)'!$A27)*(raw!$E$2:$E$3691='(2019-20)'!$V$6)*(raw!$F$2:$F$3691='(2019-20)'!W$7)*(raw!$G$2:$G$3691))</f>
        <v>16</v>
      </c>
      <c r="X27" s="19" t="s">
        <v>188</v>
      </c>
      <c r="Y27" s="15">
        <f t="shared" si="4"/>
        <v>0.55172413793103448</v>
      </c>
      <c r="Z27" s="19"/>
      <c r="AA27" s="14">
        <f t="shared" si="8"/>
        <v>77</v>
      </c>
      <c r="AB27" s="14">
        <f t="shared" si="9"/>
        <v>24</v>
      </c>
      <c r="AC27" s="19" t="s">
        <v>188</v>
      </c>
      <c r="AD27" s="15">
        <f t="shared" si="5"/>
        <v>0.23762376237623761</v>
      </c>
      <c r="AE27" s="16"/>
      <c r="AF27" s="16"/>
      <c r="AG27" s="16"/>
      <c r="AH27" s="16"/>
      <c r="AI27" s="16"/>
      <c r="AJ27" s="16"/>
      <c r="AK27" s="16"/>
      <c r="AL27" s="16"/>
      <c r="AM27" s="16"/>
    </row>
    <row r="28" spans="1:39" s="6" customFormat="1" ht="15" customHeight="1" x14ac:dyDescent="0.3">
      <c r="A28" s="5" t="s">
        <v>30</v>
      </c>
      <c r="B28" s="19">
        <f>SUMPRODUCT((raw!$A$2:$A$3691='(2019-20)'!$A$2)*(raw!$B$2:$B$3691='(2019-20)'!$A28)*(raw!$E$2:$E$3691='(2019-20)'!$B$6:$E$6)*(raw!$F$2:$F$3691='(2019-20)'!B$7)*(raw!$G$2:$G$3691))</f>
        <v>67</v>
      </c>
      <c r="C28" s="19">
        <f>SUMPRODUCT((raw!$A$2:$A$3691='(2019-20)'!$A$2)*(raw!$B$2:$B$3691='(2019-20)'!$A28)*(raw!$E$2:$E$3691='(2019-20)'!$B$6:$E$6)*(raw!$F$2:$F$3691='(2019-20)'!C$7)*(raw!$G$2:$G$3691))</f>
        <v>7</v>
      </c>
      <c r="D28" s="19" t="s">
        <v>188</v>
      </c>
      <c r="E28" s="15">
        <f t="shared" si="0"/>
        <v>9.45945945945946E-2</v>
      </c>
      <c r="F28" s="19"/>
      <c r="G28" s="19">
        <f>SUMPRODUCT((raw!$A$2:$A$3691='(2019-20)'!$A$2)*(raw!$B$2:$B$3691='(2019-20)'!$A28)*(raw!$E$2:$E$3691='(2019-20)'!$G$6)*(raw!$F$2:$F$3691='(2019-20)'!G$7)*(raw!$G$2:$G$3691))</f>
        <v>18</v>
      </c>
      <c r="H28" s="19">
        <f>SUMPRODUCT((raw!$A$2:$A$3691='(2019-20)'!$A$2)*(raw!$B$2:$B$3691='(2019-20)'!$A28)*(raw!$E$2:$E$3691='(2019-20)'!$G$6)*(raw!$F$2:$F$3691='(2019-20)'!H$7)*(raw!$G$2:$G$3691))</f>
        <v>4</v>
      </c>
      <c r="I28" s="19" t="s">
        <v>188</v>
      </c>
      <c r="J28" s="15">
        <f t="shared" si="1"/>
        <v>0.18181818181818182</v>
      </c>
      <c r="K28" s="19"/>
      <c r="L28" s="14">
        <f t="shared" si="6"/>
        <v>85</v>
      </c>
      <c r="M28" s="14">
        <f t="shared" si="7"/>
        <v>11</v>
      </c>
      <c r="N28" s="19" t="s">
        <v>188</v>
      </c>
      <c r="O28" s="15">
        <f t="shared" si="2"/>
        <v>0.11458333333333333</v>
      </c>
      <c r="P28" s="19"/>
      <c r="Q28" s="19">
        <f>SUMPRODUCT((raw!$A$2:$A$3691='(2019-20)'!$A$2)*(raw!$B$2:$B$3691='(2019-20)'!$A28)*(raw!$E$2:$E$3691='(2019-20)'!$Q$6)*(raw!$F$2:$F$3691='(2019-20)'!Q$7)*(raw!$G$2:$G$3691))</f>
        <v>3</v>
      </c>
      <c r="R28" s="19">
        <f>SUMPRODUCT((raw!$A$2:$A$3691='(2019-20)'!$A$2)*(raw!$B$2:$B$3691='(2019-20)'!$A28)*(raw!$E$2:$E$3691='(2019-20)'!$Q$6)*(raw!$F$2:$F$3691='(2019-20)'!R$7)*(raw!$G$2:$G$3691))</f>
        <v>6</v>
      </c>
      <c r="S28" s="19" t="s">
        <v>188</v>
      </c>
      <c r="T28" s="15">
        <f t="shared" si="3"/>
        <v>0.66666666666666663</v>
      </c>
      <c r="U28" s="19"/>
      <c r="V28" s="19">
        <f>SUMPRODUCT((raw!$A$2:$A$3691='(2019-20)'!$A$2)*(raw!$B$2:$B$3691='(2019-20)'!$A28)*(raw!$E$2:$E$3691='(2019-20)'!$V$6)*(raw!$F$2:$F$3691='(2019-20)'!V$7)*(raw!$G$2:$G$3691))</f>
        <v>13</v>
      </c>
      <c r="W28" s="19">
        <f>SUMPRODUCT((raw!$A$2:$A$3691='(2019-20)'!$A$2)*(raw!$B$2:$B$3691='(2019-20)'!$A28)*(raw!$E$2:$E$3691='(2019-20)'!$V$6)*(raw!$F$2:$F$3691='(2019-20)'!W$7)*(raw!$G$2:$G$3691))</f>
        <v>14</v>
      </c>
      <c r="X28" s="19" t="s">
        <v>188</v>
      </c>
      <c r="Y28" s="15">
        <f t="shared" si="4"/>
        <v>0.51851851851851849</v>
      </c>
      <c r="Z28" s="19"/>
      <c r="AA28" s="14">
        <f t="shared" si="8"/>
        <v>101</v>
      </c>
      <c r="AB28" s="14">
        <f t="shared" si="9"/>
        <v>31</v>
      </c>
      <c r="AC28" s="19" t="s">
        <v>188</v>
      </c>
      <c r="AD28" s="15">
        <f t="shared" si="5"/>
        <v>0.23484848484848486</v>
      </c>
      <c r="AE28" s="16"/>
      <c r="AF28" s="16"/>
      <c r="AG28" s="16"/>
      <c r="AH28" s="16"/>
      <c r="AI28" s="16"/>
      <c r="AJ28" s="16"/>
      <c r="AK28" s="16"/>
      <c r="AL28" s="16"/>
      <c r="AM28" s="16"/>
    </row>
    <row r="29" spans="1:39" s="6" customFormat="1" ht="15" customHeight="1" x14ac:dyDescent="0.3">
      <c r="A29" s="5" t="s">
        <v>31</v>
      </c>
      <c r="B29" s="19">
        <f>SUMPRODUCT((raw!$A$2:$A$3691='(2019-20)'!$A$2)*(raw!$B$2:$B$3691='(2019-20)'!$A29)*(raw!$E$2:$E$3691='(2019-20)'!$B$6:$E$6)*(raw!$F$2:$F$3691='(2019-20)'!B$7)*(raw!$G$2:$G$3691))</f>
        <v>0</v>
      </c>
      <c r="C29" s="19">
        <f>SUMPRODUCT((raw!$A$2:$A$3691='(2019-20)'!$A$2)*(raw!$B$2:$B$3691='(2019-20)'!$A29)*(raw!$E$2:$E$3691='(2019-20)'!$B$6:$E$6)*(raw!$F$2:$F$3691='(2019-20)'!C$7)*(raw!$G$2:$G$3691))</f>
        <v>0</v>
      </c>
      <c r="D29" s="19" t="s">
        <v>188</v>
      </c>
      <c r="E29" s="15" t="str">
        <f t="shared" si="0"/>
        <v>-</v>
      </c>
      <c r="F29" s="19"/>
      <c r="G29" s="19">
        <f>SUMPRODUCT((raw!$A$2:$A$3691='(2019-20)'!$A$2)*(raw!$B$2:$B$3691='(2019-20)'!$A29)*(raw!$E$2:$E$3691='(2019-20)'!$G$6)*(raw!$F$2:$F$3691='(2019-20)'!G$7)*(raw!$G$2:$G$3691))</f>
        <v>20</v>
      </c>
      <c r="H29" s="19">
        <f>SUMPRODUCT((raw!$A$2:$A$3691='(2019-20)'!$A$2)*(raw!$B$2:$B$3691='(2019-20)'!$A29)*(raw!$E$2:$E$3691='(2019-20)'!$G$6)*(raw!$F$2:$F$3691='(2019-20)'!H$7)*(raw!$G$2:$G$3691))</f>
        <v>6</v>
      </c>
      <c r="I29" s="19" t="s">
        <v>188</v>
      </c>
      <c r="J29" s="15">
        <f t="shared" si="1"/>
        <v>0.23076923076923078</v>
      </c>
      <c r="K29" s="19"/>
      <c r="L29" s="14">
        <f t="shared" si="6"/>
        <v>20</v>
      </c>
      <c r="M29" s="14">
        <f t="shared" si="7"/>
        <v>6</v>
      </c>
      <c r="N29" s="19" t="s">
        <v>188</v>
      </c>
      <c r="O29" s="15">
        <f t="shared" si="2"/>
        <v>0.23076923076923078</v>
      </c>
      <c r="P29" s="19"/>
      <c r="Q29" s="19">
        <f>SUMPRODUCT((raw!$A$2:$A$3691='(2019-20)'!$A$2)*(raw!$B$2:$B$3691='(2019-20)'!$A29)*(raw!$E$2:$E$3691='(2019-20)'!$Q$6)*(raw!$F$2:$F$3691='(2019-20)'!Q$7)*(raw!$G$2:$G$3691))</f>
        <v>1</v>
      </c>
      <c r="R29" s="19">
        <f>SUMPRODUCT((raw!$A$2:$A$3691='(2019-20)'!$A$2)*(raw!$B$2:$B$3691='(2019-20)'!$A29)*(raw!$E$2:$E$3691='(2019-20)'!$Q$6)*(raw!$F$2:$F$3691='(2019-20)'!R$7)*(raw!$G$2:$G$3691))</f>
        <v>1</v>
      </c>
      <c r="S29" s="19" t="s">
        <v>188</v>
      </c>
      <c r="T29" s="15">
        <f t="shared" si="3"/>
        <v>0.5</v>
      </c>
      <c r="U29" s="19"/>
      <c r="V29" s="19">
        <f>SUMPRODUCT((raw!$A$2:$A$3691='(2019-20)'!$A$2)*(raw!$B$2:$B$3691='(2019-20)'!$A29)*(raw!$E$2:$E$3691='(2019-20)'!$V$6)*(raw!$F$2:$F$3691='(2019-20)'!V$7)*(raw!$G$2:$G$3691))</f>
        <v>5</v>
      </c>
      <c r="W29" s="19">
        <f>SUMPRODUCT((raw!$A$2:$A$3691='(2019-20)'!$A$2)*(raw!$B$2:$B$3691='(2019-20)'!$A29)*(raw!$E$2:$E$3691='(2019-20)'!$V$6)*(raw!$F$2:$F$3691='(2019-20)'!W$7)*(raw!$G$2:$G$3691))</f>
        <v>11</v>
      </c>
      <c r="X29" s="19" t="s">
        <v>188</v>
      </c>
      <c r="Y29" s="15">
        <f t="shared" si="4"/>
        <v>0.6875</v>
      </c>
      <c r="Z29" s="19"/>
      <c r="AA29" s="14">
        <f t="shared" si="8"/>
        <v>26</v>
      </c>
      <c r="AB29" s="14">
        <f t="shared" si="9"/>
        <v>18</v>
      </c>
      <c r="AC29" s="19" t="s">
        <v>188</v>
      </c>
      <c r="AD29" s="15">
        <f t="shared" si="5"/>
        <v>0.40909090909090912</v>
      </c>
      <c r="AE29" s="16"/>
      <c r="AF29" s="16"/>
      <c r="AG29" s="16"/>
      <c r="AH29" s="16"/>
      <c r="AI29" s="16"/>
      <c r="AJ29" s="16"/>
      <c r="AK29" s="16"/>
      <c r="AL29" s="16"/>
      <c r="AM29" s="16"/>
    </row>
    <row r="30" spans="1:39" s="6" customFormat="1" ht="15" customHeight="1" x14ac:dyDescent="0.3">
      <c r="A30" s="5" t="s">
        <v>32</v>
      </c>
      <c r="B30" s="19">
        <f>SUMPRODUCT((raw!$A$2:$A$3691='(2019-20)'!$A$2)*(raw!$B$2:$B$3691='(2019-20)'!$A30)*(raw!$E$2:$E$3691='(2019-20)'!$B$6:$E$6)*(raw!$F$2:$F$3691='(2019-20)'!B$7)*(raw!$G$2:$G$3691))</f>
        <v>0</v>
      </c>
      <c r="C30" s="19">
        <f>SUMPRODUCT((raw!$A$2:$A$3691='(2019-20)'!$A$2)*(raw!$B$2:$B$3691='(2019-20)'!$A30)*(raw!$E$2:$E$3691='(2019-20)'!$B$6:$E$6)*(raw!$F$2:$F$3691='(2019-20)'!C$7)*(raw!$G$2:$G$3691))</f>
        <v>0</v>
      </c>
      <c r="D30" s="19" t="s">
        <v>188</v>
      </c>
      <c r="E30" s="15" t="str">
        <f t="shared" si="0"/>
        <v>-</v>
      </c>
      <c r="F30" s="19"/>
      <c r="G30" s="19">
        <f>SUMPRODUCT((raw!$A$2:$A$3691='(2019-20)'!$A$2)*(raw!$B$2:$B$3691='(2019-20)'!$A30)*(raw!$E$2:$E$3691='(2019-20)'!$G$6)*(raw!$F$2:$F$3691='(2019-20)'!G$7)*(raw!$G$2:$G$3691))</f>
        <v>16</v>
      </c>
      <c r="H30" s="19">
        <f>SUMPRODUCT((raw!$A$2:$A$3691='(2019-20)'!$A$2)*(raw!$B$2:$B$3691='(2019-20)'!$A30)*(raw!$E$2:$E$3691='(2019-20)'!$G$6)*(raw!$F$2:$F$3691='(2019-20)'!H$7)*(raw!$G$2:$G$3691))</f>
        <v>0</v>
      </c>
      <c r="I30" s="19" t="s">
        <v>188</v>
      </c>
      <c r="J30" s="15">
        <f t="shared" si="1"/>
        <v>0</v>
      </c>
      <c r="K30" s="19"/>
      <c r="L30" s="14">
        <f t="shared" si="6"/>
        <v>16</v>
      </c>
      <c r="M30" s="14">
        <f t="shared" si="7"/>
        <v>0</v>
      </c>
      <c r="N30" s="19" t="s">
        <v>188</v>
      </c>
      <c r="O30" s="15">
        <f t="shared" si="2"/>
        <v>0</v>
      </c>
      <c r="P30" s="19"/>
      <c r="Q30" s="19">
        <f>SUMPRODUCT((raw!$A$2:$A$3691='(2019-20)'!$A$2)*(raw!$B$2:$B$3691='(2019-20)'!$A30)*(raw!$E$2:$E$3691='(2019-20)'!$Q$6)*(raw!$F$2:$F$3691='(2019-20)'!Q$7)*(raw!$G$2:$G$3691))</f>
        <v>0</v>
      </c>
      <c r="R30" s="19">
        <f>SUMPRODUCT((raw!$A$2:$A$3691='(2019-20)'!$A$2)*(raw!$B$2:$B$3691='(2019-20)'!$A30)*(raw!$E$2:$E$3691='(2019-20)'!$Q$6)*(raw!$F$2:$F$3691='(2019-20)'!R$7)*(raw!$G$2:$G$3691))</f>
        <v>0</v>
      </c>
      <c r="S30" s="19" t="s">
        <v>188</v>
      </c>
      <c r="T30" s="15" t="str">
        <f t="shared" si="3"/>
        <v>-</v>
      </c>
      <c r="U30" s="19"/>
      <c r="V30" s="19">
        <f>SUMPRODUCT((raw!$A$2:$A$3691='(2019-20)'!$A$2)*(raw!$B$2:$B$3691='(2019-20)'!$A30)*(raw!$E$2:$E$3691='(2019-20)'!$V$6)*(raw!$F$2:$F$3691='(2019-20)'!V$7)*(raw!$G$2:$G$3691))</f>
        <v>0</v>
      </c>
      <c r="W30" s="19">
        <f>SUMPRODUCT((raw!$A$2:$A$3691='(2019-20)'!$A$2)*(raw!$B$2:$B$3691='(2019-20)'!$A30)*(raw!$E$2:$E$3691='(2019-20)'!$V$6)*(raw!$F$2:$F$3691='(2019-20)'!W$7)*(raw!$G$2:$G$3691))</f>
        <v>0</v>
      </c>
      <c r="X30" s="19" t="s">
        <v>188</v>
      </c>
      <c r="Y30" s="15" t="str">
        <f t="shared" si="4"/>
        <v>-</v>
      </c>
      <c r="Z30" s="19"/>
      <c r="AA30" s="14">
        <f t="shared" si="8"/>
        <v>16</v>
      </c>
      <c r="AB30" s="14">
        <f t="shared" si="9"/>
        <v>0</v>
      </c>
      <c r="AC30" s="19" t="s">
        <v>188</v>
      </c>
      <c r="AD30" s="15">
        <f t="shared" si="5"/>
        <v>0</v>
      </c>
      <c r="AE30" s="16"/>
      <c r="AF30" s="16"/>
      <c r="AG30" s="16"/>
      <c r="AH30" s="16"/>
      <c r="AI30" s="16"/>
      <c r="AJ30" s="16"/>
      <c r="AK30" s="16"/>
      <c r="AL30" s="16"/>
      <c r="AM30" s="16"/>
    </row>
    <row r="31" spans="1:39" s="6" customFormat="1" ht="15" customHeight="1" x14ac:dyDescent="0.3">
      <c r="A31" s="6" t="s">
        <v>33</v>
      </c>
      <c r="B31" s="19">
        <f>SUMPRODUCT((raw!$A$2:$A$3691='(2019-20)'!$A$2)*(raw!$B$2:$B$3691='(2019-20)'!$A31)*(raw!$E$2:$E$3691='(2019-20)'!$B$6:$E$6)*(raw!$F$2:$F$3691='(2019-20)'!B$7)*(raw!$G$2:$G$3691))</f>
        <v>17</v>
      </c>
      <c r="C31" s="19">
        <f>SUMPRODUCT((raw!$A$2:$A$3691='(2019-20)'!$A$2)*(raw!$B$2:$B$3691='(2019-20)'!$A31)*(raw!$E$2:$E$3691='(2019-20)'!$B$6:$E$6)*(raw!$F$2:$F$3691='(2019-20)'!C$7)*(raw!$G$2:$G$3691))</f>
        <v>1</v>
      </c>
      <c r="D31" s="19" t="s">
        <v>188</v>
      </c>
      <c r="E31" s="15">
        <f t="shared" si="0"/>
        <v>5.5555555555555552E-2</v>
      </c>
      <c r="F31" s="19"/>
      <c r="G31" s="19">
        <f>SUMPRODUCT((raw!$A$2:$A$3691='(2019-20)'!$A$2)*(raw!$B$2:$B$3691='(2019-20)'!$A31)*(raw!$E$2:$E$3691='(2019-20)'!$G$6)*(raw!$F$2:$F$3691='(2019-20)'!G$7)*(raw!$G$2:$G$3691))</f>
        <v>91</v>
      </c>
      <c r="H31" s="19">
        <f>SUMPRODUCT((raw!$A$2:$A$3691='(2019-20)'!$A$2)*(raw!$B$2:$B$3691='(2019-20)'!$A31)*(raw!$E$2:$E$3691='(2019-20)'!$G$6)*(raw!$F$2:$F$3691='(2019-20)'!H$7)*(raw!$G$2:$G$3691))</f>
        <v>7</v>
      </c>
      <c r="I31" s="19" t="s">
        <v>188</v>
      </c>
      <c r="J31" s="15">
        <f t="shared" si="1"/>
        <v>7.1428571428571425E-2</v>
      </c>
      <c r="K31" s="19"/>
      <c r="L31" s="14">
        <f t="shared" si="6"/>
        <v>108</v>
      </c>
      <c r="M31" s="14">
        <f t="shared" si="7"/>
        <v>8</v>
      </c>
      <c r="N31" s="19" t="s">
        <v>188</v>
      </c>
      <c r="O31" s="15">
        <f t="shared" si="2"/>
        <v>6.8965517241379309E-2</v>
      </c>
      <c r="P31" s="19"/>
      <c r="Q31" s="19">
        <f>SUMPRODUCT((raw!$A$2:$A$3691='(2019-20)'!$A$2)*(raw!$B$2:$B$3691='(2019-20)'!$A31)*(raw!$E$2:$E$3691='(2019-20)'!$Q$6)*(raw!$F$2:$F$3691='(2019-20)'!Q$7)*(raw!$G$2:$G$3691))</f>
        <v>0</v>
      </c>
      <c r="R31" s="19">
        <f>SUMPRODUCT((raw!$A$2:$A$3691='(2019-20)'!$A$2)*(raw!$B$2:$B$3691='(2019-20)'!$A31)*(raw!$E$2:$E$3691='(2019-20)'!$Q$6)*(raw!$F$2:$F$3691='(2019-20)'!R$7)*(raw!$G$2:$G$3691))</f>
        <v>0</v>
      </c>
      <c r="S31" s="19" t="s">
        <v>188</v>
      </c>
      <c r="T31" s="15" t="str">
        <f t="shared" si="3"/>
        <v>-</v>
      </c>
      <c r="U31" s="19"/>
      <c r="V31" s="19">
        <f>SUMPRODUCT((raw!$A$2:$A$3691='(2019-20)'!$A$2)*(raw!$B$2:$B$3691='(2019-20)'!$A31)*(raw!$E$2:$E$3691='(2019-20)'!$V$6)*(raw!$F$2:$F$3691='(2019-20)'!V$7)*(raw!$G$2:$G$3691))</f>
        <v>22</v>
      </c>
      <c r="W31" s="19">
        <f>SUMPRODUCT((raw!$A$2:$A$3691='(2019-20)'!$A$2)*(raw!$B$2:$B$3691='(2019-20)'!$A31)*(raw!$E$2:$E$3691='(2019-20)'!$V$6)*(raw!$F$2:$F$3691='(2019-20)'!W$7)*(raw!$G$2:$G$3691))</f>
        <v>23</v>
      </c>
      <c r="X31" s="19" t="s">
        <v>188</v>
      </c>
      <c r="Y31" s="15">
        <f t="shared" si="4"/>
        <v>0.51111111111111107</v>
      </c>
      <c r="Z31" s="19"/>
      <c r="AA31" s="14">
        <f t="shared" si="8"/>
        <v>130</v>
      </c>
      <c r="AB31" s="14">
        <f t="shared" si="9"/>
        <v>31</v>
      </c>
      <c r="AC31" s="19" t="s">
        <v>188</v>
      </c>
      <c r="AD31" s="15">
        <f t="shared" si="5"/>
        <v>0.19254658385093168</v>
      </c>
      <c r="AE31" s="16"/>
      <c r="AF31" s="16"/>
      <c r="AG31" s="16"/>
      <c r="AH31" s="16"/>
      <c r="AI31" s="16"/>
      <c r="AJ31" s="16"/>
      <c r="AK31" s="16"/>
      <c r="AL31" s="16"/>
      <c r="AM31" s="16"/>
    </row>
    <row r="32" spans="1:39" s="6" customFormat="1" ht="15" customHeight="1" x14ac:dyDescent="0.3">
      <c r="A32" s="6" t="s">
        <v>34</v>
      </c>
      <c r="B32" s="19">
        <f>SUMPRODUCT((raw!$A$2:$A$3691='(2019-20)'!$A$2)*(raw!$B$2:$B$3691='(2019-20)'!$A32)*(raw!$E$2:$E$3691='(2019-20)'!$B$6:$E$6)*(raw!$F$2:$F$3691='(2019-20)'!B$7)*(raw!$G$2:$G$3691))</f>
        <v>15</v>
      </c>
      <c r="C32" s="19">
        <f>SUMPRODUCT((raw!$A$2:$A$3691='(2019-20)'!$A$2)*(raw!$B$2:$B$3691='(2019-20)'!$A32)*(raw!$E$2:$E$3691='(2019-20)'!$B$6:$E$6)*(raw!$F$2:$F$3691='(2019-20)'!C$7)*(raw!$G$2:$G$3691))</f>
        <v>3</v>
      </c>
      <c r="D32" s="19" t="s">
        <v>188</v>
      </c>
      <c r="E32" s="15">
        <f t="shared" si="0"/>
        <v>0.16666666666666666</v>
      </c>
      <c r="F32" s="19"/>
      <c r="G32" s="19">
        <f>SUMPRODUCT((raw!$A$2:$A$3691='(2019-20)'!$A$2)*(raw!$B$2:$B$3691='(2019-20)'!$A32)*(raw!$E$2:$E$3691='(2019-20)'!$G$6)*(raw!$F$2:$F$3691='(2019-20)'!G$7)*(raw!$G$2:$G$3691))</f>
        <v>65</v>
      </c>
      <c r="H32" s="19">
        <f>SUMPRODUCT((raw!$A$2:$A$3691='(2019-20)'!$A$2)*(raw!$B$2:$B$3691='(2019-20)'!$A32)*(raw!$E$2:$E$3691='(2019-20)'!$G$6)*(raw!$F$2:$F$3691='(2019-20)'!H$7)*(raw!$G$2:$G$3691))</f>
        <v>7</v>
      </c>
      <c r="I32" s="19" t="s">
        <v>188</v>
      </c>
      <c r="J32" s="15">
        <f t="shared" si="1"/>
        <v>9.7222222222222224E-2</v>
      </c>
      <c r="K32" s="19"/>
      <c r="L32" s="14">
        <f t="shared" si="6"/>
        <v>80</v>
      </c>
      <c r="M32" s="14">
        <f t="shared" si="7"/>
        <v>10</v>
      </c>
      <c r="N32" s="19" t="s">
        <v>188</v>
      </c>
      <c r="O32" s="15">
        <f t="shared" si="2"/>
        <v>0.1111111111111111</v>
      </c>
      <c r="P32" s="19"/>
      <c r="Q32" s="19">
        <f>SUMPRODUCT((raw!$A$2:$A$3691='(2019-20)'!$A$2)*(raw!$B$2:$B$3691='(2019-20)'!$A32)*(raw!$E$2:$E$3691='(2019-20)'!$Q$6)*(raw!$F$2:$F$3691='(2019-20)'!Q$7)*(raw!$G$2:$G$3691))</f>
        <v>0</v>
      </c>
      <c r="R32" s="19">
        <f>SUMPRODUCT((raw!$A$2:$A$3691='(2019-20)'!$A$2)*(raw!$B$2:$B$3691='(2019-20)'!$A32)*(raw!$E$2:$E$3691='(2019-20)'!$Q$6)*(raw!$F$2:$F$3691='(2019-20)'!R$7)*(raw!$G$2:$G$3691))</f>
        <v>0</v>
      </c>
      <c r="S32" s="19" t="s">
        <v>188</v>
      </c>
      <c r="T32" s="15" t="str">
        <f t="shared" si="3"/>
        <v>-</v>
      </c>
      <c r="U32" s="19"/>
      <c r="V32" s="19">
        <f>SUMPRODUCT((raw!$A$2:$A$3691='(2019-20)'!$A$2)*(raw!$B$2:$B$3691='(2019-20)'!$A32)*(raw!$E$2:$E$3691='(2019-20)'!$V$6)*(raw!$F$2:$F$3691='(2019-20)'!V$7)*(raw!$G$2:$G$3691))</f>
        <v>4</v>
      </c>
      <c r="W32" s="19">
        <f>SUMPRODUCT((raw!$A$2:$A$3691='(2019-20)'!$A$2)*(raw!$B$2:$B$3691='(2019-20)'!$A32)*(raw!$E$2:$E$3691='(2019-20)'!$V$6)*(raw!$F$2:$F$3691='(2019-20)'!W$7)*(raw!$G$2:$G$3691))</f>
        <v>14</v>
      </c>
      <c r="X32" s="19" t="s">
        <v>188</v>
      </c>
      <c r="Y32" s="15">
        <f t="shared" si="4"/>
        <v>0.77777777777777779</v>
      </c>
      <c r="Z32" s="19"/>
      <c r="AA32" s="14">
        <f t="shared" si="8"/>
        <v>84</v>
      </c>
      <c r="AB32" s="14">
        <f t="shared" si="9"/>
        <v>24</v>
      </c>
      <c r="AC32" s="19" t="s">
        <v>188</v>
      </c>
      <c r="AD32" s="15">
        <f t="shared" si="5"/>
        <v>0.22222222222222221</v>
      </c>
      <c r="AE32" s="16"/>
      <c r="AF32" s="16"/>
      <c r="AG32" s="16"/>
      <c r="AH32" s="16"/>
      <c r="AI32" s="16"/>
      <c r="AJ32" s="16"/>
      <c r="AK32" s="16"/>
      <c r="AL32" s="16"/>
      <c r="AM32" s="16"/>
    </row>
    <row r="33" spans="1:39" s="6" customFormat="1" ht="15" customHeight="1" x14ac:dyDescent="0.3">
      <c r="A33" s="5" t="s">
        <v>35</v>
      </c>
      <c r="B33" s="19">
        <f>SUMPRODUCT((raw!$A$2:$A$3691='(2019-20)'!$A$2)*(raw!$B$2:$B$3691='(2019-20)'!$A33)*(raw!$E$2:$E$3691='(2019-20)'!$B$6:$E$6)*(raw!$F$2:$F$3691='(2019-20)'!B$7)*(raw!$G$2:$G$3691))</f>
        <v>16</v>
      </c>
      <c r="C33" s="19">
        <f>SUMPRODUCT((raw!$A$2:$A$3691='(2019-20)'!$A$2)*(raw!$B$2:$B$3691='(2019-20)'!$A33)*(raw!$E$2:$E$3691='(2019-20)'!$B$6:$E$6)*(raw!$F$2:$F$3691='(2019-20)'!C$7)*(raw!$G$2:$G$3691))</f>
        <v>6</v>
      </c>
      <c r="D33" s="19" t="s">
        <v>188</v>
      </c>
      <c r="E33" s="15">
        <f t="shared" si="0"/>
        <v>0.27272727272727271</v>
      </c>
      <c r="F33" s="19"/>
      <c r="G33" s="19">
        <f>SUMPRODUCT((raw!$A$2:$A$3691='(2019-20)'!$A$2)*(raw!$B$2:$B$3691='(2019-20)'!$A33)*(raw!$E$2:$E$3691='(2019-20)'!$G$6)*(raw!$F$2:$F$3691='(2019-20)'!G$7)*(raw!$G$2:$G$3691))</f>
        <v>18</v>
      </c>
      <c r="H33" s="19">
        <f>SUMPRODUCT((raw!$A$2:$A$3691='(2019-20)'!$A$2)*(raw!$B$2:$B$3691='(2019-20)'!$A33)*(raw!$E$2:$E$3691='(2019-20)'!$G$6)*(raw!$F$2:$F$3691='(2019-20)'!H$7)*(raw!$G$2:$G$3691))</f>
        <v>3</v>
      </c>
      <c r="I33" s="19" t="s">
        <v>188</v>
      </c>
      <c r="J33" s="15">
        <f t="shared" si="1"/>
        <v>0.14285714285714285</v>
      </c>
      <c r="K33" s="19"/>
      <c r="L33" s="14">
        <f t="shared" si="6"/>
        <v>34</v>
      </c>
      <c r="M33" s="14">
        <f t="shared" si="7"/>
        <v>9</v>
      </c>
      <c r="N33" s="19" t="s">
        <v>188</v>
      </c>
      <c r="O33" s="15">
        <f t="shared" si="2"/>
        <v>0.20930232558139536</v>
      </c>
      <c r="P33" s="19"/>
      <c r="Q33" s="19">
        <f>SUMPRODUCT((raw!$A$2:$A$3691='(2019-20)'!$A$2)*(raw!$B$2:$B$3691='(2019-20)'!$A33)*(raw!$E$2:$E$3691='(2019-20)'!$Q$6)*(raw!$F$2:$F$3691='(2019-20)'!Q$7)*(raw!$G$2:$G$3691))</f>
        <v>1</v>
      </c>
      <c r="R33" s="19">
        <f>SUMPRODUCT((raw!$A$2:$A$3691='(2019-20)'!$A$2)*(raw!$B$2:$B$3691='(2019-20)'!$A33)*(raw!$E$2:$E$3691='(2019-20)'!$Q$6)*(raw!$F$2:$F$3691='(2019-20)'!R$7)*(raw!$G$2:$G$3691))</f>
        <v>1</v>
      </c>
      <c r="S33" s="19" t="s">
        <v>188</v>
      </c>
      <c r="T33" s="15">
        <f t="shared" si="3"/>
        <v>0.5</v>
      </c>
      <c r="U33" s="19"/>
      <c r="V33" s="19">
        <f>SUMPRODUCT((raw!$A$2:$A$3691='(2019-20)'!$A$2)*(raw!$B$2:$B$3691='(2019-20)'!$A33)*(raw!$E$2:$E$3691='(2019-20)'!$V$6)*(raw!$F$2:$F$3691='(2019-20)'!V$7)*(raw!$G$2:$G$3691))</f>
        <v>4</v>
      </c>
      <c r="W33" s="19">
        <f>SUMPRODUCT((raw!$A$2:$A$3691='(2019-20)'!$A$2)*(raw!$B$2:$B$3691='(2019-20)'!$A33)*(raw!$E$2:$E$3691='(2019-20)'!$V$6)*(raw!$F$2:$F$3691='(2019-20)'!W$7)*(raw!$G$2:$G$3691))</f>
        <v>10</v>
      </c>
      <c r="X33" s="19" t="s">
        <v>188</v>
      </c>
      <c r="Y33" s="15">
        <f t="shared" si="4"/>
        <v>0.7142857142857143</v>
      </c>
      <c r="Z33" s="19"/>
      <c r="AA33" s="14">
        <f t="shared" si="8"/>
        <v>39</v>
      </c>
      <c r="AB33" s="14">
        <f t="shared" si="9"/>
        <v>20</v>
      </c>
      <c r="AC33" s="19" t="s">
        <v>188</v>
      </c>
      <c r="AD33" s="15">
        <f t="shared" si="5"/>
        <v>0.33898305084745761</v>
      </c>
      <c r="AE33" s="16"/>
      <c r="AF33" s="16"/>
      <c r="AG33" s="16"/>
      <c r="AH33" s="16"/>
      <c r="AI33" s="16"/>
      <c r="AJ33" s="16"/>
      <c r="AK33" s="16"/>
      <c r="AL33" s="16"/>
      <c r="AM33" s="16"/>
    </row>
    <row r="34" spans="1:39" s="6" customFormat="1" ht="15" customHeight="1" x14ac:dyDescent="0.3">
      <c r="A34" s="6" t="s">
        <v>36</v>
      </c>
      <c r="B34" s="19">
        <f>SUMPRODUCT((raw!$A$2:$A$3691='(2019-20)'!$A$2)*(raw!$B$2:$B$3691='(2019-20)'!$A34)*(raw!$E$2:$E$3691='(2019-20)'!$B$6:$E$6)*(raw!$F$2:$F$3691='(2019-20)'!B$7)*(raw!$G$2:$G$3691))</f>
        <v>9</v>
      </c>
      <c r="C34" s="19">
        <f>SUMPRODUCT((raw!$A$2:$A$3691='(2019-20)'!$A$2)*(raw!$B$2:$B$3691='(2019-20)'!$A34)*(raw!$E$2:$E$3691='(2019-20)'!$B$6:$E$6)*(raw!$F$2:$F$3691='(2019-20)'!C$7)*(raw!$G$2:$G$3691))</f>
        <v>2</v>
      </c>
      <c r="D34" s="19" t="s">
        <v>188</v>
      </c>
      <c r="E34" s="15">
        <f t="shared" si="0"/>
        <v>0.18181818181818182</v>
      </c>
      <c r="F34" s="19"/>
      <c r="G34" s="19">
        <f>SUMPRODUCT((raw!$A$2:$A$3691='(2019-20)'!$A$2)*(raw!$B$2:$B$3691='(2019-20)'!$A34)*(raw!$E$2:$E$3691='(2019-20)'!$G$6)*(raw!$F$2:$F$3691='(2019-20)'!G$7)*(raw!$G$2:$G$3691))</f>
        <v>57</v>
      </c>
      <c r="H34" s="19">
        <f>SUMPRODUCT((raw!$A$2:$A$3691='(2019-20)'!$A$2)*(raw!$B$2:$B$3691='(2019-20)'!$A34)*(raw!$E$2:$E$3691='(2019-20)'!$G$6)*(raw!$F$2:$F$3691='(2019-20)'!H$7)*(raw!$G$2:$G$3691))</f>
        <v>8</v>
      </c>
      <c r="I34" s="19" t="s">
        <v>188</v>
      </c>
      <c r="J34" s="15">
        <f t="shared" si="1"/>
        <v>0.12307692307692308</v>
      </c>
      <c r="K34" s="19"/>
      <c r="L34" s="14">
        <f t="shared" si="6"/>
        <v>66</v>
      </c>
      <c r="M34" s="14">
        <f t="shared" si="7"/>
        <v>10</v>
      </c>
      <c r="N34" s="19" t="s">
        <v>188</v>
      </c>
      <c r="O34" s="15">
        <f t="shared" si="2"/>
        <v>0.13157894736842105</v>
      </c>
      <c r="P34" s="19"/>
      <c r="Q34" s="19">
        <f>SUMPRODUCT((raw!$A$2:$A$3691='(2019-20)'!$A$2)*(raw!$B$2:$B$3691='(2019-20)'!$A34)*(raw!$E$2:$E$3691='(2019-20)'!$Q$6)*(raw!$F$2:$F$3691='(2019-20)'!Q$7)*(raw!$G$2:$G$3691))</f>
        <v>3</v>
      </c>
      <c r="R34" s="19">
        <f>SUMPRODUCT((raw!$A$2:$A$3691='(2019-20)'!$A$2)*(raw!$B$2:$B$3691='(2019-20)'!$A34)*(raw!$E$2:$E$3691='(2019-20)'!$Q$6)*(raw!$F$2:$F$3691='(2019-20)'!R$7)*(raw!$G$2:$G$3691))</f>
        <v>1</v>
      </c>
      <c r="S34" s="19" t="s">
        <v>188</v>
      </c>
      <c r="T34" s="15">
        <f t="shared" si="3"/>
        <v>0.25</v>
      </c>
      <c r="U34" s="19"/>
      <c r="V34" s="19">
        <f>SUMPRODUCT((raw!$A$2:$A$3691='(2019-20)'!$A$2)*(raw!$B$2:$B$3691='(2019-20)'!$A34)*(raw!$E$2:$E$3691='(2019-20)'!$V$6)*(raw!$F$2:$F$3691='(2019-20)'!V$7)*(raw!$G$2:$G$3691))</f>
        <v>5</v>
      </c>
      <c r="W34" s="19">
        <f>SUMPRODUCT((raw!$A$2:$A$3691='(2019-20)'!$A$2)*(raw!$B$2:$B$3691='(2019-20)'!$A34)*(raw!$E$2:$E$3691='(2019-20)'!$V$6)*(raw!$F$2:$F$3691='(2019-20)'!W$7)*(raw!$G$2:$G$3691))</f>
        <v>1</v>
      </c>
      <c r="X34" s="19" t="s">
        <v>188</v>
      </c>
      <c r="Y34" s="15">
        <f t="shared" si="4"/>
        <v>0.16666666666666666</v>
      </c>
      <c r="Z34" s="19"/>
      <c r="AA34" s="14">
        <f t="shared" si="8"/>
        <v>74</v>
      </c>
      <c r="AB34" s="14">
        <f t="shared" si="9"/>
        <v>12</v>
      </c>
      <c r="AC34" s="19" t="s">
        <v>188</v>
      </c>
      <c r="AD34" s="15">
        <f t="shared" si="5"/>
        <v>0.13953488372093023</v>
      </c>
      <c r="AE34" s="16"/>
      <c r="AF34" s="16"/>
      <c r="AG34" s="16"/>
      <c r="AH34" s="16"/>
      <c r="AI34" s="16"/>
      <c r="AJ34" s="16"/>
      <c r="AK34" s="16"/>
      <c r="AL34" s="16"/>
      <c r="AM34" s="16"/>
    </row>
    <row r="35" spans="1:39" s="6" customFormat="1" ht="15" customHeight="1" x14ac:dyDescent="0.3">
      <c r="A35" s="6" t="s">
        <v>37</v>
      </c>
      <c r="B35" s="19">
        <f>SUMPRODUCT((raw!$A$2:$A$3691='(2019-20)'!$A$2)*(raw!$B$2:$B$3691='(2019-20)'!$A35)*(raw!$E$2:$E$3691='(2019-20)'!$B$6:$E$6)*(raw!$F$2:$F$3691='(2019-20)'!B$7)*(raw!$G$2:$G$3691))</f>
        <v>10</v>
      </c>
      <c r="C35" s="19">
        <f>SUMPRODUCT((raw!$A$2:$A$3691='(2019-20)'!$A$2)*(raw!$B$2:$B$3691='(2019-20)'!$A35)*(raw!$E$2:$E$3691='(2019-20)'!$B$6:$E$6)*(raw!$F$2:$F$3691='(2019-20)'!C$7)*(raw!$G$2:$G$3691))</f>
        <v>1</v>
      </c>
      <c r="D35" s="19" t="s">
        <v>188</v>
      </c>
      <c r="E35" s="15">
        <f t="shared" si="0"/>
        <v>9.0909090909090912E-2</v>
      </c>
      <c r="F35" s="19"/>
      <c r="G35" s="19">
        <f>SUMPRODUCT((raw!$A$2:$A$3691='(2019-20)'!$A$2)*(raw!$B$2:$B$3691='(2019-20)'!$A35)*(raw!$E$2:$E$3691='(2019-20)'!$G$6)*(raw!$F$2:$F$3691='(2019-20)'!G$7)*(raw!$G$2:$G$3691))</f>
        <v>42</v>
      </c>
      <c r="H35" s="19">
        <f>SUMPRODUCT((raw!$A$2:$A$3691='(2019-20)'!$A$2)*(raw!$B$2:$B$3691='(2019-20)'!$A35)*(raw!$E$2:$E$3691='(2019-20)'!$G$6)*(raw!$F$2:$F$3691='(2019-20)'!H$7)*(raw!$G$2:$G$3691))</f>
        <v>1</v>
      </c>
      <c r="I35" s="19" t="s">
        <v>188</v>
      </c>
      <c r="J35" s="15">
        <f t="shared" si="1"/>
        <v>2.3255813953488372E-2</v>
      </c>
      <c r="K35" s="19"/>
      <c r="L35" s="14">
        <f t="shared" si="6"/>
        <v>52</v>
      </c>
      <c r="M35" s="14">
        <f t="shared" si="7"/>
        <v>2</v>
      </c>
      <c r="N35" s="19" t="s">
        <v>188</v>
      </c>
      <c r="O35" s="15">
        <f t="shared" si="2"/>
        <v>3.7037037037037035E-2</v>
      </c>
      <c r="P35" s="19"/>
      <c r="Q35" s="19">
        <f>SUMPRODUCT((raw!$A$2:$A$3691='(2019-20)'!$A$2)*(raw!$B$2:$B$3691='(2019-20)'!$A35)*(raw!$E$2:$E$3691='(2019-20)'!$Q$6)*(raw!$F$2:$F$3691='(2019-20)'!Q$7)*(raw!$G$2:$G$3691))</f>
        <v>1</v>
      </c>
      <c r="R35" s="19">
        <f>SUMPRODUCT((raw!$A$2:$A$3691='(2019-20)'!$A$2)*(raw!$B$2:$B$3691='(2019-20)'!$A35)*(raw!$E$2:$E$3691='(2019-20)'!$Q$6)*(raw!$F$2:$F$3691='(2019-20)'!R$7)*(raw!$G$2:$G$3691))</f>
        <v>0</v>
      </c>
      <c r="S35" s="19" t="s">
        <v>188</v>
      </c>
      <c r="T35" s="15">
        <f t="shared" si="3"/>
        <v>0</v>
      </c>
      <c r="U35" s="19"/>
      <c r="V35" s="19">
        <f>SUMPRODUCT((raw!$A$2:$A$3691='(2019-20)'!$A$2)*(raw!$B$2:$B$3691='(2019-20)'!$A35)*(raw!$E$2:$E$3691='(2019-20)'!$V$6)*(raw!$F$2:$F$3691='(2019-20)'!V$7)*(raw!$G$2:$G$3691))</f>
        <v>28</v>
      </c>
      <c r="W35" s="19">
        <f>SUMPRODUCT((raw!$A$2:$A$3691='(2019-20)'!$A$2)*(raw!$B$2:$B$3691='(2019-20)'!$A35)*(raw!$E$2:$E$3691='(2019-20)'!$V$6)*(raw!$F$2:$F$3691='(2019-20)'!W$7)*(raw!$G$2:$G$3691))</f>
        <v>55</v>
      </c>
      <c r="X35" s="19" t="s">
        <v>188</v>
      </c>
      <c r="Y35" s="15">
        <f t="shared" si="4"/>
        <v>0.66265060240963858</v>
      </c>
      <c r="Z35" s="19"/>
      <c r="AA35" s="14">
        <f t="shared" si="8"/>
        <v>81</v>
      </c>
      <c r="AB35" s="14">
        <f t="shared" si="9"/>
        <v>57</v>
      </c>
      <c r="AC35" s="19" t="s">
        <v>188</v>
      </c>
      <c r="AD35" s="15">
        <f t="shared" si="5"/>
        <v>0.41304347826086957</v>
      </c>
      <c r="AE35" s="16"/>
      <c r="AF35" s="16"/>
      <c r="AG35" s="16"/>
      <c r="AH35" s="16"/>
      <c r="AI35" s="16"/>
      <c r="AJ35" s="16"/>
      <c r="AK35" s="16"/>
      <c r="AL35" s="16"/>
      <c r="AM35" s="16"/>
    </row>
    <row r="36" spans="1:39" s="6" customFormat="1" ht="15" customHeight="1" x14ac:dyDescent="0.3">
      <c r="A36" s="5" t="s">
        <v>38</v>
      </c>
      <c r="B36" s="19">
        <f>SUMPRODUCT((raw!$A$2:$A$3691='(2019-20)'!$A$2)*(raw!$B$2:$B$3691='(2019-20)'!$A36)*(raw!$E$2:$E$3691='(2019-20)'!$B$6:$E$6)*(raw!$F$2:$F$3691='(2019-20)'!B$7)*(raw!$G$2:$G$3691))</f>
        <v>0</v>
      </c>
      <c r="C36" s="19">
        <f>SUMPRODUCT((raw!$A$2:$A$3691='(2019-20)'!$A$2)*(raw!$B$2:$B$3691='(2019-20)'!$A36)*(raw!$E$2:$E$3691='(2019-20)'!$B$6:$E$6)*(raw!$F$2:$F$3691='(2019-20)'!C$7)*(raw!$G$2:$G$3691))</f>
        <v>0</v>
      </c>
      <c r="D36" s="19" t="s">
        <v>188</v>
      </c>
      <c r="E36" s="15" t="str">
        <f t="shared" si="0"/>
        <v>-</v>
      </c>
      <c r="F36" s="19"/>
      <c r="G36" s="19">
        <f>SUMPRODUCT((raw!$A$2:$A$3691='(2019-20)'!$A$2)*(raw!$B$2:$B$3691='(2019-20)'!$A36)*(raw!$E$2:$E$3691='(2019-20)'!$G$6)*(raw!$F$2:$F$3691='(2019-20)'!G$7)*(raw!$G$2:$G$3691))</f>
        <v>0</v>
      </c>
      <c r="H36" s="19">
        <f>SUMPRODUCT((raw!$A$2:$A$3691='(2019-20)'!$A$2)*(raw!$B$2:$B$3691='(2019-20)'!$A36)*(raw!$E$2:$E$3691='(2019-20)'!$G$6)*(raw!$F$2:$F$3691='(2019-20)'!H$7)*(raw!$G$2:$G$3691))</f>
        <v>0</v>
      </c>
      <c r="I36" s="19" t="s">
        <v>188</v>
      </c>
      <c r="J36" s="15" t="str">
        <f t="shared" si="1"/>
        <v>-</v>
      </c>
      <c r="K36" s="19"/>
      <c r="L36" s="14">
        <f t="shared" si="6"/>
        <v>0</v>
      </c>
      <c r="M36" s="14">
        <f t="shared" si="7"/>
        <v>0</v>
      </c>
      <c r="N36" s="19" t="s">
        <v>188</v>
      </c>
      <c r="O36" s="15" t="str">
        <f t="shared" si="2"/>
        <v>-</v>
      </c>
      <c r="P36" s="19"/>
      <c r="Q36" s="19">
        <f>SUMPRODUCT((raw!$A$2:$A$3691='(2019-20)'!$A$2)*(raw!$B$2:$B$3691='(2019-20)'!$A36)*(raw!$E$2:$E$3691='(2019-20)'!$Q$6)*(raw!$F$2:$F$3691='(2019-20)'!Q$7)*(raw!$G$2:$G$3691))</f>
        <v>5</v>
      </c>
      <c r="R36" s="19">
        <f>SUMPRODUCT((raw!$A$2:$A$3691='(2019-20)'!$A$2)*(raw!$B$2:$B$3691='(2019-20)'!$A36)*(raw!$E$2:$E$3691='(2019-20)'!$Q$6)*(raw!$F$2:$F$3691='(2019-20)'!R$7)*(raw!$G$2:$G$3691))</f>
        <v>6</v>
      </c>
      <c r="S36" s="19" t="s">
        <v>188</v>
      </c>
      <c r="T36" s="15">
        <f t="shared" si="3"/>
        <v>0.54545454545454541</v>
      </c>
      <c r="U36" s="19"/>
      <c r="V36" s="19">
        <f>SUMPRODUCT((raw!$A$2:$A$3691='(2019-20)'!$A$2)*(raw!$B$2:$B$3691='(2019-20)'!$A36)*(raw!$E$2:$E$3691='(2019-20)'!$V$6)*(raw!$F$2:$F$3691='(2019-20)'!V$7)*(raw!$G$2:$G$3691))</f>
        <v>0</v>
      </c>
      <c r="W36" s="19">
        <f>SUMPRODUCT((raw!$A$2:$A$3691='(2019-20)'!$A$2)*(raw!$B$2:$B$3691='(2019-20)'!$A36)*(raw!$E$2:$E$3691='(2019-20)'!$V$6)*(raw!$F$2:$F$3691='(2019-20)'!W$7)*(raw!$G$2:$G$3691))</f>
        <v>0</v>
      </c>
      <c r="X36" s="19" t="s">
        <v>188</v>
      </c>
      <c r="Y36" s="15" t="str">
        <f t="shared" si="4"/>
        <v>-</v>
      </c>
      <c r="Z36" s="19"/>
      <c r="AA36" s="14">
        <f t="shared" si="8"/>
        <v>5</v>
      </c>
      <c r="AB36" s="14">
        <f t="shared" si="9"/>
        <v>6</v>
      </c>
      <c r="AC36" s="19" t="s">
        <v>188</v>
      </c>
      <c r="AD36" s="15">
        <f t="shared" si="5"/>
        <v>0.54545454545454541</v>
      </c>
      <c r="AE36" s="16"/>
      <c r="AF36" s="16"/>
      <c r="AG36" s="16"/>
      <c r="AH36" s="16"/>
      <c r="AI36" s="16"/>
      <c r="AJ36" s="16"/>
      <c r="AK36" s="16"/>
      <c r="AL36" s="16"/>
      <c r="AM36" s="16"/>
    </row>
    <row r="37" spans="1:39" s="6" customFormat="1" ht="15" customHeight="1" x14ac:dyDescent="0.3">
      <c r="A37" s="6" t="s">
        <v>39</v>
      </c>
      <c r="B37" s="19">
        <f>SUMPRODUCT((raw!$A$2:$A$3691='(2019-20)'!$A$2)*(raw!$B$2:$B$3691='(2019-20)'!$A37)*(raw!$E$2:$E$3691='(2019-20)'!$B$6:$E$6)*(raw!$F$2:$F$3691='(2019-20)'!B$7)*(raw!$G$2:$G$3691))</f>
        <v>19</v>
      </c>
      <c r="C37" s="19">
        <f>SUMPRODUCT((raw!$A$2:$A$3691='(2019-20)'!$A$2)*(raw!$B$2:$B$3691='(2019-20)'!$A37)*(raw!$E$2:$E$3691='(2019-20)'!$B$6:$E$6)*(raw!$F$2:$F$3691='(2019-20)'!C$7)*(raw!$G$2:$G$3691))</f>
        <v>2</v>
      </c>
      <c r="D37" s="19" t="s">
        <v>188</v>
      </c>
      <c r="E37" s="15">
        <f t="shared" si="0"/>
        <v>9.5238095238095233E-2</v>
      </c>
      <c r="F37" s="19"/>
      <c r="G37" s="19">
        <f>SUMPRODUCT((raw!$A$2:$A$3691='(2019-20)'!$A$2)*(raw!$B$2:$B$3691='(2019-20)'!$A37)*(raw!$E$2:$E$3691='(2019-20)'!$G$6)*(raw!$F$2:$F$3691='(2019-20)'!G$7)*(raw!$G$2:$G$3691))</f>
        <v>40</v>
      </c>
      <c r="H37" s="19">
        <f>SUMPRODUCT((raw!$A$2:$A$3691='(2019-20)'!$A$2)*(raw!$B$2:$B$3691='(2019-20)'!$A37)*(raw!$E$2:$E$3691='(2019-20)'!$G$6)*(raw!$F$2:$F$3691='(2019-20)'!H$7)*(raw!$G$2:$G$3691))</f>
        <v>3</v>
      </c>
      <c r="I37" s="19" t="s">
        <v>188</v>
      </c>
      <c r="J37" s="15">
        <f t="shared" si="1"/>
        <v>6.9767441860465115E-2</v>
      </c>
      <c r="K37" s="19"/>
      <c r="L37" s="14">
        <f t="shared" si="6"/>
        <v>59</v>
      </c>
      <c r="M37" s="14">
        <f t="shared" si="7"/>
        <v>5</v>
      </c>
      <c r="N37" s="19" t="s">
        <v>188</v>
      </c>
      <c r="O37" s="15">
        <f t="shared" si="2"/>
        <v>7.8125E-2</v>
      </c>
      <c r="P37" s="19"/>
      <c r="Q37" s="19">
        <f>SUMPRODUCT((raw!$A$2:$A$3691='(2019-20)'!$A$2)*(raw!$B$2:$B$3691='(2019-20)'!$A37)*(raw!$E$2:$E$3691='(2019-20)'!$Q$6)*(raw!$F$2:$F$3691='(2019-20)'!Q$7)*(raw!$G$2:$G$3691))</f>
        <v>2</v>
      </c>
      <c r="R37" s="19">
        <f>SUMPRODUCT((raw!$A$2:$A$3691='(2019-20)'!$A$2)*(raw!$B$2:$B$3691='(2019-20)'!$A37)*(raw!$E$2:$E$3691='(2019-20)'!$Q$6)*(raw!$F$2:$F$3691='(2019-20)'!R$7)*(raw!$G$2:$G$3691))</f>
        <v>1</v>
      </c>
      <c r="S37" s="19" t="s">
        <v>188</v>
      </c>
      <c r="T37" s="15">
        <f t="shared" si="3"/>
        <v>0.33333333333333331</v>
      </c>
      <c r="U37" s="19"/>
      <c r="V37" s="19">
        <f>SUMPRODUCT((raw!$A$2:$A$3691='(2019-20)'!$A$2)*(raw!$B$2:$B$3691='(2019-20)'!$A37)*(raw!$E$2:$E$3691='(2019-20)'!$V$6)*(raw!$F$2:$F$3691='(2019-20)'!V$7)*(raw!$G$2:$G$3691))</f>
        <v>3</v>
      </c>
      <c r="W37" s="19">
        <f>SUMPRODUCT((raw!$A$2:$A$3691='(2019-20)'!$A$2)*(raw!$B$2:$B$3691='(2019-20)'!$A37)*(raw!$E$2:$E$3691='(2019-20)'!$V$6)*(raw!$F$2:$F$3691='(2019-20)'!W$7)*(raw!$G$2:$G$3691))</f>
        <v>3</v>
      </c>
      <c r="X37" s="19" t="s">
        <v>188</v>
      </c>
      <c r="Y37" s="15">
        <f t="shared" si="4"/>
        <v>0.5</v>
      </c>
      <c r="Z37" s="19"/>
      <c r="AA37" s="14">
        <f t="shared" si="8"/>
        <v>64</v>
      </c>
      <c r="AB37" s="14">
        <f t="shared" si="9"/>
        <v>9</v>
      </c>
      <c r="AC37" s="19" t="s">
        <v>188</v>
      </c>
      <c r="AD37" s="15">
        <f t="shared" si="5"/>
        <v>0.12328767123287671</v>
      </c>
      <c r="AE37" s="16"/>
      <c r="AF37" s="16"/>
      <c r="AG37" s="16"/>
      <c r="AH37" s="16"/>
      <c r="AI37" s="16"/>
      <c r="AJ37" s="16"/>
      <c r="AK37" s="16"/>
      <c r="AL37" s="16"/>
      <c r="AM37" s="16"/>
    </row>
    <row r="38" spans="1:39" s="6" customFormat="1" ht="15" customHeight="1" x14ac:dyDescent="0.3">
      <c r="A38" s="6" t="s">
        <v>40</v>
      </c>
      <c r="B38" s="19">
        <f>SUMPRODUCT((raw!$A$2:$A$3691='(2019-20)'!$A$2)*(raw!$B$2:$B$3691='(2019-20)'!$A38)*(raw!$E$2:$E$3691='(2019-20)'!$B$6:$E$6)*(raw!$F$2:$F$3691='(2019-20)'!B$7)*(raw!$G$2:$G$3691))</f>
        <v>32</v>
      </c>
      <c r="C38" s="19">
        <f>SUMPRODUCT((raw!$A$2:$A$3691='(2019-20)'!$A$2)*(raw!$B$2:$B$3691='(2019-20)'!$A38)*(raw!$E$2:$E$3691='(2019-20)'!$B$6:$E$6)*(raw!$F$2:$F$3691='(2019-20)'!C$7)*(raw!$G$2:$G$3691))</f>
        <v>6</v>
      </c>
      <c r="D38" s="19" t="s">
        <v>188</v>
      </c>
      <c r="E38" s="15">
        <f t="shared" si="0"/>
        <v>0.15789473684210525</v>
      </c>
      <c r="F38" s="19"/>
      <c r="G38" s="19">
        <f>SUMPRODUCT((raw!$A$2:$A$3691='(2019-20)'!$A$2)*(raw!$B$2:$B$3691='(2019-20)'!$A38)*(raw!$E$2:$E$3691='(2019-20)'!$G$6)*(raw!$F$2:$F$3691='(2019-20)'!G$7)*(raw!$G$2:$G$3691))</f>
        <v>36</v>
      </c>
      <c r="H38" s="19">
        <f>SUMPRODUCT((raw!$A$2:$A$3691='(2019-20)'!$A$2)*(raw!$B$2:$B$3691='(2019-20)'!$A38)*(raw!$E$2:$E$3691='(2019-20)'!$G$6)*(raw!$F$2:$F$3691='(2019-20)'!H$7)*(raw!$G$2:$G$3691))</f>
        <v>9</v>
      </c>
      <c r="I38" s="19" t="s">
        <v>188</v>
      </c>
      <c r="J38" s="15">
        <f t="shared" si="1"/>
        <v>0.2</v>
      </c>
      <c r="K38" s="19"/>
      <c r="L38" s="14">
        <f t="shared" si="6"/>
        <v>68</v>
      </c>
      <c r="M38" s="14">
        <f t="shared" si="7"/>
        <v>15</v>
      </c>
      <c r="N38" s="19" t="s">
        <v>188</v>
      </c>
      <c r="O38" s="15">
        <f t="shared" si="2"/>
        <v>0.18072289156626506</v>
      </c>
      <c r="P38" s="19"/>
      <c r="Q38" s="19">
        <f>SUMPRODUCT((raw!$A$2:$A$3691='(2019-20)'!$A$2)*(raw!$B$2:$B$3691='(2019-20)'!$A38)*(raw!$E$2:$E$3691='(2019-20)'!$Q$6)*(raw!$F$2:$F$3691='(2019-20)'!Q$7)*(raw!$G$2:$G$3691))</f>
        <v>1</v>
      </c>
      <c r="R38" s="19">
        <f>SUMPRODUCT((raw!$A$2:$A$3691='(2019-20)'!$A$2)*(raw!$B$2:$B$3691='(2019-20)'!$A38)*(raw!$E$2:$E$3691='(2019-20)'!$Q$6)*(raw!$F$2:$F$3691='(2019-20)'!R$7)*(raw!$G$2:$G$3691))</f>
        <v>2</v>
      </c>
      <c r="S38" s="19" t="s">
        <v>188</v>
      </c>
      <c r="T38" s="15">
        <f t="shared" si="3"/>
        <v>0.66666666666666663</v>
      </c>
      <c r="U38" s="19"/>
      <c r="V38" s="19">
        <f>SUMPRODUCT((raw!$A$2:$A$3691='(2019-20)'!$A$2)*(raw!$B$2:$B$3691='(2019-20)'!$A38)*(raw!$E$2:$E$3691='(2019-20)'!$V$6)*(raw!$F$2:$F$3691='(2019-20)'!V$7)*(raw!$G$2:$G$3691))</f>
        <v>9</v>
      </c>
      <c r="W38" s="19">
        <f>SUMPRODUCT((raw!$A$2:$A$3691='(2019-20)'!$A$2)*(raw!$B$2:$B$3691='(2019-20)'!$A38)*(raw!$E$2:$E$3691='(2019-20)'!$V$6)*(raw!$F$2:$F$3691='(2019-20)'!W$7)*(raw!$G$2:$G$3691))</f>
        <v>11</v>
      </c>
      <c r="X38" s="19" t="s">
        <v>188</v>
      </c>
      <c r="Y38" s="15">
        <f t="shared" si="4"/>
        <v>0.55000000000000004</v>
      </c>
      <c r="Z38" s="19"/>
      <c r="AA38" s="14">
        <f t="shared" si="8"/>
        <v>78</v>
      </c>
      <c r="AB38" s="14">
        <f t="shared" si="9"/>
        <v>28</v>
      </c>
      <c r="AC38" s="19" t="s">
        <v>188</v>
      </c>
      <c r="AD38" s="15">
        <f t="shared" si="5"/>
        <v>0.26415094339622641</v>
      </c>
      <c r="AE38" s="16"/>
      <c r="AF38" s="16"/>
      <c r="AG38" s="16"/>
      <c r="AH38" s="16"/>
      <c r="AI38" s="16"/>
      <c r="AJ38" s="16"/>
      <c r="AK38" s="16"/>
      <c r="AL38" s="16"/>
      <c r="AM38" s="16"/>
    </row>
    <row r="39" spans="1:39" s="6" customFormat="1" ht="15" customHeight="1" x14ac:dyDescent="0.3">
      <c r="A39" s="6" t="s">
        <v>41</v>
      </c>
      <c r="B39" s="19">
        <f>SUMPRODUCT((raw!$A$2:$A$3691='(2019-20)'!$A$2)*(raw!$B$2:$B$3691='(2019-20)'!$A39)*(raw!$E$2:$E$3691='(2019-20)'!$B$6:$E$6)*(raw!$F$2:$F$3691='(2019-20)'!B$7)*(raw!$G$2:$G$3691))</f>
        <v>11</v>
      </c>
      <c r="C39" s="19">
        <f>SUMPRODUCT((raw!$A$2:$A$3691='(2019-20)'!$A$2)*(raw!$B$2:$B$3691='(2019-20)'!$A39)*(raw!$E$2:$E$3691='(2019-20)'!$B$6:$E$6)*(raw!$F$2:$F$3691='(2019-20)'!C$7)*(raw!$G$2:$G$3691))</f>
        <v>2</v>
      </c>
      <c r="D39" s="19" t="s">
        <v>188</v>
      </c>
      <c r="E39" s="15">
        <f t="shared" si="0"/>
        <v>0.15384615384615385</v>
      </c>
      <c r="F39" s="19"/>
      <c r="G39" s="19">
        <f>SUMPRODUCT((raw!$A$2:$A$3691='(2019-20)'!$A$2)*(raw!$B$2:$B$3691='(2019-20)'!$A39)*(raw!$E$2:$E$3691='(2019-20)'!$G$6)*(raw!$F$2:$F$3691='(2019-20)'!G$7)*(raw!$G$2:$G$3691))</f>
        <v>12</v>
      </c>
      <c r="H39" s="19">
        <f>SUMPRODUCT((raw!$A$2:$A$3691='(2019-20)'!$A$2)*(raw!$B$2:$B$3691='(2019-20)'!$A39)*(raw!$E$2:$E$3691='(2019-20)'!$G$6)*(raw!$F$2:$F$3691='(2019-20)'!H$7)*(raw!$G$2:$G$3691))</f>
        <v>2</v>
      </c>
      <c r="I39" s="19" t="s">
        <v>188</v>
      </c>
      <c r="J39" s="15">
        <f t="shared" si="1"/>
        <v>0.14285714285714285</v>
      </c>
      <c r="K39" s="19"/>
      <c r="L39" s="14">
        <f t="shared" si="6"/>
        <v>23</v>
      </c>
      <c r="M39" s="14">
        <f t="shared" si="7"/>
        <v>4</v>
      </c>
      <c r="N39" s="19" t="s">
        <v>188</v>
      </c>
      <c r="O39" s="15">
        <f t="shared" si="2"/>
        <v>0.14814814814814814</v>
      </c>
      <c r="P39" s="19"/>
      <c r="Q39" s="19">
        <f>SUMPRODUCT((raw!$A$2:$A$3691='(2019-20)'!$A$2)*(raw!$B$2:$B$3691='(2019-20)'!$A39)*(raw!$E$2:$E$3691='(2019-20)'!$Q$6)*(raw!$F$2:$F$3691='(2019-20)'!Q$7)*(raw!$G$2:$G$3691))</f>
        <v>0</v>
      </c>
      <c r="R39" s="19">
        <f>SUMPRODUCT((raw!$A$2:$A$3691='(2019-20)'!$A$2)*(raw!$B$2:$B$3691='(2019-20)'!$A39)*(raw!$E$2:$E$3691='(2019-20)'!$Q$6)*(raw!$F$2:$F$3691='(2019-20)'!R$7)*(raw!$G$2:$G$3691))</f>
        <v>1</v>
      </c>
      <c r="S39" s="19" t="s">
        <v>188</v>
      </c>
      <c r="T39" s="15">
        <f t="shared" si="3"/>
        <v>1</v>
      </c>
      <c r="U39" s="19"/>
      <c r="V39" s="19">
        <f>SUMPRODUCT((raw!$A$2:$A$3691='(2019-20)'!$A$2)*(raw!$B$2:$B$3691='(2019-20)'!$A39)*(raw!$E$2:$E$3691='(2019-20)'!$V$6)*(raw!$F$2:$F$3691='(2019-20)'!V$7)*(raw!$G$2:$G$3691))</f>
        <v>2</v>
      </c>
      <c r="W39" s="19">
        <f>SUMPRODUCT((raw!$A$2:$A$3691='(2019-20)'!$A$2)*(raw!$B$2:$B$3691='(2019-20)'!$A39)*(raw!$E$2:$E$3691='(2019-20)'!$V$6)*(raw!$F$2:$F$3691='(2019-20)'!W$7)*(raw!$G$2:$G$3691))</f>
        <v>1</v>
      </c>
      <c r="X39" s="19" t="s">
        <v>188</v>
      </c>
      <c r="Y39" s="15">
        <f t="shared" si="4"/>
        <v>0.33333333333333331</v>
      </c>
      <c r="Z39" s="19"/>
      <c r="AA39" s="14">
        <f t="shared" si="8"/>
        <v>25</v>
      </c>
      <c r="AB39" s="14">
        <f t="shared" si="9"/>
        <v>6</v>
      </c>
      <c r="AC39" s="19" t="s">
        <v>188</v>
      </c>
      <c r="AD39" s="15">
        <f t="shared" si="5"/>
        <v>0.19354838709677419</v>
      </c>
      <c r="AE39" s="16"/>
      <c r="AF39" s="16"/>
      <c r="AG39" s="16"/>
      <c r="AH39" s="16"/>
      <c r="AI39" s="16"/>
      <c r="AJ39" s="16"/>
      <c r="AK39" s="16"/>
      <c r="AL39" s="16"/>
      <c r="AM39" s="16"/>
    </row>
    <row r="40" spans="1:39" s="6" customFormat="1" ht="15" customHeight="1" x14ac:dyDescent="0.3">
      <c r="A40" s="5" t="s">
        <v>42</v>
      </c>
      <c r="B40" s="19">
        <f>SUMPRODUCT((raw!$A$2:$A$3691='(2019-20)'!$A$2)*(raw!$B$2:$B$3691='(2019-20)'!$A40)*(raw!$E$2:$E$3691='(2019-20)'!$B$6:$E$6)*(raw!$F$2:$F$3691='(2019-20)'!B$7)*(raw!$G$2:$G$3691))</f>
        <v>6</v>
      </c>
      <c r="C40" s="19">
        <f>SUMPRODUCT((raw!$A$2:$A$3691='(2019-20)'!$A$2)*(raw!$B$2:$B$3691='(2019-20)'!$A40)*(raw!$E$2:$E$3691='(2019-20)'!$B$6:$E$6)*(raw!$F$2:$F$3691='(2019-20)'!C$7)*(raw!$G$2:$G$3691))</f>
        <v>2</v>
      </c>
      <c r="D40" s="19" t="s">
        <v>188</v>
      </c>
      <c r="E40" s="15">
        <f t="shared" si="0"/>
        <v>0.25</v>
      </c>
      <c r="F40" s="19"/>
      <c r="G40" s="19">
        <f>SUMPRODUCT((raw!$A$2:$A$3691='(2019-20)'!$A$2)*(raw!$B$2:$B$3691='(2019-20)'!$A40)*(raw!$E$2:$E$3691='(2019-20)'!$G$6)*(raw!$F$2:$F$3691='(2019-20)'!G$7)*(raw!$G$2:$G$3691))</f>
        <v>13</v>
      </c>
      <c r="H40" s="19">
        <f>SUMPRODUCT((raw!$A$2:$A$3691='(2019-20)'!$A$2)*(raw!$B$2:$B$3691='(2019-20)'!$A40)*(raw!$E$2:$E$3691='(2019-20)'!$G$6)*(raw!$F$2:$F$3691='(2019-20)'!H$7)*(raw!$G$2:$G$3691))</f>
        <v>2</v>
      </c>
      <c r="I40" s="19" t="s">
        <v>188</v>
      </c>
      <c r="J40" s="15">
        <f t="shared" si="1"/>
        <v>0.13333333333333333</v>
      </c>
      <c r="K40" s="19"/>
      <c r="L40" s="14">
        <f t="shared" si="6"/>
        <v>19</v>
      </c>
      <c r="M40" s="14">
        <f t="shared" si="7"/>
        <v>4</v>
      </c>
      <c r="N40" s="19" t="s">
        <v>188</v>
      </c>
      <c r="O40" s="15">
        <f t="shared" si="2"/>
        <v>0.17391304347826086</v>
      </c>
      <c r="P40" s="19"/>
      <c r="Q40" s="19">
        <f>SUMPRODUCT((raw!$A$2:$A$3691='(2019-20)'!$A$2)*(raw!$B$2:$B$3691='(2019-20)'!$A40)*(raw!$E$2:$E$3691='(2019-20)'!$Q$6)*(raw!$F$2:$F$3691='(2019-20)'!Q$7)*(raw!$G$2:$G$3691))</f>
        <v>0</v>
      </c>
      <c r="R40" s="19">
        <f>SUMPRODUCT((raw!$A$2:$A$3691='(2019-20)'!$A$2)*(raw!$B$2:$B$3691='(2019-20)'!$A40)*(raw!$E$2:$E$3691='(2019-20)'!$Q$6)*(raw!$F$2:$F$3691='(2019-20)'!R$7)*(raw!$G$2:$G$3691))</f>
        <v>0</v>
      </c>
      <c r="S40" s="19" t="s">
        <v>188</v>
      </c>
      <c r="T40" s="15" t="str">
        <f t="shared" si="3"/>
        <v>-</v>
      </c>
      <c r="U40" s="19"/>
      <c r="V40" s="19">
        <f>SUMPRODUCT((raw!$A$2:$A$3691='(2019-20)'!$A$2)*(raw!$B$2:$B$3691='(2019-20)'!$A40)*(raw!$E$2:$E$3691='(2019-20)'!$V$6)*(raw!$F$2:$F$3691='(2019-20)'!V$7)*(raw!$G$2:$G$3691))</f>
        <v>9</v>
      </c>
      <c r="W40" s="19">
        <f>SUMPRODUCT((raw!$A$2:$A$3691='(2019-20)'!$A$2)*(raw!$B$2:$B$3691='(2019-20)'!$A40)*(raw!$E$2:$E$3691='(2019-20)'!$V$6)*(raw!$F$2:$F$3691='(2019-20)'!W$7)*(raw!$G$2:$G$3691))</f>
        <v>14</v>
      </c>
      <c r="X40" s="19" t="s">
        <v>188</v>
      </c>
      <c r="Y40" s="15">
        <f t="shared" si="4"/>
        <v>0.60869565217391308</v>
      </c>
      <c r="Z40" s="19"/>
      <c r="AA40" s="14">
        <f t="shared" si="8"/>
        <v>28</v>
      </c>
      <c r="AB40" s="14">
        <f t="shared" si="9"/>
        <v>18</v>
      </c>
      <c r="AC40" s="19" t="s">
        <v>188</v>
      </c>
      <c r="AD40" s="15">
        <f t="shared" si="5"/>
        <v>0.39130434782608697</v>
      </c>
      <c r="AE40" s="16"/>
      <c r="AF40" s="16"/>
      <c r="AG40" s="16"/>
      <c r="AH40" s="16"/>
      <c r="AI40" s="16"/>
      <c r="AJ40" s="16"/>
      <c r="AK40" s="16"/>
      <c r="AL40" s="16"/>
      <c r="AM40" s="16"/>
    </row>
    <row r="41" spans="1:39" s="6" customFormat="1" ht="15" customHeight="1" x14ac:dyDescent="0.3">
      <c r="A41" s="5" t="s">
        <v>43</v>
      </c>
      <c r="B41" s="19">
        <f>SUMPRODUCT((raw!$A$2:$A$3691='(2019-20)'!$A$2)*(raw!$B$2:$B$3691='(2019-20)'!$A41)*(raw!$E$2:$E$3691='(2019-20)'!$B$6:$E$6)*(raw!$F$2:$F$3691='(2019-20)'!B$7)*(raw!$G$2:$G$3691))</f>
        <v>16</v>
      </c>
      <c r="C41" s="19">
        <f>SUMPRODUCT((raw!$A$2:$A$3691='(2019-20)'!$A$2)*(raw!$B$2:$B$3691='(2019-20)'!$A41)*(raw!$E$2:$E$3691='(2019-20)'!$B$6:$E$6)*(raw!$F$2:$F$3691='(2019-20)'!C$7)*(raw!$G$2:$G$3691))</f>
        <v>2</v>
      </c>
      <c r="D41" s="19" t="s">
        <v>188</v>
      </c>
      <c r="E41" s="15">
        <f t="shared" si="0"/>
        <v>0.1111111111111111</v>
      </c>
      <c r="F41" s="19"/>
      <c r="G41" s="19">
        <f>SUMPRODUCT((raw!$A$2:$A$3691='(2019-20)'!$A$2)*(raw!$B$2:$B$3691='(2019-20)'!$A41)*(raw!$E$2:$E$3691='(2019-20)'!$G$6)*(raw!$F$2:$F$3691='(2019-20)'!G$7)*(raw!$G$2:$G$3691))</f>
        <v>51</v>
      </c>
      <c r="H41" s="19">
        <f>SUMPRODUCT((raw!$A$2:$A$3691='(2019-20)'!$A$2)*(raw!$B$2:$B$3691='(2019-20)'!$A41)*(raw!$E$2:$E$3691='(2019-20)'!$G$6)*(raw!$F$2:$F$3691='(2019-20)'!H$7)*(raw!$G$2:$G$3691))</f>
        <v>9</v>
      </c>
      <c r="I41" s="19" t="s">
        <v>188</v>
      </c>
      <c r="J41" s="15">
        <f t="shared" si="1"/>
        <v>0.15</v>
      </c>
      <c r="K41" s="19"/>
      <c r="L41" s="14">
        <f t="shared" si="6"/>
        <v>67</v>
      </c>
      <c r="M41" s="14">
        <f t="shared" si="7"/>
        <v>11</v>
      </c>
      <c r="N41" s="19" t="s">
        <v>188</v>
      </c>
      <c r="O41" s="15">
        <f t="shared" si="2"/>
        <v>0.14102564102564102</v>
      </c>
      <c r="P41" s="19"/>
      <c r="Q41" s="19">
        <f>SUMPRODUCT((raw!$A$2:$A$3691='(2019-20)'!$A$2)*(raw!$B$2:$B$3691='(2019-20)'!$A41)*(raw!$E$2:$E$3691='(2019-20)'!$Q$6)*(raw!$F$2:$F$3691='(2019-20)'!Q$7)*(raw!$G$2:$G$3691))</f>
        <v>0</v>
      </c>
      <c r="R41" s="19">
        <f>SUMPRODUCT((raw!$A$2:$A$3691='(2019-20)'!$A$2)*(raw!$B$2:$B$3691='(2019-20)'!$A41)*(raw!$E$2:$E$3691='(2019-20)'!$Q$6)*(raw!$F$2:$F$3691='(2019-20)'!R$7)*(raw!$G$2:$G$3691))</f>
        <v>0</v>
      </c>
      <c r="S41" s="19" t="s">
        <v>188</v>
      </c>
      <c r="T41" s="15" t="str">
        <f t="shared" si="3"/>
        <v>-</v>
      </c>
      <c r="U41" s="19"/>
      <c r="V41" s="19">
        <f>SUMPRODUCT((raw!$A$2:$A$3691='(2019-20)'!$A$2)*(raw!$B$2:$B$3691='(2019-20)'!$A41)*(raw!$E$2:$E$3691='(2019-20)'!$V$6)*(raw!$F$2:$F$3691='(2019-20)'!V$7)*(raw!$G$2:$G$3691))</f>
        <v>11</v>
      </c>
      <c r="W41" s="19">
        <f>SUMPRODUCT((raw!$A$2:$A$3691='(2019-20)'!$A$2)*(raw!$B$2:$B$3691='(2019-20)'!$A41)*(raw!$E$2:$E$3691='(2019-20)'!$V$6)*(raw!$F$2:$F$3691='(2019-20)'!W$7)*(raw!$G$2:$G$3691))</f>
        <v>4</v>
      </c>
      <c r="X41" s="19" t="s">
        <v>188</v>
      </c>
      <c r="Y41" s="15">
        <f t="shared" si="4"/>
        <v>0.26666666666666666</v>
      </c>
      <c r="Z41" s="19"/>
      <c r="AA41" s="14">
        <f t="shared" si="8"/>
        <v>78</v>
      </c>
      <c r="AB41" s="14">
        <f t="shared" si="9"/>
        <v>15</v>
      </c>
      <c r="AC41" s="19" t="s">
        <v>188</v>
      </c>
      <c r="AD41" s="15">
        <f t="shared" si="5"/>
        <v>0.16129032258064516</v>
      </c>
      <c r="AE41" s="16"/>
      <c r="AF41" s="16"/>
      <c r="AG41" s="16"/>
      <c r="AH41" s="16"/>
      <c r="AI41" s="16"/>
      <c r="AJ41" s="16"/>
      <c r="AK41" s="16"/>
      <c r="AL41" s="16"/>
      <c r="AM41" s="16"/>
    </row>
    <row r="42" spans="1:39" s="6" customFormat="1" ht="15" customHeight="1" x14ac:dyDescent="0.3">
      <c r="A42" s="5" t="s">
        <v>44</v>
      </c>
      <c r="B42" s="19">
        <f>SUMPRODUCT((raw!$A$2:$A$3691='(2019-20)'!$A$2)*(raw!$B$2:$B$3691='(2019-20)'!$A42)*(raw!$E$2:$E$3691='(2019-20)'!$B$6:$E$6)*(raw!$F$2:$F$3691='(2019-20)'!B$7)*(raw!$G$2:$G$3691))</f>
        <v>8</v>
      </c>
      <c r="C42" s="19">
        <f>SUMPRODUCT((raw!$A$2:$A$3691='(2019-20)'!$A$2)*(raw!$B$2:$B$3691='(2019-20)'!$A42)*(raw!$E$2:$E$3691='(2019-20)'!$B$6:$E$6)*(raw!$F$2:$F$3691='(2019-20)'!C$7)*(raw!$G$2:$G$3691))</f>
        <v>2</v>
      </c>
      <c r="D42" s="19" t="s">
        <v>188</v>
      </c>
      <c r="E42" s="15">
        <f t="shared" si="0"/>
        <v>0.2</v>
      </c>
      <c r="F42" s="19"/>
      <c r="G42" s="19">
        <f>SUMPRODUCT((raw!$A$2:$A$3691='(2019-20)'!$A$2)*(raw!$B$2:$B$3691='(2019-20)'!$A42)*(raw!$E$2:$E$3691='(2019-20)'!$G$6)*(raw!$F$2:$F$3691='(2019-20)'!G$7)*(raw!$G$2:$G$3691))</f>
        <v>21</v>
      </c>
      <c r="H42" s="19">
        <f>SUMPRODUCT((raw!$A$2:$A$3691='(2019-20)'!$A$2)*(raw!$B$2:$B$3691='(2019-20)'!$A42)*(raw!$E$2:$E$3691='(2019-20)'!$G$6)*(raw!$F$2:$F$3691='(2019-20)'!H$7)*(raw!$G$2:$G$3691))</f>
        <v>4</v>
      </c>
      <c r="I42" s="19" t="s">
        <v>188</v>
      </c>
      <c r="J42" s="15">
        <f t="shared" si="1"/>
        <v>0.16</v>
      </c>
      <c r="K42" s="19"/>
      <c r="L42" s="14">
        <f t="shared" si="6"/>
        <v>29</v>
      </c>
      <c r="M42" s="14">
        <f t="shared" si="7"/>
        <v>6</v>
      </c>
      <c r="N42" s="19" t="s">
        <v>188</v>
      </c>
      <c r="O42" s="15">
        <f t="shared" si="2"/>
        <v>0.17142857142857143</v>
      </c>
      <c r="P42" s="19"/>
      <c r="Q42" s="19">
        <f>SUMPRODUCT((raw!$A$2:$A$3691='(2019-20)'!$A$2)*(raw!$B$2:$B$3691='(2019-20)'!$A42)*(raw!$E$2:$E$3691='(2019-20)'!$Q$6)*(raw!$F$2:$F$3691='(2019-20)'!Q$7)*(raw!$G$2:$G$3691))</f>
        <v>0</v>
      </c>
      <c r="R42" s="19">
        <f>SUMPRODUCT((raw!$A$2:$A$3691='(2019-20)'!$A$2)*(raw!$B$2:$B$3691='(2019-20)'!$A42)*(raw!$E$2:$E$3691='(2019-20)'!$Q$6)*(raw!$F$2:$F$3691='(2019-20)'!R$7)*(raw!$G$2:$G$3691))</f>
        <v>3</v>
      </c>
      <c r="S42" s="19" t="s">
        <v>188</v>
      </c>
      <c r="T42" s="15">
        <f t="shared" si="3"/>
        <v>1</v>
      </c>
      <c r="U42" s="19"/>
      <c r="V42" s="19">
        <f>SUMPRODUCT((raw!$A$2:$A$3691='(2019-20)'!$A$2)*(raw!$B$2:$B$3691='(2019-20)'!$A42)*(raw!$E$2:$E$3691='(2019-20)'!$V$6)*(raw!$F$2:$F$3691='(2019-20)'!V$7)*(raw!$G$2:$G$3691))</f>
        <v>4</v>
      </c>
      <c r="W42" s="19">
        <f>SUMPRODUCT((raw!$A$2:$A$3691='(2019-20)'!$A$2)*(raw!$B$2:$B$3691='(2019-20)'!$A42)*(raw!$E$2:$E$3691='(2019-20)'!$V$6)*(raw!$F$2:$F$3691='(2019-20)'!W$7)*(raw!$G$2:$G$3691))</f>
        <v>8</v>
      </c>
      <c r="X42" s="19" t="s">
        <v>188</v>
      </c>
      <c r="Y42" s="15">
        <f t="shared" si="4"/>
        <v>0.66666666666666663</v>
      </c>
      <c r="Z42" s="19"/>
      <c r="AA42" s="14">
        <f t="shared" si="8"/>
        <v>33</v>
      </c>
      <c r="AB42" s="14">
        <f t="shared" si="9"/>
        <v>17</v>
      </c>
      <c r="AC42" s="19" t="s">
        <v>188</v>
      </c>
      <c r="AD42" s="15">
        <f t="shared" si="5"/>
        <v>0.34</v>
      </c>
      <c r="AE42" s="16"/>
      <c r="AF42" s="16"/>
      <c r="AG42" s="16"/>
      <c r="AH42" s="16"/>
      <c r="AI42" s="16"/>
      <c r="AJ42" s="16"/>
      <c r="AK42" s="16"/>
      <c r="AL42" s="16"/>
      <c r="AM42" s="16"/>
    </row>
    <row r="43" spans="1:39" s="6" customFormat="1" ht="15" customHeight="1" x14ac:dyDescent="0.3">
      <c r="A43" s="5" t="s">
        <v>45</v>
      </c>
      <c r="B43" s="19">
        <f>SUMPRODUCT((raw!$A$2:$A$3691='(2019-20)'!$A$2)*(raw!$B$2:$B$3691='(2019-20)'!$A43)*(raw!$E$2:$E$3691='(2019-20)'!$B$6:$E$6)*(raw!$F$2:$F$3691='(2019-20)'!B$7)*(raw!$G$2:$G$3691))</f>
        <v>3</v>
      </c>
      <c r="C43" s="19">
        <f>SUMPRODUCT((raw!$A$2:$A$3691='(2019-20)'!$A$2)*(raw!$B$2:$B$3691='(2019-20)'!$A43)*(raw!$E$2:$E$3691='(2019-20)'!$B$6:$E$6)*(raw!$F$2:$F$3691='(2019-20)'!C$7)*(raw!$G$2:$G$3691))</f>
        <v>0</v>
      </c>
      <c r="D43" s="19" t="s">
        <v>188</v>
      </c>
      <c r="E43" s="15">
        <f t="shared" si="0"/>
        <v>0</v>
      </c>
      <c r="F43" s="19"/>
      <c r="G43" s="19">
        <f>SUMPRODUCT((raw!$A$2:$A$3691='(2019-20)'!$A$2)*(raw!$B$2:$B$3691='(2019-20)'!$A43)*(raw!$E$2:$E$3691='(2019-20)'!$G$6)*(raw!$F$2:$F$3691='(2019-20)'!G$7)*(raw!$G$2:$G$3691))</f>
        <v>38</v>
      </c>
      <c r="H43" s="19">
        <f>SUMPRODUCT((raw!$A$2:$A$3691='(2019-20)'!$A$2)*(raw!$B$2:$B$3691='(2019-20)'!$A43)*(raw!$E$2:$E$3691='(2019-20)'!$G$6)*(raw!$F$2:$F$3691='(2019-20)'!H$7)*(raw!$G$2:$G$3691))</f>
        <v>6</v>
      </c>
      <c r="I43" s="19" t="s">
        <v>188</v>
      </c>
      <c r="J43" s="15">
        <f t="shared" si="1"/>
        <v>0.13636363636363635</v>
      </c>
      <c r="K43" s="19"/>
      <c r="L43" s="14">
        <f t="shared" si="6"/>
        <v>41</v>
      </c>
      <c r="M43" s="14">
        <f t="shared" si="7"/>
        <v>6</v>
      </c>
      <c r="N43" s="19" t="s">
        <v>188</v>
      </c>
      <c r="O43" s="15">
        <f t="shared" si="2"/>
        <v>0.1276595744680851</v>
      </c>
      <c r="P43" s="19"/>
      <c r="Q43" s="19">
        <f>SUMPRODUCT((raw!$A$2:$A$3691='(2019-20)'!$A$2)*(raw!$B$2:$B$3691='(2019-20)'!$A43)*(raw!$E$2:$E$3691='(2019-20)'!$Q$6)*(raw!$F$2:$F$3691='(2019-20)'!Q$7)*(raw!$G$2:$G$3691))</f>
        <v>0</v>
      </c>
      <c r="R43" s="19">
        <f>SUMPRODUCT((raw!$A$2:$A$3691='(2019-20)'!$A$2)*(raw!$B$2:$B$3691='(2019-20)'!$A43)*(raw!$E$2:$E$3691='(2019-20)'!$Q$6)*(raw!$F$2:$F$3691='(2019-20)'!R$7)*(raw!$G$2:$G$3691))</f>
        <v>0</v>
      </c>
      <c r="S43" s="19" t="s">
        <v>188</v>
      </c>
      <c r="T43" s="15" t="str">
        <f t="shared" si="3"/>
        <v>-</v>
      </c>
      <c r="U43" s="19"/>
      <c r="V43" s="19">
        <f>SUMPRODUCT((raw!$A$2:$A$3691='(2019-20)'!$A$2)*(raw!$B$2:$B$3691='(2019-20)'!$A43)*(raw!$E$2:$E$3691='(2019-20)'!$V$6)*(raw!$F$2:$F$3691='(2019-20)'!V$7)*(raw!$G$2:$G$3691))</f>
        <v>13</v>
      </c>
      <c r="W43" s="19">
        <f>SUMPRODUCT((raw!$A$2:$A$3691='(2019-20)'!$A$2)*(raw!$B$2:$B$3691='(2019-20)'!$A43)*(raw!$E$2:$E$3691='(2019-20)'!$V$6)*(raw!$F$2:$F$3691='(2019-20)'!W$7)*(raw!$G$2:$G$3691))</f>
        <v>12</v>
      </c>
      <c r="X43" s="19" t="s">
        <v>188</v>
      </c>
      <c r="Y43" s="15">
        <f t="shared" si="4"/>
        <v>0.48</v>
      </c>
      <c r="Z43" s="19"/>
      <c r="AA43" s="14">
        <f t="shared" si="8"/>
        <v>54</v>
      </c>
      <c r="AB43" s="14">
        <f t="shared" si="9"/>
        <v>18</v>
      </c>
      <c r="AC43" s="19" t="s">
        <v>188</v>
      </c>
      <c r="AD43" s="15">
        <f t="shared" si="5"/>
        <v>0.25</v>
      </c>
      <c r="AE43" s="16"/>
      <c r="AF43" s="16"/>
      <c r="AG43" s="16"/>
      <c r="AH43" s="16"/>
      <c r="AI43" s="16"/>
      <c r="AJ43" s="16"/>
      <c r="AK43" s="16"/>
      <c r="AL43" s="16"/>
      <c r="AM43" s="16"/>
    </row>
    <row r="44" spans="1:39" s="6" customFormat="1" ht="15" customHeight="1" x14ac:dyDescent="0.3">
      <c r="A44" s="5" t="s">
        <v>46</v>
      </c>
      <c r="B44" s="19">
        <f>SUMPRODUCT((raw!$A$2:$A$3691='(2019-20)'!$A$2)*(raw!$B$2:$B$3691='(2019-20)'!$A44)*(raw!$E$2:$E$3691='(2019-20)'!$B$6:$E$6)*(raw!$F$2:$F$3691='(2019-20)'!B$7)*(raw!$G$2:$G$3691))</f>
        <v>6</v>
      </c>
      <c r="C44" s="19">
        <f>SUMPRODUCT((raw!$A$2:$A$3691='(2019-20)'!$A$2)*(raw!$B$2:$B$3691='(2019-20)'!$A44)*(raw!$E$2:$E$3691='(2019-20)'!$B$6:$E$6)*(raw!$F$2:$F$3691='(2019-20)'!C$7)*(raw!$G$2:$G$3691))</f>
        <v>0</v>
      </c>
      <c r="D44" s="19" t="s">
        <v>188</v>
      </c>
      <c r="E44" s="15">
        <f t="shared" si="0"/>
        <v>0</v>
      </c>
      <c r="F44" s="19"/>
      <c r="G44" s="19">
        <f>SUMPRODUCT((raw!$A$2:$A$3691='(2019-20)'!$A$2)*(raw!$B$2:$B$3691='(2019-20)'!$A44)*(raw!$E$2:$E$3691='(2019-20)'!$G$6)*(raw!$F$2:$F$3691='(2019-20)'!G$7)*(raw!$G$2:$G$3691))</f>
        <v>41</v>
      </c>
      <c r="H44" s="19">
        <f>SUMPRODUCT((raw!$A$2:$A$3691='(2019-20)'!$A$2)*(raw!$B$2:$B$3691='(2019-20)'!$A44)*(raw!$E$2:$E$3691='(2019-20)'!$G$6)*(raw!$F$2:$F$3691='(2019-20)'!H$7)*(raw!$G$2:$G$3691))</f>
        <v>2</v>
      </c>
      <c r="I44" s="19" t="s">
        <v>188</v>
      </c>
      <c r="J44" s="15">
        <f t="shared" si="1"/>
        <v>4.6511627906976744E-2</v>
      </c>
      <c r="K44" s="19"/>
      <c r="L44" s="14">
        <f t="shared" si="6"/>
        <v>47</v>
      </c>
      <c r="M44" s="14">
        <f t="shared" si="7"/>
        <v>2</v>
      </c>
      <c r="N44" s="19" t="s">
        <v>188</v>
      </c>
      <c r="O44" s="15">
        <f t="shared" si="2"/>
        <v>4.0816326530612242E-2</v>
      </c>
      <c r="P44" s="19"/>
      <c r="Q44" s="19">
        <f>SUMPRODUCT((raw!$A$2:$A$3691='(2019-20)'!$A$2)*(raw!$B$2:$B$3691='(2019-20)'!$A44)*(raw!$E$2:$E$3691='(2019-20)'!$Q$6)*(raw!$F$2:$F$3691='(2019-20)'!Q$7)*(raw!$G$2:$G$3691))</f>
        <v>0</v>
      </c>
      <c r="R44" s="19">
        <f>SUMPRODUCT((raw!$A$2:$A$3691='(2019-20)'!$A$2)*(raw!$B$2:$B$3691='(2019-20)'!$A44)*(raw!$E$2:$E$3691='(2019-20)'!$Q$6)*(raw!$F$2:$F$3691='(2019-20)'!R$7)*(raw!$G$2:$G$3691))</f>
        <v>0</v>
      </c>
      <c r="S44" s="19" t="s">
        <v>188</v>
      </c>
      <c r="T44" s="15" t="str">
        <f t="shared" si="3"/>
        <v>-</v>
      </c>
      <c r="U44" s="19"/>
      <c r="V44" s="19">
        <f>SUMPRODUCT((raw!$A$2:$A$3691='(2019-20)'!$A$2)*(raw!$B$2:$B$3691='(2019-20)'!$A44)*(raw!$E$2:$E$3691='(2019-20)'!$V$6)*(raw!$F$2:$F$3691='(2019-20)'!V$7)*(raw!$G$2:$G$3691))</f>
        <v>4</v>
      </c>
      <c r="W44" s="19">
        <f>SUMPRODUCT((raw!$A$2:$A$3691='(2019-20)'!$A$2)*(raw!$B$2:$B$3691='(2019-20)'!$A44)*(raw!$E$2:$E$3691='(2019-20)'!$V$6)*(raw!$F$2:$F$3691='(2019-20)'!W$7)*(raw!$G$2:$G$3691))</f>
        <v>2</v>
      </c>
      <c r="X44" s="19" t="s">
        <v>188</v>
      </c>
      <c r="Y44" s="15">
        <f t="shared" si="4"/>
        <v>0.33333333333333331</v>
      </c>
      <c r="Z44" s="19"/>
      <c r="AA44" s="14">
        <f t="shared" si="8"/>
        <v>51</v>
      </c>
      <c r="AB44" s="14">
        <f t="shared" si="9"/>
        <v>4</v>
      </c>
      <c r="AC44" s="19" t="s">
        <v>188</v>
      </c>
      <c r="AD44" s="15">
        <f t="shared" si="5"/>
        <v>7.2727272727272724E-2</v>
      </c>
      <c r="AE44" s="16"/>
      <c r="AF44" s="16"/>
      <c r="AG44" s="16"/>
      <c r="AH44" s="16"/>
      <c r="AI44" s="16"/>
      <c r="AJ44" s="16"/>
      <c r="AK44" s="16"/>
      <c r="AL44" s="16"/>
      <c r="AM44" s="16"/>
    </row>
    <row r="45" spans="1:39" s="6" customFormat="1" ht="15" customHeight="1" x14ac:dyDescent="0.3">
      <c r="A45" s="5" t="s">
        <v>47</v>
      </c>
      <c r="B45" s="19">
        <f>SUMPRODUCT((raw!$A$2:$A$3691='(2019-20)'!$A$2)*(raw!$B$2:$B$3691='(2019-20)'!$A45)*(raw!$E$2:$E$3691='(2019-20)'!$B$6:$E$6)*(raw!$F$2:$F$3691='(2019-20)'!B$7)*(raw!$G$2:$G$3691))</f>
        <v>34</v>
      </c>
      <c r="C45" s="19">
        <f>SUMPRODUCT((raw!$A$2:$A$3691='(2019-20)'!$A$2)*(raw!$B$2:$B$3691='(2019-20)'!$A45)*(raw!$E$2:$E$3691='(2019-20)'!$B$6:$E$6)*(raw!$F$2:$F$3691='(2019-20)'!C$7)*(raw!$G$2:$G$3691))</f>
        <v>1</v>
      </c>
      <c r="D45" s="19" t="s">
        <v>188</v>
      </c>
      <c r="E45" s="15">
        <f t="shared" si="0"/>
        <v>2.8571428571428571E-2</v>
      </c>
      <c r="F45" s="19"/>
      <c r="G45" s="19">
        <f>SUMPRODUCT((raw!$A$2:$A$3691='(2019-20)'!$A$2)*(raw!$B$2:$B$3691='(2019-20)'!$A45)*(raw!$E$2:$E$3691='(2019-20)'!$G$6)*(raw!$F$2:$F$3691='(2019-20)'!G$7)*(raw!$G$2:$G$3691))</f>
        <v>8</v>
      </c>
      <c r="H45" s="19">
        <f>SUMPRODUCT((raw!$A$2:$A$3691='(2019-20)'!$A$2)*(raw!$B$2:$B$3691='(2019-20)'!$A45)*(raw!$E$2:$E$3691='(2019-20)'!$G$6)*(raw!$F$2:$F$3691='(2019-20)'!H$7)*(raw!$G$2:$G$3691))</f>
        <v>0</v>
      </c>
      <c r="I45" s="19" t="s">
        <v>188</v>
      </c>
      <c r="J45" s="15">
        <f t="shared" si="1"/>
        <v>0</v>
      </c>
      <c r="K45" s="19"/>
      <c r="L45" s="14">
        <f t="shared" si="6"/>
        <v>42</v>
      </c>
      <c r="M45" s="14">
        <f t="shared" si="7"/>
        <v>1</v>
      </c>
      <c r="N45" s="19" t="s">
        <v>188</v>
      </c>
      <c r="O45" s="15">
        <f t="shared" si="2"/>
        <v>2.3255813953488372E-2</v>
      </c>
      <c r="P45" s="19"/>
      <c r="Q45" s="19">
        <f>SUMPRODUCT((raw!$A$2:$A$3691='(2019-20)'!$A$2)*(raw!$B$2:$B$3691='(2019-20)'!$A45)*(raw!$E$2:$E$3691='(2019-20)'!$Q$6)*(raw!$F$2:$F$3691='(2019-20)'!Q$7)*(raw!$G$2:$G$3691))</f>
        <v>0</v>
      </c>
      <c r="R45" s="19">
        <f>SUMPRODUCT((raw!$A$2:$A$3691='(2019-20)'!$A$2)*(raw!$B$2:$B$3691='(2019-20)'!$A45)*(raw!$E$2:$E$3691='(2019-20)'!$Q$6)*(raw!$F$2:$F$3691='(2019-20)'!R$7)*(raw!$G$2:$G$3691))</f>
        <v>3</v>
      </c>
      <c r="S45" s="19" t="s">
        <v>188</v>
      </c>
      <c r="T45" s="15">
        <f t="shared" si="3"/>
        <v>1</v>
      </c>
      <c r="U45" s="19"/>
      <c r="V45" s="19">
        <f>SUMPRODUCT((raw!$A$2:$A$3691='(2019-20)'!$A$2)*(raw!$B$2:$B$3691='(2019-20)'!$A45)*(raw!$E$2:$E$3691='(2019-20)'!$V$6)*(raw!$F$2:$F$3691='(2019-20)'!V$7)*(raw!$G$2:$G$3691))</f>
        <v>7</v>
      </c>
      <c r="W45" s="19">
        <f>SUMPRODUCT((raw!$A$2:$A$3691='(2019-20)'!$A$2)*(raw!$B$2:$B$3691='(2019-20)'!$A45)*(raw!$E$2:$E$3691='(2019-20)'!$V$6)*(raw!$F$2:$F$3691='(2019-20)'!W$7)*(raw!$G$2:$G$3691))</f>
        <v>9</v>
      </c>
      <c r="X45" s="19" t="s">
        <v>188</v>
      </c>
      <c r="Y45" s="15">
        <f t="shared" si="4"/>
        <v>0.5625</v>
      </c>
      <c r="Z45" s="19"/>
      <c r="AA45" s="14">
        <f t="shared" si="8"/>
        <v>49</v>
      </c>
      <c r="AB45" s="14">
        <f t="shared" si="9"/>
        <v>13</v>
      </c>
      <c r="AC45" s="19" t="s">
        <v>188</v>
      </c>
      <c r="AD45" s="15">
        <f t="shared" si="5"/>
        <v>0.20967741935483872</v>
      </c>
      <c r="AE45" s="16"/>
      <c r="AF45" s="16"/>
      <c r="AG45" s="16"/>
      <c r="AH45" s="16"/>
      <c r="AI45" s="16"/>
      <c r="AJ45" s="16"/>
      <c r="AK45" s="16"/>
      <c r="AL45" s="16"/>
      <c r="AM45" s="16"/>
    </row>
    <row r="46" spans="1:39" s="6" customFormat="1" ht="15" customHeight="1" x14ac:dyDescent="0.3">
      <c r="A46" s="5" t="s">
        <v>48</v>
      </c>
      <c r="B46" s="19">
        <f>SUMPRODUCT((raw!$A$2:$A$3691='(2019-20)'!$A$2)*(raw!$B$2:$B$3691='(2019-20)'!$A46)*(raw!$E$2:$E$3691='(2019-20)'!$B$6:$E$6)*(raw!$F$2:$F$3691='(2019-20)'!B$7)*(raw!$G$2:$G$3691))</f>
        <v>22</v>
      </c>
      <c r="C46" s="19">
        <f>SUMPRODUCT((raw!$A$2:$A$3691='(2019-20)'!$A$2)*(raw!$B$2:$B$3691='(2019-20)'!$A46)*(raw!$E$2:$E$3691='(2019-20)'!$B$6:$E$6)*(raw!$F$2:$F$3691='(2019-20)'!C$7)*(raw!$G$2:$G$3691))</f>
        <v>2</v>
      </c>
      <c r="D46" s="19" t="s">
        <v>188</v>
      </c>
      <c r="E46" s="15">
        <f t="shared" si="0"/>
        <v>8.3333333333333329E-2</v>
      </c>
      <c r="F46" s="19"/>
      <c r="G46" s="19">
        <f>SUMPRODUCT((raw!$A$2:$A$3691='(2019-20)'!$A$2)*(raw!$B$2:$B$3691='(2019-20)'!$A46)*(raw!$E$2:$E$3691='(2019-20)'!$G$6)*(raw!$F$2:$F$3691='(2019-20)'!G$7)*(raw!$G$2:$G$3691))</f>
        <v>14</v>
      </c>
      <c r="H46" s="19">
        <f>SUMPRODUCT((raw!$A$2:$A$3691='(2019-20)'!$A$2)*(raw!$B$2:$B$3691='(2019-20)'!$A46)*(raw!$E$2:$E$3691='(2019-20)'!$G$6)*(raw!$F$2:$F$3691='(2019-20)'!H$7)*(raw!$G$2:$G$3691))</f>
        <v>1</v>
      </c>
      <c r="I46" s="19" t="s">
        <v>188</v>
      </c>
      <c r="J46" s="15">
        <f t="shared" si="1"/>
        <v>6.6666666666666666E-2</v>
      </c>
      <c r="K46" s="19"/>
      <c r="L46" s="14">
        <f t="shared" si="6"/>
        <v>36</v>
      </c>
      <c r="M46" s="14">
        <f t="shared" si="7"/>
        <v>3</v>
      </c>
      <c r="N46" s="19" t="s">
        <v>188</v>
      </c>
      <c r="O46" s="15">
        <f t="shared" si="2"/>
        <v>7.6923076923076927E-2</v>
      </c>
      <c r="P46" s="19"/>
      <c r="Q46" s="19">
        <f>SUMPRODUCT((raw!$A$2:$A$3691='(2019-20)'!$A$2)*(raw!$B$2:$B$3691='(2019-20)'!$A46)*(raw!$E$2:$E$3691='(2019-20)'!$Q$6)*(raw!$F$2:$F$3691='(2019-20)'!Q$7)*(raw!$G$2:$G$3691))</f>
        <v>1</v>
      </c>
      <c r="R46" s="19">
        <f>SUMPRODUCT((raw!$A$2:$A$3691='(2019-20)'!$A$2)*(raw!$B$2:$B$3691='(2019-20)'!$A46)*(raw!$E$2:$E$3691='(2019-20)'!$Q$6)*(raw!$F$2:$F$3691='(2019-20)'!R$7)*(raw!$G$2:$G$3691))</f>
        <v>1</v>
      </c>
      <c r="S46" s="19" t="s">
        <v>188</v>
      </c>
      <c r="T46" s="15">
        <f t="shared" si="3"/>
        <v>0.5</v>
      </c>
      <c r="U46" s="19"/>
      <c r="V46" s="19">
        <f>SUMPRODUCT((raw!$A$2:$A$3691='(2019-20)'!$A$2)*(raw!$B$2:$B$3691='(2019-20)'!$A46)*(raw!$E$2:$E$3691='(2019-20)'!$V$6)*(raw!$F$2:$F$3691='(2019-20)'!V$7)*(raw!$G$2:$G$3691))</f>
        <v>8</v>
      </c>
      <c r="W46" s="19">
        <f>SUMPRODUCT((raw!$A$2:$A$3691='(2019-20)'!$A$2)*(raw!$B$2:$B$3691='(2019-20)'!$A46)*(raw!$E$2:$E$3691='(2019-20)'!$V$6)*(raw!$F$2:$F$3691='(2019-20)'!W$7)*(raw!$G$2:$G$3691))</f>
        <v>10</v>
      </c>
      <c r="X46" s="19" t="s">
        <v>188</v>
      </c>
      <c r="Y46" s="15">
        <f t="shared" si="4"/>
        <v>0.55555555555555558</v>
      </c>
      <c r="Z46" s="19"/>
      <c r="AA46" s="14">
        <f t="shared" si="8"/>
        <v>45</v>
      </c>
      <c r="AB46" s="14">
        <f t="shared" si="9"/>
        <v>14</v>
      </c>
      <c r="AC46" s="19" t="s">
        <v>188</v>
      </c>
      <c r="AD46" s="15">
        <f t="shared" si="5"/>
        <v>0.23728813559322035</v>
      </c>
      <c r="AE46" s="16"/>
      <c r="AF46" s="16"/>
      <c r="AG46" s="16"/>
      <c r="AH46" s="16"/>
      <c r="AI46" s="16"/>
      <c r="AJ46" s="16"/>
      <c r="AK46" s="16"/>
      <c r="AL46" s="16"/>
      <c r="AM46" s="16"/>
    </row>
    <row r="47" spans="1:39" s="6" customFormat="1" ht="15" customHeight="1" x14ac:dyDescent="0.3">
      <c r="A47" s="5" t="s">
        <v>49</v>
      </c>
      <c r="B47" s="19">
        <f>SUMPRODUCT((raw!$A$2:$A$3691='(2019-20)'!$A$2)*(raw!$B$2:$B$3691='(2019-20)'!$A47)*(raw!$E$2:$E$3691='(2019-20)'!$B$6:$E$6)*(raw!$F$2:$F$3691='(2019-20)'!B$7)*(raw!$G$2:$G$3691))</f>
        <v>10</v>
      </c>
      <c r="C47" s="19">
        <f>SUMPRODUCT((raw!$A$2:$A$3691='(2019-20)'!$A$2)*(raw!$B$2:$B$3691='(2019-20)'!$A47)*(raw!$E$2:$E$3691='(2019-20)'!$B$6:$E$6)*(raw!$F$2:$F$3691='(2019-20)'!C$7)*(raw!$G$2:$G$3691))</f>
        <v>3</v>
      </c>
      <c r="D47" s="19" t="s">
        <v>188</v>
      </c>
      <c r="E47" s="15">
        <f t="shared" si="0"/>
        <v>0.23076923076923078</v>
      </c>
      <c r="F47" s="19"/>
      <c r="G47" s="19">
        <f>SUMPRODUCT((raw!$A$2:$A$3691='(2019-20)'!$A$2)*(raw!$B$2:$B$3691='(2019-20)'!$A47)*(raw!$E$2:$E$3691='(2019-20)'!$G$6)*(raw!$F$2:$F$3691='(2019-20)'!G$7)*(raw!$G$2:$G$3691))</f>
        <v>39</v>
      </c>
      <c r="H47" s="19">
        <f>SUMPRODUCT((raw!$A$2:$A$3691='(2019-20)'!$A$2)*(raw!$B$2:$B$3691='(2019-20)'!$A47)*(raw!$E$2:$E$3691='(2019-20)'!$G$6)*(raw!$F$2:$F$3691='(2019-20)'!H$7)*(raw!$G$2:$G$3691))</f>
        <v>5</v>
      </c>
      <c r="I47" s="19" t="s">
        <v>188</v>
      </c>
      <c r="J47" s="15">
        <f t="shared" si="1"/>
        <v>0.11363636363636363</v>
      </c>
      <c r="K47" s="19"/>
      <c r="L47" s="14">
        <f t="shared" si="6"/>
        <v>49</v>
      </c>
      <c r="M47" s="14">
        <f t="shared" si="7"/>
        <v>8</v>
      </c>
      <c r="N47" s="19" t="s">
        <v>188</v>
      </c>
      <c r="O47" s="15">
        <f t="shared" si="2"/>
        <v>0.14035087719298245</v>
      </c>
      <c r="P47" s="19"/>
      <c r="Q47" s="19">
        <f>SUMPRODUCT((raw!$A$2:$A$3691='(2019-20)'!$A$2)*(raw!$B$2:$B$3691='(2019-20)'!$A47)*(raw!$E$2:$E$3691='(2019-20)'!$Q$6)*(raw!$F$2:$F$3691='(2019-20)'!Q$7)*(raw!$G$2:$G$3691))</f>
        <v>0</v>
      </c>
      <c r="R47" s="19">
        <f>SUMPRODUCT((raw!$A$2:$A$3691='(2019-20)'!$A$2)*(raw!$B$2:$B$3691='(2019-20)'!$A47)*(raw!$E$2:$E$3691='(2019-20)'!$Q$6)*(raw!$F$2:$F$3691='(2019-20)'!R$7)*(raw!$G$2:$G$3691))</f>
        <v>0</v>
      </c>
      <c r="S47" s="19" t="s">
        <v>188</v>
      </c>
      <c r="T47" s="15" t="str">
        <f t="shared" si="3"/>
        <v>-</v>
      </c>
      <c r="U47" s="19"/>
      <c r="V47" s="19">
        <f>SUMPRODUCT((raw!$A$2:$A$3691='(2019-20)'!$A$2)*(raw!$B$2:$B$3691='(2019-20)'!$A47)*(raw!$E$2:$E$3691='(2019-20)'!$V$6)*(raw!$F$2:$F$3691='(2019-20)'!V$7)*(raw!$G$2:$G$3691))</f>
        <v>8</v>
      </c>
      <c r="W47" s="19">
        <f>SUMPRODUCT((raw!$A$2:$A$3691='(2019-20)'!$A$2)*(raw!$B$2:$B$3691='(2019-20)'!$A47)*(raw!$E$2:$E$3691='(2019-20)'!$V$6)*(raw!$F$2:$F$3691='(2019-20)'!W$7)*(raw!$G$2:$G$3691))</f>
        <v>6</v>
      </c>
      <c r="X47" s="19" t="s">
        <v>188</v>
      </c>
      <c r="Y47" s="15">
        <f t="shared" si="4"/>
        <v>0.42857142857142855</v>
      </c>
      <c r="Z47" s="19"/>
      <c r="AA47" s="14">
        <f t="shared" si="8"/>
        <v>57</v>
      </c>
      <c r="AB47" s="14">
        <f t="shared" si="9"/>
        <v>14</v>
      </c>
      <c r="AC47" s="19" t="s">
        <v>188</v>
      </c>
      <c r="AD47" s="15">
        <f t="shared" si="5"/>
        <v>0.19718309859154928</v>
      </c>
      <c r="AE47" s="16"/>
      <c r="AF47" s="16"/>
      <c r="AG47" s="16"/>
      <c r="AH47" s="16"/>
      <c r="AI47" s="16"/>
      <c r="AJ47" s="16"/>
      <c r="AK47" s="16"/>
      <c r="AL47" s="16"/>
      <c r="AM47" s="16"/>
    </row>
    <row r="48" spans="1:39" s="6" customFormat="1" ht="15" customHeight="1" x14ac:dyDescent="0.3">
      <c r="A48" s="5" t="s">
        <v>50</v>
      </c>
      <c r="B48" s="19">
        <f>SUMPRODUCT((raw!$A$2:$A$3691='(2019-20)'!$A$2)*(raw!$B$2:$B$3691='(2019-20)'!$A48)*(raw!$E$2:$E$3691='(2019-20)'!$B$6:$E$6)*(raw!$F$2:$F$3691='(2019-20)'!B$7)*(raw!$G$2:$G$3691))</f>
        <v>0</v>
      </c>
      <c r="C48" s="19">
        <f>SUMPRODUCT((raw!$A$2:$A$3691='(2019-20)'!$A$2)*(raw!$B$2:$B$3691='(2019-20)'!$A48)*(raw!$E$2:$E$3691='(2019-20)'!$B$6:$E$6)*(raw!$F$2:$F$3691='(2019-20)'!C$7)*(raw!$G$2:$G$3691))</f>
        <v>0</v>
      </c>
      <c r="D48" s="19" t="s">
        <v>188</v>
      </c>
      <c r="E48" s="15" t="str">
        <f t="shared" si="0"/>
        <v>-</v>
      </c>
      <c r="F48" s="19"/>
      <c r="G48" s="19">
        <f>SUMPRODUCT((raw!$A$2:$A$3691='(2019-20)'!$A$2)*(raw!$B$2:$B$3691='(2019-20)'!$A48)*(raw!$E$2:$E$3691='(2019-20)'!$G$6)*(raw!$F$2:$F$3691='(2019-20)'!G$7)*(raw!$G$2:$G$3691))</f>
        <v>3</v>
      </c>
      <c r="H48" s="19">
        <f>SUMPRODUCT((raw!$A$2:$A$3691='(2019-20)'!$A$2)*(raw!$B$2:$B$3691='(2019-20)'!$A48)*(raw!$E$2:$E$3691='(2019-20)'!$G$6)*(raw!$F$2:$F$3691='(2019-20)'!H$7)*(raw!$G$2:$G$3691))</f>
        <v>0</v>
      </c>
      <c r="I48" s="19" t="s">
        <v>188</v>
      </c>
      <c r="J48" s="15">
        <f t="shared" si="1"/>
        <v>0</v>
      </c>
      <c r="K48" s="19"/>
      <c r="L48" s="14">
        <f t="shared" si="6"/>
        <v>3</v>
      </c>
      <c r="M48" s="14">
        <f t="shared" si="7"/>
        <v>0</v>
      </c>
      <c r="N48" s="19" t="s">
        <v>188</v>
      </c>
      <c r="O48" s="15">
        <f t="shared" si="2"/>
        <v>0</v>
      </c>
      <c r="P48" s="19"/>
      <c r="Q48" s="19">
        <f>SUMPRODUCT((raw!$A$2:$A$3691='(2019-20)'!$A$2)*(raw!$B$2:$B$3691='(2019-20)'!$A48)*(raw!$E$2:$E$3691='(2019-20)'!$Q$6)*(raw!$F$2:$F$3691='(2019-20)'!Q$7)*(raw!$G$2:$G$3691))</f>
        <v>0</v>
      </c>
      <c r="R48" s="19">
        <f>SUMPRODUCT((raw!$A$2:$A$3691='(2019-20)'!$A$2)*(raw!$B$2:$B$3691='(2019-20)'!$A48)*(raw!$E$2:$E$3691='(2019-20)'!$Q$6)*(raw!$F$2:$F$3691='(2019-20)'!R$7)*(raw!$G$2:$G$3691))</f>
        <v>0</v>
      </c>
      <c r="S48" s="19" t="s">
        <v>188</v>
      </c>
      <c r="T48" s="15" t="str">
        <f t="shared" si="3"/>
        <v>-</v>
      </c>
      <c r="U48" s="19"/>
      <c r="V48" s="19">
        <f>SUMPRODUCT((raw!$A$2:$A$3691='(2019-20)'!$A$2)*(raw!$B$2:$B$3691='(2019-20)'!$A48)*(raw!$E$2:$E$3691='(2019-20)'!$V$6)*(raw!$F$2:$F$3691='(2019-20)'!V$7)*(raw!$G$2:$G$3691))</f>
        <v>0</v>
      </c>
      <c r="W48" s="19">
        <f>SUMPRODUCT((raw!$A$2:$A$3691='(2019-20)'!$A$2)*(raw!$B$2:$B$3691='(2019-20)'!$A48)*(raw!$E$2:$E$3691='(2019-20)'!$V$6)*(raw!$F$2:$F$3691='(2019-20)'!W$7)*(raw!$G$2:$G$3691))</f>
        <v>0</v>
      </c>
      <c r="X48" s="19" t="s">
        <v>188</v>
      </c>
      <c r="Y48" s="15" t="str">
        <f t="shared" si="4"/>
        <v>-</v>
      </c>
      <c r="Z48" s="19"/>
      <c r="AA48" s="14">
        <f t="shared" si="8"/>
        <v>3</v>
      </c>
      <c r="AB48" s="14">
        <f t="shared" si="9"/>
        <v>0</v>
      </c>
      <c r="AC48" s="19" t="s">
        <v>188</v>
      </c>
      <c r="AD48" s="15">
        <f t="shared" si="5"/>
        <v>0</v>
      </c>
      <c r="AE48" s="16"/>
      <c r="AF48" s="16"/>
      <c r="AG48" s="16"/>
      <c r="AH48" s="16"/>
      <c r="AI48" s="16"/>
      <c r="AJ48" s="16"/>
      <c r="AK48" s="16"/>
      <c r="AL48" s="16"/>
      <c r="AM48" s="16"/>
    </row>
    <row r="49" spans="1:39" s="6" customFormat="1" ht="15" customHeight="1" x14ac:dyDescent="0.3">
      <c r="A49" s="22" t="s">
        <v>51</v>
      </c>
      <c r="B49" s="14">
        <f>SUM(B50:B56)</f>
        <v>466</v>
      </c>
      <c r="C49" s="14">
        <f>SUM(C50:C56)</f>
        <v>100</v>
      </c>
      <c r="D49" s="14" t="s">
        <v>188</v>
      </c>
      <c r="E49" s="15">
        <f t="shared" si="0"/>
        <v>0.17667844522968199</v>
      </c>
      <c r="F49" s="14"/>
      <c r="G49" s="14">
        <f>SUM(G50:G56)</f>
        <v>67</v>
      </c>
      <c r="H49" s="14">
        <f>SUM(H50:H56)</f>
        <v>12</v>
      </c>
      <c r="I49" s="14" t="s">
        <v>188</v>
      </c>
      <c r="J49" s="15">
        <f t="shared" si="1"/>
        <v>0.15189873417721519</v>
      </c>
      <c r="K49" s="14"/>
      <c r="L49" s="14">
        <f t="shared" si="6"/>
        <v>533</v>
      </c>
      <c r="M49" s="14">
        <f t="shared" si="7"/>
        <v>112</v>
      </c>
      <c r="N49" s="14" t="s">
        <v>188</v>
      </c>
      <c r="O49" s="15">
        <f t="shared" si="2"/>
        <v>0.17364341085271318</v>
      </c>
      <c r="P49" s="14"/>
      <c r="Q49" s="14">
        <f>SUM(Q50:Q56)</f>
        <v>8</v>
      </c>
      <c r="R49" s="14">
        <f>SUM(R50:R56)</f>
        <v>23</v>
      </c>
      <c r="S49" s="14" t="s">
        <v>188</v>
      </c>
      <c r="T49" s="15">
        <f t="shared" si="3"/>
        <v>0.74193548387096775</v>
      </c>
      <c r="U49" s="14"/>
      <c r="V49" s="14">
        <f>SUM(V50:V56)</f>
        <v>117</v>
      </c>
      <c r="W49" s="14">
        <f>SUM(W50:W56)</f>
        <v>129</v>
      </c>
      <c r="X49" s="14" t="s">
        <v>188</v>
      </c>
      <c r="Y49" s="15">
        <f t="shared" si="4"/>
        <v>0.52439024390243905</v>
      </c>
      <c r="Z49" s="14"/>
      <c r="AA49" s="14">
        <f t="shared" si="8"/>
        <v>658</v>
      </c>
      <c r="AB49" s="14">
        <f t="shared" si="9"/>
        <v>264</v>
      </c>
      <c r="AC49" s="14" t="s">
        <v>188</v>
      </c>
      <c r="AD49" s="15">
        <f t="shared" si="5"/>
        <v>0.28633405639913234</v>
      </c>
      <c r="AE49" s="16"/>
      <c r="AF49" s="16"/>
      <c r="AG49" s="16"/>
      <c r="AH49" s="16"/>
      <c r="AI49" s="16"/>
      <c r="AJ49" s="16"/>
      <c r="AK49" s="16"/>
      <c r="AL49" s="16"/>
      <c r="AM49" s="16"/>
    </row>
    <row r="50" spans="1:39" s="6" customFormat="1" ht="15" customHeight="1" x14ac:dyDescent="0.3">
      <c r="A50" s="5" t="s">
        <v>52</v>
      </c>
      <c r="B50" s="19">
        <f>SUMPRODUCT((raw!$A$2:$A$3691='(2019-20)'!$A$2)*(raw!$B$2:$B$3691='(2019-20)'!$A50)*(raw!$E$2:$E$3691='(2019-20)'!$B$6:$E$6)*(raw!$F$2:$F$3691='(2019-20)'!B$7)*(raw!$G$2:$G$3691))</f>
        <v>63</v>
      </c>
      <c r="C50" s="19">
        <f>SUMPRODUCT((raw!$A$2:$A$3691='(2019-20)'!$A$2)*(raw!$B$2:$B$3691='(2019-20)'!$A50)*(raw!$E$2:$E$3691='(2019-20)'!$B$6:$E$6)*(raw!$F$2:$F$3691='(2019-20)'!C$7)*(raw!$G$2:$G$3691))</f>
        <v>8</v>
      </c>
      <c r="D50" s="19" t="s">
        <v>188</v>
      </c>
      <c r="E50" s="15">
        <f t="shared" si="0"/>
        <v>0.11267605633802817</v>
      </c>
      <c r="F50" s="19"/>
      <c r="G50" s="19">
        <f>SUMPRODUCT((raw!$A$2:$A$3691='(2019-20)'!$A$2)*(raw!$B$2:$B$3691='(2019-20)'!$A50)*(raw!$E$2:$E$3691='(2019-20)'!$G$6)*(raw!$F$2:$F$3691='(2019-20)'!G$7)*(raw!$G$2:$G$3691))</f>
        <v>0</v>
      </c>
      <c r="H50" s="19">
        <f>SUMPRODUCT((raw!$A$2:$A$3691='(2019-20)'!$A$2)*(raw!$B$2:$B$3691='(2019-20)'!$A50)*(raw!$E$2:$E$3691='(2019-20)'!$G$6)*(raw!$F$2:$F$3691='(2019-20)'!H$7)*(raw!$G$2:$G$3691))</f>
        <v>0</v>
      </c>
      <c r="I50" s="19" t="s">
        <v>188</v>
      </c>
      <c r="J50" s="15" t="str">
        <f t="shared" si="1"/>
        <v>-</v>
      </c>
      <c r="K50" s="19"/>
      <c r="L50" s="14">
        <f t="shared" si="6"/>
        <v>63</v>
      </c>
      <c r="M50" s="14">
        <f t="shared" si="7"/>
        <v>8</v>
      </c>
      <c r="N50" s="19" t="s">
        <v>188</v>
      </c>
      <c r="O50" s="15">
        <f t="shared" si="2"/>
        <v>0.11267605633802817</v>
      </c>
      <c r="P50" s="19"/>
      <c r="Q50" s="19">
        <f>SUMPRODUCT((raw!$A$2:$A$3691='(2019-20)'!$A$2)*(raw!$B$2:$B$3691='(2019-20)'!$A50)*(raw!$E$2:$E$3691='(2019-20)'!$Q$6)*(raw!$F$2:$F$3691='(2019-20)'!Q$7)*(raw!$G$2:$G$3691))</f>
        <v>0</v>
      </c>
      <c r="R50" s="19">
        <f>SUMPRODUCT((raw!$A$2:$A$3691='(2019-20)'!$A$2)*(raw!$B$2:$B$3691='(2019-20)'!$A50)*(raw!$E$2:$E$3691='(2019-20)'!$Q$6)*(raw!$F$2:$F$3691='(2019-20)'!R$7)*(raw!$G$2:$G$3691))</f>
        <v>0</v>
      </c>
      <c r="S50" s="19" t="s">
        <v>188</v>
      </c>
      <c r="T50" s="15" t="str">
        <f t="shared" si="3"/>
        <v>-</v>
      </c>
      <c r="U50" s="19"/>
      <c r="V50" s="19">
        <f>SUMPRODUCT((raw!$A$2:$A$3691='(2019-20)'!$A$2)*(raw!$B$2:$B$3691='(2019-20)'!$A50)*(raw!$E$2:$E$3691='(2019-20)'!$V$6)*(raw!$F$2:$F$3691='(2019-20)'!V$7)*(raw!$G$2:$G$3691))</f>
        <v>3</v>
      </c>
      <c r="W50" s="19">
        <f>SUMPRODUCT((raw!$A$2:$A$3691='(2019-20)'!$A$2)*(raw!$B$2:$B$3691='(2019-20)'!$A50)*(raw!$E$2:$E$3691='(2019-20)'!$V$6)*(raw!$F$2:$F$3691='(2019-20)'!W$7)*(raw!$G$2:$G$3691))</f>
        <v>1</v>
      </c>
      <c r="X50" s="19" t="s">
        <v>188</v>
      </c>
      <c r="Y50" s="15">
        <f t="shared" si="4"/>
        <v>0.25</v>
      </c>
      <c r="Z50" s="19"/>
      <c r="AA50" s="14">
        <f t="shared" si="8"/>
        <v>66</v>
      </c>
      <c r="AB50" s="14">
        <f t="shared" si="9"/>
        <v>9</v>
      </c>
      <c r="AC50" s="19" t="s">
        <v>188</v>
      </c>
      <c r="AD50" s="15">
        <f t="shared" si="5"/>
        <v>0.12</v>
      </c>
      <c r="AE50" s="16"/>
      <c r="AF50" s="16"/>
      <c r="AG50" s="16"/>
      <c r="AH50" s="16"/>
      <c r="AI50" s="16"/>
      <c r="AJ50" s="16"/>
      <c r="AK50" s="16"/>
      <c r="AL50" s="16"/>
      <c r="AM50" s="16"/>
    </row>
    <row r="51" spans="1:39" s="6" customFormat="1" ht="15" customHeight="1" x14ac:dyDescent="0.3">
      <c r="A51" s="5" t="s">
        <v>53</v>
      </c>
      <c r="B51" s="19">
        <f>SUMPRODUCT((raw!$A$2:$A$3691='(2019-20)'!$A$2)*(raw!$B$2:$B$3691='(2019-20)'!$A51)*(raw!$E$2:$E$3691='(2019-20)'!$B$6:$E$6)*(raw!$F$2:$F$3691='(2019-20)'!B$7)*(raw!$G$2:$G$3691))</f>
        <v>58</v>
      </c>
      <c r="C51" s="19">
        <f>SUMPRODUCT((raw!$A$2:$A$3691='(2019-20)'!$A$2)*(raw!$B$2:$B$3691='(2019-20)'!$A51)*(raw!$E$2:$E$3691='(2019-20)'!$B$6:$E$6)*(raw!$F$2:$F$3691='(2019-20)'!C$7)*(raw!$G$2:$G$3691))</f>
        <v>15</v>
      </c>
      <c r="D51" s="19" t="s">
        <v>188</v>
      </c>
      <c r="E51" s="15">
        <f t="shared" si="0"/>
        <v>0.20547945205479451</v>
      </c>
      <c r="F51" s="19"/>
      <c r="G51" s="19">
        <f>SUMPRODUCT((raw!$A$2:$A$3691='(2019-20)'!$A$2)*(raw!$B$2:$B$3691='(2019-20)'!$A51)*(raw!$E$2:$E$3691='(2019-20)'!$G$6)*(raw!$F$2:$F$3691='(2019-20)'!G$7)*(raw!$G$2:$G$3691))</f>
        <v>35</v>
      </c>
      <c r="H51" s="19">
        <f>SUMPRODUCT((raw!$A$2:$A$3691='(2019-20)'!$A$2)*(raw!$B$2:$B$3691='(2019-20)'!$A51)*(raw!$E$2:$E$3691='(2019-20)'!$G$6)*(raw!$F$2:$F$3691='(2019-20)'!H$7)*(raw!$G$2:$G$3691))</f>
        <v>10</v>
      </c>
      <c r="I51" s="19" t="s">
        <v>188</v>
      </c>
      <c r="J51" s="15">
        <f t="shared" si="1"/>
        <v>0.22222222222222221</v>
      </c>
      <c r="K51" s="19"/>
      <c r="L51" s="14">
        <f t="shared" si="6"/>
        <v>93</v>
      </c>
      <c r="M51" s="14">
        <f t="shared" si="7"/>
        <v>25</v>
      </c>
      <c r="N51" s="19" t="s">
        <v>188</v>
      </c>
      <c r="O51" s="15">
        <f t="shared" si="2"/>
        <v>0.21186440677966101</v>
      </c>
      <c r="P51" s="19"/>
      <c r="Q51" s="19">
        <f>SUMPRODUCT((raw!$A$2:$A$3691='(2019-20)'!$A$2)*(raw!$B$2:$B$3691='(2019-20)'!$A51)*(raw!$E$2:$E$3691='(2019-20)'!$Q$6)*(raw!$F$2:$F$3691='(2019-20)'!Q$7)*(raw!$G$2:$G$3691))</f>
        <v>1</v>
      </c>
      <c r="R51" s="19">
        <f>SUMPRODUCT((raw!$A$2:$A$3691='(2019-20)'!$A$2)*(raw!$B$2:$B$3691='(2019-20)'!$A51)*(raw!$E$2:$E$3691='(2019-20)'!$Q$6)*(raw!$F$2:$F$3691='(2019-20)'!R$7)*(raw!$G$2:$G$3691))</f>
        <v>5</v>
      </c>
      <c r="S51" s="19" t="s">
        <v>188</v>
      </c>
      <c r="T51" s="15">
        <f t="shared" si="3"/>
        <v>0.83333333333333337</v>
      </c>
      <c r="U51" s="19"/>
      <c r="V51" s="19">
        <f>SUMPRODUCT((raw!$A$2:$A$3691='(2019-20)'!$A$2)*(raw!$B$2:$B$3691='(2019-20)'!$A51)*(raw!$E$2:$E$3691='(2019-20)'!$V$6)*(raw!$F$2:$F$3691='(2019-20)'!V$7)*(raw!$G$2:$G$3691))</f>
        <v>6</v>
      </c>
      <c r="W51" s="19">
        <f>SUMPRODUCT((raw!$A$2:$A$3691='(2019-20)'!$A$2)*(raw!$B$2:$B$3691='(2019-20)'!$A51)*(raw!$E$2:$E$3691='(2019-20)'!$V$6)*(raw!$F$2:$F$3691='(2019-20)'!W$7)*(raw!$G$2:$G$3691))</f>
        <v>5</v>
      </c>
      <c r="X51" s="19" t="s">
        <v>188</v>
      </c>
      <c r="Y51" s="15">
        <f t="shared" si="4"/>
        <v>0.45454545454545453</v>
      </c>
      <c r="Z51" s="19"/>
      <c r="AA51" s="14">
        <f t="shared" si="8"/>
        <v>100</v>
      </c>
      <c r="AB51" s="14">
        <f t="shared" si="9"/>
        <v>35</v>
      </c>
      <c r="AC51" s="19" t="s">
        <v>188</v>
      </c>
      <c r="AD51" s="15">
        <f t="shared" si="5"/>
        <v>0.25925925925925924</v>
      </c>
      <c r="AE51" s="16"/>
      <c r="AF51" s="16"/>
      <c r="AG51" s="16"/>
      <c r="AH51" s="16"/>
      <c r="AI51" s="16"/>
      <c r="AJ51" s="16"/>
      <c r="AK51" s="16"/>
      <c r="AL51" s="16"/>
      <c r="AM51" s="16"/>
    </row>
    <row r="52" spans="1:39" s="6" customFormat="1" ht="15" customHeight="1" x14ac:dyDescent="0.3">
      <c r="A52" s="5" t="s">
        <v>54</v>
      </c>
      <c r="B52" s="19">
        <f>SUMPRODUCT((raw!$A$2:$A$3691='(2019-20)'!$A$2)*(raw!$B$2:$B$3691='(2019-20)'!$A52)*(raw!$E$2:$E$3691='(2019-20)'!$B$6:$E$6)*(raw!$F$2:$F$3691='(2019-20)'!B$7)*(raw!$G$2:$G$3691))</f>
        <v>0</v>
      </c>
      <c r="C52" s="19">
        <f>SUMPRODUCT((raw!$A$2:$A$3691='(2019-20)'!$A$2)*(raw!$B$2:$B$3691='(2019-20)'!$A52)*(raw!$E$2:$E$3691='(2019-20)'!$B$6:$E$6)*(raw!$F$2:$F$3691='(2019-20)'!C$7)*(raw!$G$2:$G$3691))</f>
        <v>0</v>
      </c>
      <c r="D52" s="19" t="s">
        <v>188</v>
      </c>
      <c r="E52" s="15" t="str">
        <f t="shared" si="0"/>
        <v>-</v>
      </c>
      <c r="F52" s="19"/>
      <c r="G52" s="19">
        <f>SUMPRODUCT((raw!$A$2:$A$3691='(2019-20)'!$A$2)*(raw!$B$2:$B$3691='(2019-20)'!$A52)*(raw!$E$2:$E$3691='(2019-20)'!$G$6)*(raw!$F$2:$F$3691='(2019-20)'!G$7)*(raw!$G$2:$G$3691))</f>
        <v>3</v>
      </c>
      <c r="H52" s="19">
        <f>SUMPRODUCT((raw!$A$2:$A$3691='(2019-20)'!$A$2)*(raw!$B$2:$B$3691='(2019-20)'!$A52)*(raw!$E$2:$E$3691='(2019-20)'!$G$6)*(raw!$F$2:$F$3691='(2019-20)'!H$7)*(raw!$G$2:$G$3691))</f>
        <v>1</v>
      </c>
      <c r="I52" s="19" t="s">
        <v>188</v>
      </c>
      <c r="J52" s="15">
        <f t="shared" si="1"/>
        <v>0.25</v>
      </c>
      <c r="K52" s="19"/>
      <c r="L52" s="14">
        <f t="shared" si="6"/>
        <v>3</v>
      </c>
      <c r="M52" s="14">
        <f t="shared" si="7"/>
        <v>1</v>
      </c>
      <c r="N52" s="19" t="s">
        <v>188</v>
      </c>
      <c r="O52" s="15">
        <f t="shared" si="2"/>
        <v>0.25</v>
      </c>
      <c r="P52" s="19"/>
      <c r="Q52" s="19">
        <f>SUMPRODUCT((raw!$A$2:$A$3691='(2019-20)'!$A$2)*(raw!$B$2:$B$3691='(2019-20)'!$A52)*(raw!$E$2:$E$3691='(2019-20)'!$Q$6)*(raw!$F$2:$F$3691='(2019-20)'!Q$7)*(raw!$G$2:$G$3691))</f>
        <v>0</v>
      </c>
      <c r="R52" s="19">
        <f>SUMPRODUCT((raw!$A$2:$A$3691='(2019-20)'!$A$2)*(raw!$B$2:$B$3691='(2019-20)'!$A52)*(raw!$E$2:$E$3691='(2019-20)'!$Q$6)*(raw!$F$2:$F$3691='(2019-20)'!R$7)*(raw!$G$2:$G$3691))</f>
        <v>1</v>
      </c>
      <c r="S52" s="19" t="s">
        <v>188</v>
      </c>
      <c r="T52" s="15">
        <f t="shared" si="3"/>
        <v>1</v>
      </c>
      <c r="U52" s="19"/>
      <c r="V52" s="19">
        <f>SUMPRODUCT((raw!$A$2:$A$3691='(2019-20)'!$A$2)*(raw!$B$2:$B$3691='(2019-20)'!$A52)*(raw!$E$2:$E$3691='(2019-20)'!$V$6)*(raw!$F$2:$F$3691='(2019-20)'!V$7)*(raw!$G$2:$G$3691))</f>
        <v>9</v>
      </c>
      <c r="W52" s="19">
        <f>SUMPRODUCT((raw!$A$2:$A$3691='(2019-20)'!$A$2)*(raw!$B$2:$B$3691='(2019-20)'!$A52)*(raw!$E$2:$E$3691='(2019-20)'!$V$6)*(raw!$F$2:$F$3691='(2019-20)'!W$7)*(raw!$G$2:$G$3691))</f>
        <v>7</v>
      </c>
      <c r="X52" s="19" t="s">
        <v>188</v>
      </c>
      <c r="Y52" s="15">
        <f t="shared" si="4"/>
        <v>0.4375</v>
      </c>
      <c r="Z52" s="19"/>
      <c r="AA52" s="14">
        <f t="shared" si="8"/>
        <v>12</v>
      </c>
      <c r="AB52" s="14">
        <f t="shared" si="9"/>
        <v>9</v>
      </c>
      <c r="AC52" s="19" t="s">
        <v>188</v>
      </c>
      <c r="AD52" s="15">
        <f t="shared" si="5"/>
        <v>0.42857142857142855</v>
      </c>
      <c r="AE52" s="16"/>
      <c r="AF52" s="16"/>
      <c r="AG52" s="16"/>
      <c r="AH52" s="16"/>
      <c r="AI52" s="16"/>
      <c r="AJ52" s="16"/>
      <c r="AK52" s="16"/>
      <c r="AL52" s="16"/>
      <c r="AM52" s="16"/>
    </row>
    <row r="53" spans="1:39" s="6" customFormat="1" ht="15" customHeight="1" x14ac:dyDescent="0.3">
      <c r="A53" s="2" t="s">
        <v>55</v>
      </c>
      <c r="B53" s="19">
        <f>SUMPRODUCT((raw!$A$2:$A$3691='(2019-20)'!$A$2)*(raw!$B$2:$B$3691='(2019-20)'!$A53)*(raw!$E$2:$E$3691='(2019-20)'!$B$6:$E$6)*(raw!$F$2:$F$3691='(2019-20)'!B$7)*(raw!$G$2:$G$3691))</f>
        <v>15</v>
      </c>
      <c r="C53" s="19">
        <f>SUMPRODUCT((raw!$A$2:$A$3691='(2019-20)'!$A$2)*(raw!$B$2:$B$3691='(2019-20)'!$A53)*(raw!$E$2:$E$3691='(2019-20)'!$B$6:$E$6)*(raw!$F$2:$F$3691='(2019-20)'!C$7)*(raw!$G$2:$G$3691))</f>
        <v>1</v>
      </c>
      <c r="D53" s="19" t="s">
        <v>188</v>
      </c>
      <c r="E53" s="15">
        <f t="shared" si="0"/>
        <v>6.25E-2</v>
      </c>
      <c r="F53" s="19"/>
      <c r="G53" s="19">
        <f>SUMPRODUCT((raw!$A$2:$A$3691='(2019-20)'!$A$2)*(raw!$B$2:$B$3691='(2019-20)'!$A53)*(raw!$E$2:$E$3691='(2019-20)'!$G$6)*(raw!$F$2:$F$3691='(2019-20)'!G$7)*(raw!$G$2:$G$3691))</f>
        <v>4</v>
      </c>
      <c r="H53" s="19">
        <f>SUMPRODUCT((raw!$A$2:$A$3691='(2019-20)'!$A$2)*(raw!$B$2:$B$3691='(2019-20)'!$A53)*(raw!$E$2:$E$3691='(2019-20)'!$G$6)*(raw!$F$2:$F$3691='(2019-20)'!H$7)*(raw!$G$2:$G$3691))</f>
        <v>0</v>
      </c>
      <c r="I53" s="19" t="s">
        <v>188</v>
      </c>
      <c r="J53" s="15">
        <f t="shared" si="1"/>
        <v>0</v>
      </c>
      <c r="K53" s="19"/>
      <c r="L53" s="14">
        <f t="shared" si="6"/>
        <v>19</v>
      </c>
      <c r="M53" s="14">
        <f t="shared" si="7"/>
        <v>1</v>
      </c>
      <c r="N53" s="19" t="s">
        <v>188</v>
      </c>
      <c r="O53" s="15">
        <f t="shared" si="2"/>
        <v>0.05</v>
      </c>
      <c r="P53" s="19"/>
      <c r="Q53" s="19">
        <f>SUMPRODUCT((raw!$A$2:$A$3691='(2019-20)'!$A$2)*(raw!$B$2:$B$3691='(2019-20)'!$A53)*(raw!$E$2:$E$3691='(2019-20)'!$Q$6)*(raw!$F$2:$F$3691='(2019-20)'!Q$7)*(raw!$G$2:$G$3691))</f>
        <v>1</v>
      </c>
      <c r="R53" s="19">
        <f>SUMPRODUCT((raw!$A$2:$A$3691='(2019-20)'!$A$2)*(raw!$B$2:$B$3691='(2019-20)'!$A53)*(raw!$E$2:$E$3691='(2019-20)'!$Q$6)*(raw!$F$2:$F$3691='(2019-20)'!R$7)*(raw!$G$2:$G$3691))</f>
        <v>0</v>
      </c>
      <c r="S53" s="19" t="s">
        <v>188</v>
      </c>
      <c r="T53" s="15">
        <f t="shared" si="3"/>
        <v>0</v>
      </c>
      <c r="U53" s="19"/>
      <c r="V53" s="19">
        <f>SUMPRODUCT((raw!$A$2:$A$3691='(2019-20)'!$A$2)*(raw!$B$2:$B$3691='(2019-20)'!$A53)*(raw!$E$2:$E$3691='(2019-20)'!$V$6)*(raw!$F$2:$F$3691='(2019-20)'!V$7)*(raw!$G$2:$G$3691))</f>
        <v>12</v>
      </c>
      <c r="W53" s="19">
        <f>SUMPRODUCT((raw!$A$2:$A$3691='(2019-20)'!$A$2)*(raw!$B$2:$B$3691='(2019-20)'!$A53)*(raw!$E$2:$E$3691='(2019-20)'!$V$6)*(raw!$F$2:$F$3691='(2019-20)'!W$7)*(raw!$G$2:$G$3691))</f>
        <v>14</v>
      </c>
      <c r="X53" s="19" t="s">
        <v>188</v>
      </c>
      <c r="Y53" s="15">
        <f t="shared" si="4"/>
        <v>0.53846153846153844</v>
      </c>
      <c r="Z53" s="19"/>
      <c r="AA53" s="14">
        <f t="shared" si="8"/>
        <v>32</v>
      </c>
      <c r="AB53" s="14">
        <f t="shared" si="9"/>
        <v>15</v>
      </c>
      <c r="AC53" s="19" t="s">
        <v>188</v>
      </c>
      <c r="AD53" s="15">
        <f t="shared" si="5"/>
        <v>0.31914893617021278</v>
      </c>
      <c r="AE53" s="16"/>
      <c r="AF53" s="16"/>
      <c r="AG53" s="16"/>
      <c r="AH53" s="16"/>
      <c r="AI53" s="16"/>
      <c r="AJ53" s="16"/>
      <c r="AK53" s="16"/>
      <c r="AL53" s="16"/>
      <c r="AM53" s="16"/>
    </row>
    <row r="54" spans="1:39" s="6" customFormat="1" ht="15" customHeight="1" x14ac:dyDescent="0.3">
      <c r="A54" s="2" t="s">
        <v>56</v>
      </c>
      <c r="B54" s="19">
        <f>SUMPRODUCT((raw!$A$2:$A$3691='(2019-20)'!$A$2)*(raw!$B$2:$B$3691='(2019-20)'!$A54)*(raw!$E$2:$E$3691='(2019-20)'!$B$6:$E$6)*(raw!$F$2:$F$3691='(2019-20)'!B$7)*(raw!$G$2:$G$3691))</f>
        <v>51</v>
      </c>
      <c r="C54" s="19">
        <f>SUMPRODUCT((raw!$A$2:$A$3691='(2019-20)'!$A$2)*(raw!$B$2:$B$3691='(2019-20)'!$A54)*(raw!$E$2:$E$3691='(2019-20)'!$B$6:$E$6)*(raw!$F$2:$F$3691='(2019-20)'!C$7)*(raw!$G$2:$G$3691))</f>
        <v>23</v>
      </c>
      <c r="D54" s="19" t="s">
        <v>188</v>
      </c>
      <c r="E54" s="15">
        <f t="shared" si="0"/>
        <v>0.3108108108108108</v>
      </c>
      <c r="F54" s="19"/>
      <c r="G54" s="19">
        <f>SUMPRODUCT((raw!$A$2:$A$3691='(2019-20)'!$A$2)*(raw!$B$2:$B$3691='(2019-20)'!$A54)*(raw!$E$2:$E$3691='(2019-20)'!$G$6)*(raw!$F$2:$F$3691='(2019-20)'!G$7)*(raw!$G$2:$G$3691))</f>
        <v>0</v>
      </c>
      <c r="H54" s="19">
        <f>SUMPRODUCT((raw!$A$2:$A$3691='(2019-20)'!$A$2)*(raw!$B$2:$B$3691='(2019-20)'!$A54)*(raw!$E$2:$E$3691='(2019-20)'!$G$6)*(raw!$F$2:$F$3691='(2019-20)'!H$7)*(raw!$G$2:$G$3691))</f>
        <v>0</v>
      </c>
      <c r="I54" s="19" t="s">
        <v>188</v>
      </c>
      <c r="J54" s="15" t="str">
        <f t="shared" si="1"/>
        <v>-</v>
      </c>
      <c r="K54" s="19"/>
      <c r="L54" s="14">
        <f t="shared" si="6"/>
        <v>51</v>
      </c>
      <c r="M54" s="14">
        <f t="shared" si="7"/>
        <v>23</v>
      </c>
      <c r="N54" s="19" t="s">
        <v>188</v>
      </c>
      <c r="O54" s="15">
        <f t="shared" si="2"/>
        <v>0.3108108108108108</v>
      </c>
      <c r="P54" s="19"/>
      <c r="Q54" s="19">
        <f>SUMPRODUCT((raw!$A$2:$A$3691='(2019-20)'!$A$2)*(raw!$B$2:$B$3691='(2019-20)'!$A54)*(raw!$E$2:$E$3691='(2019-20)'!$Q$6)*(raw!$F$2:$F$3691='(2019-20)'!Q$7)*(raw!$G$2:$G$3691))</f>
        <v>4</v>
      </c>
      <c r="R54" s="19">
        <f>SUMPRODUCT((raw!$A$2:$A$3691='(2019-20)'!$A$2)*(raw!$B$2:$B$3691='(2019-20)'!$A54)*(raw!$E$2:$E$3691='(2019-20)'!$Q$6)*(raw!$F$2:$F$3691='(2019-20)'!R$7)*(raw!$G$2:$G$3691))</f>
        <v>5</v>
      </c>
      <c r="S54" s="19" t="s">
        <v>188</v>
      </c>
      <c r="T54" s="15">
        <f t="shared" si="3"/>
        <v>0.55555555555555558</v>
      </c>
      <c r="U54" s="19"/>
      <c r="V54" s="19">
        <f>SUMPRODUCT((raw!$A$2:$A$3691='(2019-20)'!$A$2)*(raw!$B$2:$B$3691='(2019-20)'!$A54)*(raw!$E$2:$E$3691='(2019-20)'!$V$6)*(raw!$F$2:$F$3691='(2019-20)'!V$7)*(raw!$G$2:$G$3691))</f>
        <v>23</v>
      </c>
      <c r="W54" s="19">
        <f>SUMPRODUCT((raw!$A$2:$A$3691='(2019-20)'!$A$2)*(raw!$B$2:$B$3691='(2019-20)'!$A54)*(raw!$E$2:$E$3691='(2019-20)'!$V$6)*(raw!$F$2:$F$3691='(2019-20)'!W$7)*(raw!$G$2:$G$3691))</f>
        <v>17</v>
      </c>
      <c r="X54" s="19" t="s">
        <v>188</v>
      </c>
      <c r="Y54" s="15">
        <f t="shared" si="4"/>
        <v>0.42499999999999999</v>
      </c>
      <c r="Z54" s="19"/>
      <c r="AA54" s="14">
        <f t="shared" si="8"/>
        <v>78</v>
      </c>
      <c r="AB54" s="14">
        <f t="shared" si="9"/>
        <v>45</v>
      </c>
      <c r="AC54" s="19" t="s">
        <v>188</v>
      </c>
      <c r="AD54" s="15">
        <f t="shared" si="5"/>
        <v>0.36585365853658536</v>
      </c>
      <c r="AE54" s="16"/>
      <c r="AF54" s="16"/>
      <c r="AG54" s="16"/>
      <c r="AH54" s="16"/>
      <c r="AI54" s="16"/>
      <c r="AJ54" s="16"/>
      <c r="AK54" s="16"/>
      <c r="AL54" s="16"/>
      <c r="AM54" s="16"/>
    </row>
    <row r="55" spans="1:39" s="6" customFormat="1" ht="15" customHeight="1" x14ac:dyDescent="0.3">
      <c r="A55" s="2" t="s">
        <v>57</v>
      </c>
      <c r="B55" s="19">
        <f>SUMPRODUCT((raw!$A$2:$A$3691='(2019-20)'!$A$2)*(raw!$B$2:$B$3691='(2019-20)'!$A55)*(raw!$E$2:$E$3691='(2019-20)'!$B$6:$E$6)*(raw!$F$2:$F$3691='(2019-20)'!B$7)*(raw!$G$2:$G$3691))</f>
        <v>37</v>
      </c>
      <c r="C55" s="19">
        <f>SUMPRODUCT((raw!$A$2:$A$3691='(2019-20)'!$A$2)*(raw!$B$2:$B$3691='(2019-20)'!$A55)*(raw!$E$2:$E$3691='(2019-20)'!$B$6:$E$6)*(raw!$F$2:$F$3691='(2019-20)'!C$7)*(raw!$G$2:$G$3691))</f>
        <v>4</v>
      </c>
      <c r="D55" s="19" t="s">
        <v>188</v>
      </c>
      <c r="E55" s="15">
        <f t="shared" si="0"/>
        <v>9.7560975609756101E-2</v>
      </c>
      <c r="F55" s="19"/>
      <c r="G55" s="19">
        <f>SUMPRODUCT((raw!$A$2:$A$3691='(2019-20)'!$A$2)*(raw!$B$2:$B$3691='(2019-20)'!$A55)*(raw!$E$2:$E$3691='(2019-20)'!$G$6)*(raw!$F$2:$F$3691='(2019-20)'!G$7)*(raw!$G$2:$G$3691))</f>
        <v>25</v>
      </c>
      <c r="H55" s="19">
        <f>SUMPRODUCT((raw!$A$2:$A$3691='(2019-20)'!$A$2)*(raw!$B$2:$B$3691='(2019-20)'!$A55)*(raw!$E$2:$E$3691='(2019-20)'!$G$6)*(raw!$F$2:$F$3691='(2019-20)'!H$7)*(raw!$G$2:$G$3691))</f>
        <v>1</v>
      </c>
      <c r="I55" s="19" t="s">
        <v>188</v>
      </c>
      <c r="J55" s="15">
        <f t="shared" si="1"/>
        <v>3.8461538461538464E-2</v>
      </c>
      <c r="K55" s="19"/>
      <c r="L55" s="14">
        <f t="shared" si="6"/>
        <v>62</v>
      </c>
      <c r="M55" s="14">
        <f t="shared" si="7"/>
        <v>5</v>
      </c>
      <c r="N55" s="19" t="s">
        <v>188</v>
      </c>
      <c r="O55" s="15">
        <f t="shared" si="2"/>
        <v>7.4626865671641784E-2</v>
      </c>
      <c r="P55" s="19"/>
      <c r="Q55" s="19">
        <f>SUMPRODUCT((raw!$A$2:$A$3691='(2019-20)'!$A$2)*(raw!$B$2:$B$3691='(2019-20)'!$A55)*(raw!$E$2:$E$3691='(2019-20)'!$Q$6)*(raw!$F$2:$F$3691='(2019-20)'!Q$7)*(raw!$G$2:$G$3691))</f>
        <v>0</v>
      </c>
      <c r="R55" s="19">
        <f>SUMPRODUCT((raw!$A$2:$A$3691='(2019-20)'!$A$2)*(raw!$B$2:$B$3691='(2019-20)'!$A55)*(raw!$E$2:$E$3691='(2019-20)'!$Q$6)*(raw!$F$2:$F$3691='(2019-20)'!R$7)*(raw!$G$2:$G$3691))</f>
        <v>1</v>
      </c>
      <c r="S55" s="19" t="s">
        <v>188</v>
      </c>
      <c r="T55" s="15">
        <f t="shared" si="3"/>
        <v>1</v>
      </c>
      <c r="U55" s="19"/>
      <c r="V55" s="19">
        <f>SUMPRODUCT((raw!$A$2:$A$3691='(2019-20)'!$A$2)*(raw!$B$2:$B$3691='(2019-20)'!$A55)*(raw!$E$2:$E$3691='(2019-20)'!$V$6)*(raw!$F$2:$F$3691='(2019-20)'!V$7)*(raw!$G$2:$G$3691))</f>
        <v>5</v>
      </c>
      <c r="W55" s="19">
        <f>SUMPRODUCT((raw!$A$2:$A$3691='(2019-20)'!$A$2)*(raw!$B$2:$B$3691='(2019-20)'!$A55)*(raw!$E$2:$E$3691='(2019-20)'!$V$6)*(raw!$F$2:$F$3691='(2019-20)'!W$7)*(raw!$G$2:$G$3691))</f>
        <v>12</v>
      </c>
      <c r="X55" s="19" t="s">
        <v>188</v>
      </c>
      <c r="Y55" s="15">
        <f t="shared" si="4"/>
        <v>0.70588235294117652</v>
      </c>
      <c r="Z55" s="19"/>
      <c r="AA55" s="14">
        <f t="shared" si="8"/>
        <v>67</v>
      </c>
      <c r="AB55" s="14">
        <f t="shared" si="9"/>
        <v>18</v>
      </c>
      <c r="AC55" s="19" t="s">
        <v>188</v>
      </c>
      <c r="AD55" s="15">
        <f t="shared" si="5"/>
        <v>0.21176470588235294</v>
      </c>
      <c r="AE55" s="16"/>
      <c r="AF55" s="16"/>
      <c r="AG55" s="16"/>
      <c r="AH55" s="16"/>
      <c r="AI55" s="16"/>
      <c r="AJ55" s="16"/>
      <c r="AK55" s="16"/>
      <c r="AL55" s="16"/>
      <c r="AM55" s="16"/>
    </row>
    <row r="56" spans="1:39" s="6" customFormat="1" ht="15" customHeight="1" thickBot="1" x14ac:dyDescent="0.35">
      <c r="A56" s="23" t="s">
        <v>58</v>
      </c>
      <c r="B56" s="24">
        <f>SUMPRODUCT((raw!$A$2:$A$3691='(2019-20)'!$A$2)*(raw!$B$2:$B$3691='(2019-20)'!$A56)*(raw!$E$2:$E$3691='(2019-20)'!$B$6:$E$6)*(raw!$F$2:$F$3691='(2019-20)'!B$7)*(raw!$G$2:$G$3691))</f>
        <v>242</v>
      </c>
      <c r="C56" s="24">
        <f>SUMPRODUCT((raw!$A$2:$A$3691='(2019-20)'!$A$2)*(raw!$B$2:$B$3691='(2019-20)'!$A56)*(raw!$E$2:$E$3691='(2019-20)'!$B$6:$E$6)*(raw!$F$2:$F$3691='(2019-20)'!C$7)*(raw!$G$2:$G$3691))</f>
        <v>49</v>
      </c>
      <c r="D56" s="24" t="s">
        <v>188</v>
      </c>
      <c r="E56" s="26">
        <f t="shared" si="0"/>
        <v>0.16838487972508592</v>
      </c>
      <c r="F56" s="24"/>
      <c r="G56" s="24">
        <f>SUMPRODUCT((raw!$A$2:$A$3691='(2019-20)'!$A$2)*(raw!$B$2:$B$3691='(2019-20)'!$A56)*(raw!$E$2:$E$3691='(2019-20)'!$G$6)*(raw!$F$2:$F$3691='(2019-20)'!G$7)*(raw!$G$2:$G$3691))</f>
        <v>0</v>
      </c>
      <c r="H56" s="24">
        <f>SUMPRODUCT((raw!$A$2:$A$3691='(2019-20)'!$A$2)*(raw!$B$2:$B$3691='(2019-20)'!$A56)*(raw!$E$2:$E$3691='(2019-20)'!$G$6)*(raw!$F$2:$F$3691='(2019-20)'!H$7)*(raw!$G$2:$G$3691))</f>
        <v>0</v>
      </c>
      <c r="I56" s="24" t="s">
        <v>188</v>
      </c>
      <c r="J56" s="26" t="str">
        <f t="shared" si="1"/>
        <v>-</v>
      </c>
      <c r="K56" s="24"/>
      <c r="L56" s="25">
        <f t="shared" si="6"/>
        <v>242</v>
      </c>
      <c r="M56" s="25">
        <f t="shared" si="7"/>
        <v>49</v>
      </c>
      <c r="N56" s="24" t="s">
        <v>188</v>
      </c>
      <c r="O56" s="26">
        <f t="shared" si="2"/>
        <v>0.16838487972508592</v>
      </c>
      <c r="P56" s="24"/>
      <c r="Q56" s="24">
        <f>SUMPRODUCT((raw!$A$2:$A$3691='(2019-20)'!$A$2)*(raw!$B$2:$B$3691='(2019-20)'!$A56)*(raw!$E$2:$E$3691='(2019-20)'!$Q$6)*(raw!$F$2:$F$3691='(2019-20)'!Q$7)*(raw!$G$2:$G$3691))</f>
        <v>2</v>
      </c>
      <c r="R56" s="24">
        <f>SUMPRODUCT((raw!$A$2:$A$3691='(2019-20)'!$A$2)*(raw!$B$2:$B$3691='(2019-20)'!$A56)*(raw!$E$2:$E$3691='(2019-20)'!$Q$6)*(raw!$F$2:$F$3691='(2019-20)'!R$7)*(raw!$G$2:$G$3691))</f>
        <v>11</v>
      </c>
      <c r="S56" s="24" t="s">
        <v>188</v>
      </c>
      <c r="T56" s="26">
        <f t="shared" si="3"/>
        <v>0.84615384615384615</v>
      </c>
      <c r="U56" s="24"/>
      <c r="V56" s="24">
        <f>SUMPRODUCT((raw!$A$2:$A$3691='(2019-20)'!$A$2)*(raw!$B$2:$B$3691='(2019-20)'!$A56)*(raw!$E$2:$E$3691='(2019-20)'!$V$6)*(raw!$F$2:$F$3691='(2019-20)'!V$7)*(raw!$G$2:$G$3691))</f>
        <v>59</v>
      </c>
      <c r="W56" s="24">
        <f>SUMPRODUCT((raw!$A$2:$A$3691='(2019-20)'!$A$2)*(raw!$B$2:$B$3691='(2019-20)'!$A56)*(raw!$E$2:$E$3691='(2019-20)'!$V$6)*(raw!$F$2:$F$3691='(2019-20)'!W$7)*(raw!$G$2:$G$3691))</f>
        <v>73</v>
      </c>
      <c r="X56" s="24" t="s">
        <v>188</v>
      </c>
      <c r="Y56" s="26">
        <f t="shared" si="4"/>
        <v>0.55303030303030298</v>
      </c>
      <c r="Z56" s="24"/>
      <c r="AA56" s="25">
        <f t="shared" si="8"/>
        <v>303</v>
      </c>
      <c r="AB56" s="25">
        <f t="shared" si="9"/>
        <v>133</v>
      </c>
      <c r="AC56" s="24" t="s">
        <v>188</v>
      </c>
      <c r="AD56" s="26">
        <f t="shared" si="5"/>
        <v>0.30504587155963303</v>
      </c>
      <c r="AE56" s="16"/>
      <c r="AF56" s="16"/>
      <c r="AG56" s="16"/>
      <c r="AH56" s="16"/>
      <c r="AI56" s="16"/>
      <c r="AJ56" s="16"/>
      <c r="AK56" s="16"/>
      <c r="AL56" s="16"/>
      <c r="AM56" s="16"/>
    </row>
    <row r="57" spans="1:39" s="6" customFormat="1" ht="1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6"/>
      <c r="AF57" s="16"/>
      <c r="AG57" s="16"/>
      <c r="AH57" s="16"/>
      <c r="AI57" s="16"/>
      <c r="AJ57" s="16"/>
      <c r="AK57" s="16"/>
      <c r="AL57" s="16"/>
      <c r="AM57" s="16"/>
    </row>
    <row r="58" spans="1:39" x14ac:dyDescent="0.3">
      <c r="A58" s="138" t="s">
        <v>59</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1:39" x14ac:dyDescent="0.3">
      <c r="A59" s="75" t="s">
        <v>69</v>
      </c>
      <c r="B59" s="75"/>
      <c r="C59" s="75"/>
      <c r="D59" s="122"/>
      <c r="E59" s="75"/>
      <c r="F59" s="75"/>
      <c r="G59" s="75"/>
      <c r="H59" s="75"/>
      <c r="I59" s="122"/>
      <c r="J59" s="75"/>
      <c r="K59" s="75"/>
      <c r="L59" s="75"/>
      <c r="M59" s="75"/>
      <c r="N59" s="122"/>
      <c r="O59" s="75"/>
      <c r="P59" s="75"/>
      <c r="Q59" s="75"/>
      <c r="R59" s="75"/>
      <c r="S59" s="122"/>
      <c r="T59" s="75"/>
      <c r="U59" s="75"/>
      <c r="V59" s="75"/>
      <c r="W59" s="75"/>
      <c r="X59" s="122"/>
      <c r="Y59" s="75"/>
      <c r="Z59" s="75"/>
      <c r="AA59" s="75"/>
      <c r="AB59" s="75"/>
      <c r="AC59" s="122"/>
      <c r="AD59" s="75"/>
    </row>
    <row r="60" spans="1:39" x14ac:dyDescent="0.3">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row>
    <row r="61" spans="1:39" x14ac:dyDescent="0.3">
      <c r="A61" s="28" t="s">
        <v>60</v>
      </c>
    </row>
    <row r="62" spans="1:39" x14ac:dyDescent="0.3">
      <c r="A62" s="137" t="s">
        <v>61</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row>
    <row r="64" spans="1:39" x14ac:dyDescent="0.3">
      <c r="A64" s="5" t="s">
        <v>62</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0" x14ac:dyDescent="0.3">
      <c r="A65" s="30" t="s">
        <v>63</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7" spans="1:30" x14ac:dyDescent="0.3">
      <c r="A67" s="138" t="s">
        <v>64</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row>
    <row r="68" spans="1:30" x14ac:dyDescent="0.3">
      <c r="A68" s="30"/>
      <c r="AD68" s="6"/>
    </row>
    <row r="69" spans="1:30" x14ac:dyDescent="0.3">
      <c r="A69" s="5" t="s">
        <v>65</v>
      </c>
      <c r="AD69" s="37" t="s">
        <v>66</v>
      </c>
    </row>
    <row r="70" spans="1:30" x14ac:dyDescent="0.3">
      <c r="A70" s="30" t="s">
        <v>67</v>
      </c>
      <c r="AD70" s="31" t="s">
        <v>68</v>
      </c>
    </row>
  </sheetData>
  <mergeCells count="11">
    <mergeCell ref="A58:AD58"/>
    <mergeCell ref="A60:AD60"/>
    <mergeCell ref="A62:AD62"/>
    <mergeCell ref="A67:AD67"/>
    <mergeCell ref="A1:AD1"/>
    <mergeCell ref="B6:E6"/>
    <mergeCell ref="G6:J6"/>
    <mergeCell ref="L6:O6"/>
    <mergeCell ref="Q6:T6"/>
    <mergeCell ref="V6:Y6"/>
    <mergeCell ref="AA6:AD6"/>
  </mergeCells>
  <hyperlinks>
    <hyperlink ref="A65" r:id="rId1" xr:uid="{C6CE116E-3EB1-4075-85C4-FBA833E3661C}"/>
    <hyperlink ref="A70" r:id="rId2" xr:uid="{33631210-36AD-4D49-9BE8-136FCDA26CE1}"/>
    <hyperlink ref="AD69" r:id="rId3" xr:uid="{5EBFB840-91CC-4910-BC19-234461014DC6}"/>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4EB4C-0C91-4A81-981A-93DE8A7C3A8D}">
  <dimension ref="A1:AN70"/>
  <sheetViews>
    <sheetView workbookViewId="0">
      <selection sqref="A1:AD1"/>
    </sheetView>
  </sheetViews>
  <sheetFormatPr defaultColWidth="9.21875" defaultRowHeight="14.4" x14ac:dyDescent="0.3"/>
  <cols>
    <col min="1" max="1" width="50.77734375" style="5" customWidth="1"/>
    <col min="2" max="4" width="8.77734375" style="5" customWidth="1"/>
    <col min="5" max="5" width="12.77734375" style="5" customWidth="1"/>
    <col min="6" max="6" width="2.77734375" style="5" customWidth="1"/>
    <col min="7" max="9" width="8.77734375" style="5" customWidth="1"/>
    <col min="10" max="10" width="12.77734375" style="5" customWidth="1"/>
    <col min="11" max="11" width="2.77734375" style="5" customWidth="1"/>
    <col min="12" max="14" width="8.77734375" style="5" customWidth="1"/>
    <col min="15" max="15" width="12.77734375" style="5" customWidth="1"/>
    <col min="16" max="16" width="7.77734375" style="5" customWidth="1"/>
    <col min="17" max="19" width="8.77734375" style="5" customWidth="1"/>
    <col min="20" max="20" width="12.77734375" style="5" customWidth="1"/>
    <col min="21" max="21" width="2.77734375" style="5" customWidth="1"/>
    <col min="22" max="24" width="8.77734375" style="5" customWidth="1"/>
    <col min="25" max="25" width="12.77734375" style="5" customWidth="1"/>
    <col min="26" max="26" width="2.77734375" style="5" customWidth="1"/>
    <col min="27" max="29" width="8.77734375" style="5" customWidth="1"/>
    <col min="30" max="30" width="12.77734375" style="5" customWidth="1"/>
    <col min="31" max="16384" width="9.21875" style="5"/>
  </cols>
  <sheetData>
    <row r="1" spans="1:40" s="1" customFormat="1" ht="23.25" customHeight="1" x14ac:dyDescent="0.45">
      <c r="A1" s="139" t="s">
        <v>187</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40" s="4" customFormat="1" x14ac:dyDescent="0.3">
      <c r="A2" s="2">
        <v>2021</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40" s="4" customFormat="1" x14ac:dyDescent="0.3">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
      <c r="A4" s="2"/>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40" s="4" customFormat="1" x14ac:dyDescent="0.3">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35">
      <c r="A6" s="5"/>
      <c r="B6" s="140" t="s">
        <v>87</v>
      </c>
      <c r="C6" s="140"/>
      <c r="D6" s="140"/>
      <c r="E6" s="140"/>
      <c r="F6" s="3"/>
      <c r="G6" s="140" t="s">
        <v>94</v>
      </c>
      <c r="H6" s="140"/>
      <c r="I6" s="140"/>
      <c r="J6" s="140"/>
      <c r="K6" s="3"/>
      <c r="L6" s="141" t="s">
        <v>2</v>
      </c>
      <c r="M6" s="141"/>
      <c r="N6" s="141"/>
      <c r="O6" s="141"/>
      <c r="P6" s="3"/>
      <c r="Q6" s="140" t="s">
        <v>3</v>
      </c>
      <c r="R6" s="140"/>
      <c r="S6" s="140"/>
      <c r="T6" s="140"/>
      <c r="U6" s="3"/>
      <c r="V6" s="140" t="s">
        <v>4</v>
      </c>
      <c r="W6" s="140"/>
      <c r="X6" s="140"/>
      <c r="Y6" s="140"/>
      <c r="Z6" s="3"/>
      <c r="AA6" s="141" t="s">
        <v>5</v>
      </c>
      <c r="AB6" s="141"/>
      <c r="AC6" s="141"/>
      <c r="AD6" s="141"/>
    </row>
    <row r="7" spans="1:40" s="12" customFormat="1" ht="43.8" thickBot="1" x14ac:dyDescent="0.35">
      <c r="A7" s="7" t="s">
        <v>6</v>
      </c>
      <c r="B7" s="120" t="s">
        <v>7</v>
      </c>
      <c r="C7" s="120" t="s">
        <v>8</v>
      </c>
      <c r="D7" s="120" t="s">
        <v>182</v>
      </c>
      <c r="E7" s="9" t="s">
        <v>9</v>
      </c>
      <c r="F7" s="120"/>
      <c r="G7" s="120" t="s">
        <v>7</v>
      </c>
      <c r="H7" s="120" t="s">
        <v>8</v>
      </c>
      <c r="I7" s="120" t="s">
        <v>182</v>
      </c>
      <c r="J7" s="9" t="s">
        <v>9</v>
      </c>
      <c r="K7" s="120"/>
      <c r="L7" s="121" t="s">
        <v>7</v>
      </c>
      <c r="M7" s="121" t="s">
        <v>8</v>
      </c>
      <c r="N7" s="121" t="s">
        <v>182</v>
      </c>
      <c r="O7" s="11" t="s">
        <v>9</v>
      </c>
      <c r="P7" s="120"/>
      <c r="Q7" s="120" t="s">
        <v>7</v>
      </c>
      <c r="R7" s="120" t="s">
        <v>8</v>
      </c>
      <c r="S7" s="120" t="s">
        <v>182</v>
      </c>
      <c r="T7" s="9" t="s">
        <v>9</v>
      </c>
      <c r="U7" s="120"/>
      <c r="V7" s="120" t="s">
        <v>7</v>
      </c>
      <c r="W7" s="120" t="s">
        <v>8</v>
      </c>
      <c r="X7" s="120" t="s">
        <v>182</v>
      </c>
      <c r="Y7" s="9" t="s">
        <v>9</v>
      </c>
      <c r="Z7" s="120"/>
      <c r="AA7" s="121" t="s">
        <v>7</v>
      </c>
      <c r="AB7" s="121" t="s">
        <v>8</v>
      </c>
      <c r="AC7" s="121" t="s">
        <v>182</v>
      </c>
      <c r="AD7" s="11" t="s">
        <v>9</v>
      </c>
    </row>
    <row r="8" spans="1:40" s="6" customFormat="1" ht="15" customHeight="1" x14ac:dyDescent="0.3">
      <c r="A8" s="13" t="s">
        <v>10</v>
      </c>
      <c r="B8" s="14">
        <f>B9+B49</f>
        <v>1059</v>
      </c>
      <c r="C8" s="14">
        <f>C9+C49</f>
        <v>184</v>
      </c>
      <c r="D8" s="14">
        <f>D9+D49</f>
        <v>2</v>
      </c>
      <c r="E8" s="15">
        <f>IF(B8+C8+D8=0,"-",(C8/(B8+C8+D8)))</f>
        <v>0.14779116465863454</v>
      </c>
      <c r="F8" s="14"/>
      <c r="G8" s="14">
        <f>G9+G49</f>
        <v>1044</v>
      </c>
      <c r="H8" s="14">
        <f>H9+H49</f>
        <v>144</v>
      </c>
      <c r="I8" s="14">
        <f>I9+I49</f>
        <v>6</v>
      </c>
      <c r="J8" s="15">
        <f>IF(G8+H8+I8=0,"-",(H8/(G8+H8+I8)))</f>
        <v>0.12060301507537688</v>
      </c>
      <c r="K8" s="14"/>
      <c r="L8" s="14">
        <f>L9+L49</f>
        <v>2103</v>
      </c>
      <c r="M8" s="14">
        <f>M9+M49</f>
        <v>328</v>
      </c>
      <c r="N8" s="14">
        <f>N9+N49</f>
        <v>8</v>
      </c>
      <c r="O8" s="15">
        <f>IF(L8+M8+N8=0,"-",(M8/(L8+M8+N8)))</f>
        <v>0.13448134481344814</v>
      </c>
      <c r="P8" s="14"/>
      <c r="Q8" s="14">
        <f>Q9+Q49</f>
        <v>28</v>
      </c>
      <c r="R8" s="14">
        <f>R9+R49</f>
        <v>50</v>
      </c>
      <c r="S8" s="14">
        <f>S9+S49</f>
        <v>0</v>
      </c>
      <c r="T8" s="15">
        <f>IF(Q8+R8+S8=0,"-",(R8/(Q8+R8+S8)))</f>
        <v>0.64102564102564108</v>
      </c>
      <c r="U8" s="14"/>
      <c r="V8" s="14">
        <f>V9+V49</f>
        <v>450</v>
      </c>
      <c r="W8" s="14">
        <f>W9+W49</f>
        <v>483</v>
      </c>
      <c r="X8" s="14">
        <f>X9+X49</f>
        <v>2</v>
      </c>
      <c r="Y8" s="15">
        <f>IF(V8+W8+X8=0,"-",(W8/(V8+W8+X8)))</f>
        <v>0.51657754010695189</v>
      </c>
      <c r="Z8" s="14"/>
      <c r="AA8" s="14">
        <f>AA9+AA49</f>
        <v>2581</v>
      </c>
      <c r="AB8" s="14">
        <f>AB9+AB49</f>
        <v>861</v>
      </c>
      <c r="AC8" s="14">
        <f>AC9+AC49</f>
        <v>10</v>
      </c>
      <c r="AD8" s="15">
        <f>IF(AA8+AB8+AC8=0,"-",(AB8/(AA8+AB8+AC8)))</f>
        <v>0.24942062572421783</v>
      </c>
      <c r="AE8" s="16"/>
      <c r="AF8" s="16"/>
      <c r="AG8" s="16"/>
      <c r="AH8" s="16"/>
      <c r="AI8" s="16"/>
      <c r="AJ8" s="16"/>
      <c r="AK8" s="16"/>
      <c r="AL8" s="16"/>
      <c r="AM8" s="16"/>
      <c r="AN8" s="17"/>
    </row>
    <row r="9" spans="1:40" s="6" customFormat="1" ht="15" customHeight="1" x14ac:dyDescent="0.3">
      <c r="A9" s="18" t="s">
        <v>11</v>
      </c>
      <c r="B9" s="14">
        <f>SUM(B10:B48)</f>
        <v>572</v>
      </c>
      <c r="C9" s="14">
        <f>SUM(C10:C48)</f>
        <v>91</v>
      </c>
      <c r="D9" s="14">
        <f>SUM(D10:D48)</f>
        <v>2</v>
      </c>
      <c r="E9" s="15">
        <f t="shared" ref="E9:E56" si="0">IF(B9+C9+D9=0,"-",(C9/(B9+C9+D9)))</f>
        <v>0.1368421052631579</v>
      </c>
      <c r="F9" s="14"/>
      <c r="G9" s="14">
        <f>SUM(G10:G48)</f>
        <v>975</v>
      </c>
      <c r="H9" s="14">
        <f>SUM(H10:H48)</f>
        <v>134</v>
      </c>
      <c r="I9" s="14">
        <f>SUM(I10:I48)</f>
        <v>6</v>
      </c>
      <c r="J9" s="15">
        <f t="shared" ref="J9:J56" si="1">IF(G9+H9+I9=0,"-",(H9/(G9+H9+I9)))</f>
        <v>0.12017937219730941</v>
      </c>
      <c r="K9" s="14"/>
      <c r="L9" s="14">
        <f>SUM(L10:L48)</f>
        <v>1547</v>
      </c>
      <c r="M9" s="14">
        <f>SUM(M10:M48)</f>
        <v>225</v>
      </c>
      <c r="N9" s="14">
        <f>SUM(N10:N48)</f>
        <v>8</v>
      </c>
      <c r="O9" s="15">
        <f t="shared" ref="O9:O56" si="2">IF(L9+M9+N9=0,"-",(M9/(L9+M9+N9)))</f>
        <v>0.12640449438202248</v>
      </c>
      <c r="P9" s="14"/>
      <c r="Q9" s="14">
        <f>SUM(Q10:Q48)</f>
        <v>21</v>
      </c>
      <c r="R9" s="14">
        <f>SUM(R10:R48)</f>
        <v>32</v>
      </c>
      <c r="S9" s="14">
        <f>SUM(S10:S48)</f>
        <v>0</v>
      </c>
      <c r="T9" s="15">
        <f t="shared" ref="T9:T56" si="3">IF(Q9+R9+S9=0,"-",(R9/(Q9+R9+S9)))</f>
        <v>0.60377358490566035</v>
      </c>
      <c r="U9" s="14"/>
      <c r="V9" s="14">
        <f>SUM(V10:V48)</f>
        <v>339</v>
      </c>
      <c r="W9" s="14">
        <f>SUM(W10:W48)</f>
        <v>384</v>
      </c>
      <c r="X9" s="14">
        <f>SUM(X10:X48)</f>
        <v>2</v>
      </c>
      <c r="Y9" s="15">
        <f t="shared" ref="Y9:Y56" si="4">IF(V9+W9+X9=0,"-",(W9/(V9+W9+X9)))</f>
        <v>0.52965517241379312</v>
      </c>
      <c r="Z9" s="14"/>
      <c r="AA9" s="14">
        <f>SUM(AA10:AA48)</f>
        <v>1907</v>
      </c>
      <c r="AB9" s="14">
        <f>SUM(AB10:AB48)</f>
        <v>641</v>
      </c>
      <c r="AC9" s="14">
        <f>SUM(AC10:AC48)</f>
        <v>10</v>
      </c>
      <c r="AD9" s="15">
        <f t="shared" ref="AD9:AD56" si="5">IF(AA9+AB9+AC9=0,"-",(AB9/(AA9+AB9+AC9)))</f>
        <v>0.25058639562157936</v>
      </c>
      <c r="AE9" s="16"/>
      <c r="AF9" s="16"/>
      <c r="AG9" s="16"/>
      <c r="AH9" s="16"/>
      <c r="AI9" s="16"/>
      <c r="AJ9" s="16"/>
      <c r="AK9" s="16"/>
      <c r="AL9" s="16"/>
      <c r="AM9" s="16"/>
    </row>
    <row r="10" spans="1:40" s="6" customFormat="1" ht="15" customHeight="1" x14ac:dyDescent="0.3">
      <c r="A10" s="5" t="s">
        <v>12</v>
      </c>
      <c r="B10" s="19">
        <f>SUMPRODUCT((raw!$A$2:$A$3691='(2020-21)'!$A$2)*(raw!$B$2:$B$3691='(2020-21)'!$A10)*(raw!$E$2:$E$3691='(2020-21)'!$B$6:$E$6)*(raw!$F$2:$F$3691='(2020-21)'!B$7)*(raw!$G$2:$G$3691))</f>
        <v>17</v>
      </c>
      <c r="C10" s="19">
        <f>SUMPRODUCT((raw!$A$2:$A$3691='(2020-21)'!$A$2)*(raw!$B$2:$B$3691='(2020-21)'!$A10)*(raw!$E$2:$E$3691='(2020-21)'!$B$6:$E$6)*(raw!$F$2:$F$3691='(2020-21)'!C$7)*(raw!$G$2:$G$3691))</f>
        <v>3</v>
      </c>
      <c r="D10" s="19">
        <f>SUMPRODUCT((raw!$A$2:$A$3691='(2020-21)'!$A$2)*(raw!$B$2:$B$3691='(2020-21)'!$A10)*(raw!$E$2:$E$3691='(2020-21)'!$B$6:$E$6)*(raw!$F$2:$F$3691='(2020-21)'!D$7)*(raw!$G$2:$G$3691))</f>
        <v>0</v>
      </c>
      <c r="E10" s="15">
        <f t="shared" si="0"/>
        <v>0.15</v>
      </c>
      <c r="F10" s="19"/>
      <c r="G10" s="19">
        <f>SUMPRODUCT((raw!$A$2:$A$3691='(2020-21)'!$A$2)*(raw!$B$2:$B$3691='(2020-21)'!$A10)*(raw!$E$2:$E$3691='(2020-21)'!$G$6)*(raw!$F$2:$F$3691='(2020-21)'!G$7)*(raw!$G$2:$G$3691))</f>
        <v>11</v>
      </c>
      <c r="H10" s="19">
        <f>SUMPRODUCT((raw!$A$2:$A$3691='(2020-21)'!$A$2)*(raw!$B$2:$B$3691='(2020-21)'!$A10)*(raw!$E$2:$E$3691='(2020-21)'!$G$6)*(raw!$F$2:$F$3691='(2020-21)'!H$7)*(raw!$G$2:$G$3691))</f>
        <v>1</v>
      </c>
      <c r="I10" s="19">
        <f>SUMPRODUCT((raw!$A$2:$A$3691='(2020-21)'!$A$2)*(raw!$B$2:$B$3691='(2020-21)'!$A10)*(raw!$E$2:$E$3691='(2020-21)'!$G$6)*(raw!$F$2:$F$3691='(2020-21)'!I$7)*(raw!$G$2:$G$3691))</f>
        <v>0</v>
      </c>
      <c r="J10" s="15">
        <f t="shared" si="1"/>
        <v>8.3333333333333329E-2</v>
      </c>
      <c r="K10" s="19"/>
      <c r="L10" s="14">
        <f>B10+G10</f>
        <v>28</v>
      </c>
      <c r="M10" s="14">
        <f>C10+H10</f>
        <v>4</v>
      </c>
      <c r="N10" s="14">
        <f>D10+I10</f>
        <v>0</v>
      </c>
      <c r="O10" s="15">
        <f t="shared" si="2"/>
        <v>0.125</v>
      </c>
      <c r="P10" s="19"/>
      <c r="Q10" s="19">
        <f>SUMPRODUCT((raw!$A$2:$A$3691='(2020-21)'!$A$2)*(raw!$B$2:$B$3691='(2020-21)'!$A10)*(raw!$E$2:$E$3691='(2020-21)'!$Q$6)*(raw!$F$2:$F$3691='(2020-21)'!Q$7)*(raw!$G$2:$G$3691))</f>
        <v>1</v>
      </c>
      <c r="R10" s="19">
        <f>SUMPRODUCT((raw!$A$2:$A$3691='(2020-21)'!$A$2)*(raw!$B$2:$B$3691='(2020-21)'!$A10)*(raw!$E$2:$E$3691='(2020-21)'!$Q$6)*(raw!$F$2:$F$3691='(2020-21)'!R$7)*(raw!$G$2:$G$3691))</f>
        <v>1</v>
      </c>
      <c r="S10" s="19">
        <f>SUMPRODUCT((raw!$A$2:$A$3691='(2020-21)'!$A$2)*(raw!$B$2:$B$3691='(2020-21)'!$A10)*(raw!$E$2:$E$3691='(2020-21)'!$Q$6)*(raw!$F$2:$F$3691='(2020-21)'!S$7)*(raw!$G$2:$G$3691))</f>
        <v>0</v>
      </c>
      <c r="T10" s="15">
        <f t="shared" si="3"/>
        <v>0.5</v>
      </c>
      <c r="U10" s="19"/>
      <c r="V10" s="19">
        <f>SUMPRODUCT((raw!$A$2:$A$3691='(2020-21)'!$A$2)*(raw!$B$2:$B$3691='(2020-21)'!$A10)*(raw!$E$2:$E$3691='(2020-21)'!$V$6)*(raw!$F$2:$F$3691='(2020-21)'!V$7)*(raw!$G$2:$G$3691))</f>
        <v>10</v>
      </c>
      <c r="W10" s="19">
        <f>SUMPRODUCT((raw!$A$2:$A$3691='(2020-21)'!$A$2)*(raw!$B$2:$B$3691='(2020-21)'!$A10)*(raw!$E$2:$E$3691='(2020-21)'!$V$6)*(raw!$F$2:$F$3691='(2020-21)'!W$7)*(raw!$G$2:$G$3691))</f>
        <v>9</v>
      </c>
      <c r="X10" s="19">
        <f>SUMPRODUCT((raw!$A$2:$A$3691='(2020-21)'!$A$2)*(raw!$B$2:$B$3691='(2020-21)'!$A10)*(raw!$E$2:$E$3691='(2020-21)'!$V$6)*(raw!$F$2:$F$3691='(2020-21)'!X$7)*(raw!$G$2:$G$3691))</f>
        <v>0</v>
      </c>
      <c r="Y10" s="15">
        <f t="shared" si="4"/>
        <v>0.47368421052631576</v>
      </c>
      <c r="Z10" s="19"/>
      <c r="AA10" s="14">
        <f>L10+Q10+V10</f>
        <v>39</v>
      </c>
      <c r="AB10" s="14">
        <f>M10+R10+W10</f>
        <v>14</v>
      </c>
      <c r="AC10" s="14">
        <f>N10+S10+X10</f>
        <v>0</v>
      </c>
      <c r="AD10" s="15">
        <f t="shared" si="5"/>
        <v>0.26415094339622641</v>
      </c>
      <c r="AE10" s="16"/>
      <c r="AF10" s="16"/>
      <c r="AG10" s="16"/>
      <c r="AH10" s="16"/>
      <c r="AI10" s="16"/>
      <c r="AJ10" s="16"/>
      <c r="AK10" s="16"/>
      <c r="AL10" s="16"/>
      <c r="AM10" s="16"/>
    </row>
    <row r="11" spans="1:40" s="6" customFormat="1" ht="15" customHeight="1" x14ac:dyDescent="0.3">
      <c r="A11" s="5" t="s">
        <v>13</v>
      </c>
      <c r="B11" s="19">
        <f>SUMPRODUCT((raw!$A$2:$A$3691='(2020-21)'!$A$2)*(raw!$B$2:$B$3691='(2020-21)'!$A11)*(raw!$E$2:$E$3691='(2020-21)'!$B$6:$E$6)*(raw!$F$2:$F$3691='(2020-21)'!B$7)*(raw!$G$2:$G$3691))</f>
        <v>24</v>
      </c>
      <c r="C11" s="19">
        <f>SUMPRODUCT((raw!$A$2:$A$3691='(2020-21)'!$A$2)*(raw!$B$2:$B$3691='(2020-21)'!$A11)*(raw!$E$2:$E$3691='(2020-21)'!$B$6:$E$6)*(raw!$F$2:$F$3691='(2020-21)'!C$7)*(raw!$G$2:$G$3691))</f>
        <v>2</v>
      </c>
      <c r="D11" s="19">
        <f>SUMPRODUCT((raw!$A$2:$A$3691='(2020-21)'!$A$2)*(raw!$B$2:$B$3691='(2020-21)'!$A11)*(raw!$E$2:$E$3691='(2020-21)'!$B$6:$E$6)*(raw!$F$2:$F$3691='(2020-21)'!D$7)*(raw!$G$2:$G$3691))</f>
        <v>0</v>
      </c>
      <c r="E11" s="15">
        <f t="shared" si="0"/>
        <v>7.6923076923076927E-2</v>
      </c>
      <c r="F11" s="19"/>
      <c r="G11" s="19">
        <f>SUMPRODUCT((raw!$A$2:$A$3691='(2020-21)'!$A$2)*(raw!$B$2:$B$3691='(2020-21)'!$A11)*(raw!$E$2:$E$3691='(2020-21)'!$G$6)*(raw!$F$2:$F$3691='(2020-21)'!G$7)*(raw!$G$2:$G$3691))</f>
        <v>13</v>
      </c>
      <c r="H11" s="19">
        <f>SUMPRODUCT((raw!$A$2:$A$3691='(2020-21)'!$A$2)*(raw!$B$2:$B$3691='(2020-21)'!$A11)*(raw!$E$2:$E$3691='(2020-21)'!$G$6)*(raw!$F$2:$F$3691='(2020-21)'!H$7)*(raw!$G$2:$G$3691))</f>
        <v>1</v>
      </c>
      <c r="I11" s="19">
        <f>SUMPRODUCT((raw!$A$2:$A$3691='(2020-21)'!$A$2)*(raw!$B$2:$B$3691='(2020-21)'!$A11)*(raw!$E$2:$E$3691='(2020-21)'!$G$6)*(raw!$F$2:$F$3691='(2020-21)'!I$7)*(raw!$G$2:$G$3691))</f>
        <v>0</v>
      </c>
      <c r="J11" s="15">
        <f t="shared" si="1"/>
        <v>7.1428571428571425E-2</v>
      </c>
      <c r="K11" s="19"/>
      <c r="L11" s="14">
        <f t="shared" ref="L11:L56" si="6">B11+G11</f>
        <v>37</v>
      </c>
      <c r="M11" s="14">
        <f t="shared" ref="M11:M56" si="7">C11+H11</f>
        <v>3</v>
      </c>
      <c r="N11" s="14">
        <f t="shared" ref="N11:N56" si="8">D11+I11</f>
        <v>0</v>
      </c>
      <c r="O11" s="15">
        <f t="shared" si="2"/>
        <v>7.4999999999999997E-2</v>
      </c>
      <c r="P11" s="19"/>
      <c r="Q11" s="19">
        <f>SUMPRODUCT((raw!$A$2:$A$3691='(2020-21)'!$A$2)*(raw!$B$2:$B$3691='(2020-21)'!$A11)*(raw!$E$2:$E$3691='(2020-21)'!$Q$6)*(raw!$F$2:$F$3691='(2020-21)'!Q$7)*(raw!$G$2:$G$3691))</f>
        <v>1</v>
      </c>
      <c r="R11" s="19">
        <f>SUMPRODUCT((raw!$A$2:$A$3691='(2020-21)'!$A$2)*(raw!$B$2:$B$3691='(2020-21)'!$A11)*(raw!$E$2:$E$3691='(2020-21)'!$Q$6)*(raw!$F$2:$F$3691='(2020-21)'!R$7)*(raw!$G$2:$G$3691))</f>
        <v>1</v>
      </c>
      <c r="S11" s="19">
        <f>SUMPRODUCT((raw!$A$2:$A$3691='(2020-21)'!$A$2)*(raw!$B$2:$B$3691='(2020-21)'!$A11)*(raw!$E$2:$E$3691='(2020-21)'!$Q$6)*(raw!$F$2:$F$3691='(2020-21)'!S$7)*(raw!$G$2:$G$3691))</f>
        <v>0</v>
      </c>
      <c r="T11" s="15">
        <f t="shared" si="3"/>
        <v>0.5</v>
      </c>
      <c r="U11" s="19"/>
      <c r="V11" s="19">
        <f>SUMPRODUCT((raw!$A$2:$A$3691='(2020-21)'!$A$2)*(raw!$B$2:$B$3691='(2020-21)'!$A11)*(raw!$E$2:$E$3691='(2020-21)'!$V$6)*(raw!$F$2:$F$3691='(2020-21)'!V$7)*(raw!$G$2:$G$3691))</f>
        <v>9</v>
      </c>
      <c r="W11" s="19">
        <f>SUMPRODUCT((raw!$A$2:$A$3691='(2020-21)'!$A$2)*(raw!$B$2:$B$3691='(2020-21)'!$A11)*(raw!$E$2:$E$3691='(2020-21)'!$V$6)*(raw!$F$2:$F$3691='(2020-21)'!W$7)*(raw!$G$2:$G$3691))</f>
        <v>10</v>
      </c>
      <c r="X11" s="19">
        <f>SUMPRODUCT((raw!$A$2:$A$3691='(2020-21)'!$A$2)*(raw!$B$2:$B$3691='(2020-21)'!$A11)*(raw!$E$2:$E$3691='(2020-21)'!$V$6)*(raw!$F$2:$F$3691='(2020-21)'!X$7)*(raw!$G$2:$G$3691))</f>
        <v>0</v>
      </c>
      <c r="Y11" s="15">
        <f t="shared" si="4"/>
        <v>0.52631578947368418</v>
      </c>
      <c r="Z11" s="19"/>
      <c r="AA11" s="14">
        <f t="shared" ref="AA11:AA56" si="9">L11+Q11+V11</f>
        <v>47</v>
      </c>
      <c r="AB11" s="14">
        <f t="shared" ref="AB11:AB56" si="10">M11+R11+W11</f>
        <v>14</v>
      </c>
      <c r="AC11" s="14">
        <f t="shared" ref="AC11:AC56" si="11">N11+S11+X11</f>
        <v>0</v>
      </c>
      <c r="AD11" s="15">
        <f t="shared" si="5"/>
        <v>0.22950819672131148</v>
      </c>
      <c r="AE11" s="16"/>
      <c r="AF11" s="16"/>
      <c r="AG11" s="16"/>
      <c r="AH11" s="16"/>
      <c r="AI11" s="16"/>
      <c r="AJ11" s="16"/>
      <c r="AK11" s="16"/>
      <c r="AL11" s="16"/>
      <c r="AM11" s="16"/>
    </row>
    <row r="12" spans="1:40" s="6" customFormat="1" ht="15" customHeight="1" x14ac:dyDescent="0.3">
      <c r="A12" s="5" t="s">
        <v>14</v>
      </c>
      <c r="B12" s="19">
        <f>SUMPRODUCT((raw!$A$2:$A$3691='(2020-21)'!$A$2)*(raw!$B$2:$B$3691='(2020-21)'!$A12)*(raw!$E$2:$E$3691='(2020-21)'!$B$6:$E$6)*(raw!$F$2:$F$3691='(2020-21)'!B$7)*(raw!$G$2:$G$3691))</f>
        <v>5</v>
      </c>
      <c r="C12" s="19">
        <f>SUMPRODUCT((raw!$A$2:$A$3691='(2020-21)'!$A$2)*(raw!$B$2:$B$3691='(2020-21)'!$A12)*(raw!$E$2:$E$3691='(2020-21)'!$B$6:$E$6)*(raw!$F$2:$F$3691='(2020-21)'!C$7)*(raw!$G$2:$G$3691))</f>
        <v>0</v>
      </c>
      <c r="D12" s="19">
        <f>SUMPRODUCT((raw!$A$2:$A$3691='(2020-21)'!$A$2)*(raw!$B$2:$B$3691='(2020-21)'!$A12)*(raw!$E$2:$E$3691='(2020-21)'!$B$6:$E$6)*(raw!$F$2:$F$3691='(2020-21)'!D$7)*(raw!$G$2:$G$3691))</f>
        <v>0</v>
      </c>
      <c r="E12" s="15">
        <f t="shared" si="0"/>
        <v>0</v>
      </c>
      <c r="F12" s="19"/>
      <c r="G12" s="19">
        <f>SUMPRODUCT((raw!$A$2:$A$3691='(2020-21)'!$A$2)*(raw!$B$2:$B$3691='(2020-21)'!$A12)*(raw!$E$2:$E$3691='(2020-21)'!$G$6)*(raw!$F$2:$F$3691='(2020-21)'!G$7)*(raw!$G$2:$G$3691))</f>
        <v>2</v>
      </c>
      <c r="H12" s="19">
        <f>SUMPRODUCT((raw!$A$2:$A$3691='(2020-21)'!$A$2)*(raw!$B$2:$B$3691='(2020-21)'!$A12)*(raw!$E$2:$E$3691='(2020-21)'!$G$6)*(raw!$F$2:$F$3691='(2020-21)'!H$7)*(raw!$G$2:$G$3691))</f>
        <v>0</v>
      </c>
      <c r="I12" s="19">
        <f>SUMPRODUCT((raw!$A$2:$A$3691='(2020-21)'!$A$2)*(raw!$B$2:$B$3691='(2020-21)'!$A12)*(raw!$E$2:$E$3691='(2020-21)'!$G$6)*(raw!$F$2:$F$3691='(2020-21)'!I$7)*(raw!$G$2:$G$3691))</f>
        <v>0</v>
      </c>
      <c r="J12" s="15">
        <f t="shared" si="1"/>
        <v>0</v>
      </c>
      <c r="K12" s="19"/>
      <c r="L12" s="14">
        <f t="shared" si="6"/>
        <v>7</v>
      </c>
      <c r="M12" s="14">
        <f t="shared" si="7"/>
        <v>0</v>
      </c>
      <c r="N12" s="14">
        <f t="shared" si="8"/>
        <v>0</v>
      </c>
      <c r="O12" s="15">
        <f t="shared" si="2"/>
        <v>0</v>
      </c>
      <c r="P12" s="19"/>
      <c r="Q12" s="19">
        <f>SUMPRODUCT((raw!$A$2:$A$3691='(2020-21)'!$A$2)*(raw!$B$2:$B$3691='(2020-21)'!$A12)*(raw!$E$2:$E$3691='(2020-21)'!$Q$6)*(raw!$F$2:$F$3691='(2020-21)'!Q$7)*(raw!$G$2:$G$3691))</f>
        <v>3</v>
      </c>
      <c r="R12" s="19">
        <f>SUMPRODUCT((raw!$A$2:$A$3691='(2020-21)'!$A$2)*(raw!$B$2:$B$3691='(2020-21)'!$A12)*(raw!$E$2:$E$3691='(2020-21)'!$Q$6)*(raw!$F$2:$F$3691='(2020-21)'!R$7)*(raw!$G$2:$G$3691))</f>
        <v>1</v>
      </c>
      <c r="S12" s="19">
        <f>SUMPRODUCT((raw!$A$2:$A$3691='(2020-21)'!$A$2)*(raw!$B$2:$B$3691='(2020-21)'!$A12)*(raw!$E$2:$E$3691='(2020-21)'!$Q$6)*(raw!$F$2:$F$3691='(2020-21)'!S$7)*(raw!$G$2:$G$3691))</f>
        <v>0</v>
      </c>
      <c r="T12" s="15">
        <f t="shared" si="3"/>
        <v>0.25</v>
      </c>
      <c r="U12" s="19"/>
      <c r="V12" s="19">
        <f>SUMPRODUCT((raw!$A$2:$A$3691='(2020-21)'!$A$2)*(raw!$B$2:$B$3691='(2020-21)'!$A12)*(raw!$E$2:$E$3691='(2020-21)'!$V$6)*(raw!$F$2:$F$3691='(2020-21)'!V$7)*(raw!$G$2:$G$3691))</f>
        <v>6</v>
      </c>
      <c r="W12" s="19">
        <f>SUMPRODUCT((raw!$A$2:$A$3691='(2020-21)'!$A$2)*(raw!$B$2:$B$3691='(2020-21)'!$A12)*(raw!$E$2:$E$3691='(2020-21)'!$V$6)*(raw!$F$2:$F$3691='(2020-21)'!W$7)*(raw!$G$2:$G$3691))</f>
        <v>15</v>
      </c>
      <c r="X12" s="19">
        <f>SUMPRODUCT((raw!$A$2:$A$3691='(2020-21)'!$A$2)*(raw!$B$2:$B$3691='(2020-21)'!$A12)*(raw!$E$2:$E$3691='(2020-21)'!$V$6)*(raw!$F$2:$F$3691='(2020-21)'!X$7)*(raw!$G$2:$G$3691))</f>
        <v>1</v>
      </c>
      <c r="Y12" s="15">
        <f t="shared" si="4"/>
        <v>0.68181818181818177</v>
      </c>
      <c r="Z12" s="19"/>
      <c r="AA12" s="14">
        <f t="shared" si="9"/>
        <v>16</v>
      </c>
      <c r="AB12" s="14">
        <f t="shared" si="10"/>
        <v>16</v>
      </c>
      <c r="AC12" s="14">
        <f t="shared" si="11"/>
        <v>1</v>
      </c>
      <c r="AD12" s="15">
        <f t="shared" si="5"/>
        <v>0.48484848484848486</v>
      </c>
      <c r="AE12" s="16"/>
      <c r="AF12" s="16"/>
      <c r="AG12" s="16"/>
      <c r="AH12" s="16"/>
      <c r="AI12" s="16"/>
      <c r="AJ12" s="16"/>
      <c r="AK12" s="16"/>
      <c r="AL12" s="16"/>
      <c r="AM12" s="16"/>
    </row>
    <row r="13" spans="1:40" s="6" customFormat="1" ht="15" customHeight="1" x14ac:dyDescent="0.3">
      <c r="A13" s="5" t="s">
        <v>15</v>
      </c>
      <c r="B13" s="19">
        <f>SUMPRODUCT((raw!$A$2:$A$3691='(2020-21)'!$A$2)*(raw!$B$2:$B$3691='(2020-21)'!$A13)*(raw!$E$2:$E$3691='(2020-21)'!$B$6:$E$6)*(raw!$F$2:$F$3691='(2020-21)'!B$7)*(raw!$G$2:$G$3691))</f>
        <v>23</v>
      </c>
      <c r="C13" s="19">
        <f>SUMPRODUCT((raw!$A$2:$A$3691='(2020-21)'!$A$2)*(raw!$B$2:$B$3691='(2020-21)'!$A13)*(raw!$E$2:$E$3691='(2020-21)'!$B$6:$E$6)*(raw!$F$2:$F$3691='(2020-21)'!C$7)*(raw!$G$2:$G$3691))</f>
        <v>2</v>
      </c>
      <c r="D13" s="19">
        <f>SUMPRODUCT((raw!$A$2:$A$3691='(2020-21)'!$A$2)*(raw!$B$2:$B$3691='(2020-21)'!$A13)*(raw!$E$2:$E$3691='(2020-21)'!$B$6:$E$6)*(raw!$F$2:$F$3691='(2020-21)'!D$7)*(raw!$G$2:$G$3691))</f>
        <v>0</v>
      </c>
      <c r="E13" s="15">
        <f t="shared" si="0"/>
        <v>0.08</v>
      </c>
      <c r="F13" s="19"/>
      <c r="G13" s="19">
        <f>SUMPRODUCT((raw!$A$2:$A$3691='(2020-21)'!$A$2)*(raw!$B$2:$B$3691='(2020-21)'!$A13)*(raw!$E$2:$E$3691='(2020-21)'!$G$6)*(raw!$F$2:$F$3691='(2020-21)'!G$7)*(raw!$G$2:$G$3691))</f>
        <v>19</v>
      </c>
      <c r="H13" s="19">
        <f>SUMPRODUCT((raw!$A$2:$A$3691='(2020-21)'!$A$2)*(raw!$B$2:$B$3691='(2020-21)'!$A13)*(raw!$E$2:$E$3691='(2020-21)'!$G$6)*(raw!$F$2:$F$3691='(2020-21)'!H$7)*(raw!$G$2:$G$3691))</f>
        <v>1</v>
      </c>
      <c r="I13" s="19">
        <f>SUMPRODUCT((raw!$A$2:$A$3691='(2020-21)'!$A$2)*(raw!$B$2:$B$3691='(2020-21)'!$A13)*(raw!$E$2:$E$3691='(2020-21)'!$G$6)*(raw!$F$2:$F$3691='(2020-21)'!I$7)*(raw!$G$2:$G$3691))</f>
        <v>0</v>
      </c>
      <c r="J13" s="15">
        <f t="shared" si="1"/>
        <v>0.05</v>
      </c>
      <c r="K13" s="19"/>
      <c r="L13" s="14">
        <f t="shared" si="6"/>
        <v>42</v>
      </c>
      <c r="M13" s="14">
        <f t="shared" si="7"/>
        <v>3</v>
      </c>
      <c r="N13" s="14">
        <f t="shared" si="8"/>
        <v>0</v>
      </c>
      <c r="O13" s="15">
        <f t="shared" si="2"/>
        <v>6.6666666666666666E-2</v>
      </c>
      <c r="P13" s="19"/>
      <c r="Q13" s="19">
        <f>SUMPRODUCT((raw!$A$2:$A$3691='(2020-21)'!$A$2)*(raw!$B$2:$B$3691='(2020-21)'!$A13)*(raw!$E$2:$E$3691='(2020-21)'!$Q$6)*(raw!$F$2:$F$3691='(2020-21)'!Q$7)*(raw!$G$2:$G$3691))</f>
        <v>0</v>
      </c>
      <c r="R13" s="19">
        <f>SUMPRODUCT((raw!$A$2:$A$3691='(2020-21)'!$A$2)*(raw!$B$2:$B$3691='(2020-21)'!$A13)*(raw!$E$2:$E$3691='(2020-21)'!$Q$6)*(raw!$F$2:$F$3691='(2020-21)'!R$7)*(raw!$G$2:$G$3691))</f>
        <v>0</v>
      </c>
      <c r="S13" s="19">
        <f>SUMPRODUCT((raw!$A$2:$A$3691='(2020-21)'!$A$2)*(raw!$B$2:$B$3691='(2020-21)'!$A13)*(raw!$E$2:$E$3691='(2020-21)'!$Q$6)*(raw!$F$2:$F$3691='(2020-21)'!S$7)*(raw!$G$2:$G$3691))</f>
        <v>0</v>
      </c>
      <c r="T13" s="15" t="str">
        <f t="shared" si="3"/>
        <v>-</v>
      </c>
      <c r="U13" s="19"/>
      <c r="V13" s="19">
        <f>SUMPRODUCT((raw!$A$2:$A$3691='(2020-21)'!$A$2)*(raw!$B$2:$B$3691='(2020-21)'!$A13)*(raw!$E$2:$E$3691='(2020-21)'!$V$6)*(raw!$F$2:$F$3691='(2020-21)'!V$7)*(raw!$G$2:$G$3691))</f>
        <v>4</v>
      </c>
      <c r="W13" s="19">
        <f>SUMPRODUCT((raw!$A$2:$A$3691='(2020-21)'!$A$2)*(raw!$B$2:$B$3691='(2020-21)'!$A13)*(raw!$E$2:$E$3691='(2020-21)'!$V$6)*(raw!$F$2:$F$3691='(2020-21)'!W$7)*(raw!$G$2:$G$3691))</f>
        <v>9</v>
      </c>
      <c r="X13" s="19">
        <f>SUMPRODUCT((raw!$A$2:$A$3691='(2020-21)'!$A$2)*(raw!$B$2:$B$3691='(2020-21)'!$A13)*(raw!$E$2:$E$3691='(2020-21)'!$V$6)*(raw!$F$2:$F$3691='(2020-21)'!X$7)*(raw!$G$2:$G$3691))</f>
        <v>0</v>
      </c>
      <c r="Y13" s="15">
        <f t="shared" si="4"/>
        <v>0.69230769230769229</v>
      </c>
      <c r="Z13" s="19"/>
      <c r="AA13" s="14">
        <f t="shared" si="9"/>
        <v>46</v>
      </c>
      <c r="AB13" s="14">
        <f t="shared" si="10"/>
        <v>12</v>
      </c>
      <c r="AC13" s="14">
        <f t="shared" si="11"/>
        <v>0</v>
      </c>
      <c r="AD13" s="15">
        <f t="shared" si="5"/>
        <v>0.20689655172413793</v>
      </c>
      <c r="AE13" s="16"/>
      <c r="AF13" s="16"/>
      <c r="AG13" s="16"/>
      <c r="AH13" s="16"/>
      <c r="AI13" s="16"/>
      <c r="AJ13" s="16"/>
      <c r="AK13" s="16"/>
      <c r="AL13" s="16"/>
      <c r="AM13" s="16"/>
    </row>
    <row r="14" spans="1:40" s="6" customFormat="1" ht="15" customHeight="1" x14ac:dyDescent="0.3">
      <c r="A14" s="5" t="s">
        <v>16</v>
      </c>
      <c r="B14" s="19">
        <f>SUMPRODUCT((raw!$A$2:$A$3691='(2020-21)'!$A$2)*(raw!$B$2:$B$3691='(2020-21)'!$A14)*(raw!$E$2:$E$3691='(2020-21)'!$B$6:$E$6)*(raw!$F$2:$F$3691='(2020-21)'!B$7)*(raw!$G$2:$G$3691))</f>
        <v>20</v>
      </c>
      <c r="C14" s="19">
        <f>SUMPRODUCT((raw!$A$2:$A$3691='(2020-21)'!$A$2)*(raw!$B$2:$B$3691='(2020-21)'!$A14)*(raw!$E$2:$E$3691='(2020-21)'!$B$6:$E$6)*(raw!$F$2:$F$3691='(2020-21)'!C$7)*(raw!$G$2:$G$3691))</f>
        <v>4</v>
      </c>
      <c r="D14" s="19">
        <f>SUMPRODUCT((raw!$A$2:$A$3691='(2020-21)'!$A$2)*(raw!$B$2:$B$3691='(2020-21)'!$A14)*(raw!$E$2:$E$3691='(2020-21)'!$B$6:$E$6)*(raw!$F$2:$F$3691='(2020-21)'!D$7)*(raw!$G$2:$G$3691))</f>
        <v>0</v>
      </c>
      <c r="E14" s="15">
        <f t="shared" si="0"/>
        <v>0.16666666666666666</v>
      </c>
      <c r="F14" s="19"/>
      <c r="G14" s="19">
        <f>SUMPRODUCT((raw!$A$2:$A$3691='(2020-21)'!$A$2)*(raw!$B$2:$B$3691='(2020-21)'!$A14)*(raw!$E$2:$E$3691='(2020-21)'!$G$6)*(raw!$F$2:$F$3691='(2020-21)'!G$7)*(raw!$G$2:$G$3691))</f>
        <v>17</v>
      </c>
      <c r="H14" s="19">
        <f>SUMPRODUCT((raw!$A$2:$A$3691='(2020-21)'!$A$2)*(raw!$B$2:$B$3691='(2020-21)'!$A14)*(raw!$E$2:$E$3691='(2020-21)'!$G$6)*(raw!$F$2:$F$3691='(2020-21)'!H$7)*(raw!$G$2:$G$3691))</f>
        <v>2</v>
      </c>
      <c r="I14" s="19">
        <f>SUMPRODUCT((raw!$A$2:$A$3691='(2020-21)'!$A$2)*(raw!$B$2:$B$3691='(2020-21)'!$A14)*(raw!$E$2:$E$3691='(2020-21)'!$G$6)*(raw!$F$2:$F$3691='(2020-21)'!I$7)*(raw!$G$2:$G$3691))</f>
        <v>0</v>
      </c>
      <c r="J14" s="15">
        <f t="shared" si="1"/>
        <v>0.10526315789473684</v>
      </c>
      <c r="K14" s="19"/>
      <c r="L14" s="14">
        <f t="shared" si="6"/>
        <v>37</v>
      </c>
      <c r="M14" s="14">
        <f t="shared" si="7"/>
        <v>6</v>
      </c>
      <c r="N14" s="14">
        <f t="shared" si="8"/>
        <v>0</v>
      </c>
      <c r="O14" s="15">
        <f t="shared" si="2"/>
        <v>0.13953488372093023</v>
      </c>
      <c r="P14" s="19"/>
      <c r="Q14" s="19">
        <f>SUMPRODUCT((raw!$A$2:$A$3691='(2020-21)'!$A$2)*(raw!$B$2:$B$3691='(2020-21)'!$A14)*(raw!$E$2:$E$3691='(2020-21)'!$Q$6)*(raw!$F$2:$F$3691='(2020-21)'!Q$7)*(raw!$G$2:$G$3691))</f>
        <v>1</v>
      </c>
      <c r="R14" s="19">
        <f>SUMPRODUCT((raw!$A$2:$A$3691='(2020-21)'!$A$2)*(raw!$B$2:$B$3691='(2020-21)'!$A14)*(raw!$E$2:$E$3691='(2020-21)'!$Q$6)*(raw!$F$2:$F$3691='(2020-21)'!R$7)*(raw!$G$2:$G$3691))</f>
        <v>4</v>
      </c>
      <c r="S14" s="19">
        <f>SUMPRODUCT((raw!$A$2:$A$3691='(2020-21)'!$A$2)*(raw!$B$2:$B$3691='(2020-21)'!$A14)*(raw!$E$2:$E$3691='(2020-21)'!$Q$6)*(raw!$F$2:$F$3691='(2020-21)'!S$7)*(raw!$G$2:$G$3691))</f>
        <v>0</v>
      </c>
      <c r="T14" s="15">
        <f t="shared" si="3"/>
        <v>0.8</v>
      </c>
      <c r="U14" s="19"/>
      <c r="V14" s="19">
        <f>SUMPRODUCT((raw!$A$2:$A$3691='(2020-21)'!$A$2)*(raw!$B$2:$B$3691='(2020-21)'!$A14)*(raw!$E$2:$E$3691='(2020-21)'!$V$6)*(raw!$F$2:$F$3691='(2020-21)'!V$7)*(raw!$G$2:$G$3691))</f>
        <v>6</v>
      </c>
      <c r="W14" s="19">
        <f>SUMPRODUCT((raw!$A$2:$A$3691='(2020-21)'!$A$2)*(raw!$B$2:$B$3691='(2020-21)'!$A14)*(raw!$E$2:$E$3691='(2020-21)'!$V$6)*(raw!$F$2:$F$3691='(2020-21)'!W$7)*(raw!$G$2:$G$3691))</f>
        <v>16</v>
      </c>
      <c r="X14" s="19">
        <f>SUMPRODUCT((raw!$A$2:$A$3691='(2020-21)'!$A$2)*(raw!$B$2:$B$3691='(2020-21)'!$A14)*(raw!$E$2:$E$3691='(2020-21)'!$V$6)*(raw!$F$2:$F$3691='(2020-21)'!X$7)*(raw!$G$2:$G$3691))</f>
        <v>0</v>
      </c>
      <c r="Y14" s="15">
        <f t="shared" si="4"/>
        <v>0.72727272727272729</v>
      </c>
      <c r="Z14" s="19"/>
      <c r="AA14" s="14">
        <f t="shared" si="9"/>
        <v>44</v>
      </c>
      <c r="AB14" s="14">
        <f t="shared" si="10"/>
        <v>26</v>
      </c>
      <c r="AC14" s="14">
        <f t="shared" si="11"/>
        <v>0</v>
      </c>
      <c r="AD14" s="15">
        <f t="shared" si="5"/>
        <v>0.37142857142857144</v>
      </c>
      <c r="AE14" s="16"/>
      <c r="AF14" s="16"/>
      <c r="AG14" s="16"/>
      <c r="AH14" s="16"/>
      <c r="AI14" s="16"/>
      <c r="AJ14" s="16"/>
      <c r="AK14" s="16"/>
      <c r="AL14" s="16"/>
      <c r="AM14" s="16"/>
    </row>
    <row r="15" spans="1:40" s="6" customFormat="1" ht="15" customHeight="1" x14ac:dyDescent="0.3">
      <c r="A15" s="5" t="s">
        <v>17</v>
      </c>
      <c r="B15" s="19">
        <f>SUMPRODUCT((raw!$A$2:$A$3691='(2020-21)'!$A$2)*(raw!$B$2:$B$3691='(2020-21)'!$A15)*(raw!$E$2:$E$3691='(2020-21)'!$B$6:$E$6)*(raw!$F$2:$F$3691='(2020-21)'!B$7)*(raw!$G$2:$G$3691))</f>
        <v>8</v>
      </c>
      <c r="C15" s="19">
        <f>SUMPRODUCT((raw!$A$2:$A$3691='(2020-21)'!$A$2)*(raw!$B$2:$B$3691='(2020-21)'!$A15)*(raw!$E$2:$E$3691='(2020-21)'!$B$6:$E$6)*(raw!$F$2:$F$3691='(2020-21)'!C$7)*(raw!$G$2:$G$3691))</f>
        <v>5</v>
      </c>
      <c r="D15" s="19">
        <f>SUMPRODUCT((raw!$A$2:$A$3691='(2020-21)'!$A$2)*(raw!$B$2:$B$3691='(2020-21)'!$A15)*(raw!$E$2:$E$3691='(2020-21)'!$B$6:$E$6)*(raw!$F$2:$F$3691='(2020-21)'!D$7)*(raw!$G$2:$G$3691))</f>
        <v>0</v>
      </c>
      <c r="E15" s="15">
        <f t="shared" si="0"/>
        <v>0.38461538461538464</v>
      </c>
      <c r="F15" s="19"/>
      <c r="G15" s="19">
        <f>SUMPRODUCT((raw!$A$2:$A$3691='(2020-21)'!$A$2)*(raw!$B$2:$B$3691='(2020-21)'!$A15)*(raw!$E$2:$E$3691='(2020-21)'!$G$6)*(raw!$F$2:$F$3691='(2020-21)'!G$7)*(raw!$G$2:$G$3691))</f>
        <v>15</v>
      </c>
      <c r="H15" s="19">
        <f>SUMPRODUCT((raw!$A$2:$A$3691='(2020-21)'!$A$2)*(raw!$B$2:$B$3691='(2020-21)'!$A15)*(raw!$E$2:$E$3691='(2020-21)'!$G$6)*(raw!$F$2:$F$3691='(2020-21)'!H$7)*(raw!$G$2:$G$3691))</f>
        <v>4</v>
      </c>
      <c r="I15" s="19">
        <f>SUMPRODUCT((raw!$A$2:$A$3691='(2020-21)'!$A$2)*(raw!$B$2:$B$3691='(2020-21)'!$A15)*(raw!$E$2:$E$3691='(2020-21)'!$G$6)*(raw!$F$2:$F$3691='(2020-21)'!I$7)*(raw!$G$2:$G$3691))</f>
        <v>0</v>
      </c>
      <c r="J15" s="15">
        <f t="shared" si="1"/>
        <v>0.21052631578947367</v>
      </c>
      <c r="K15" s="19"/>
      <c r="L15" s="14">
        <f t="shared" si="6"/>
        <v>23</v>
      </c>
      <c r="M15" s="14">
        <f t="shared" si="7"/>
        <v>9</v>
      </c>
      <c r="N15" s="14">
        <f t="shared" si="8"/>
        <v>0</v>
      </c>
      <c r="O15" s="15">
        <f t="shared" si="2"/>
        <v>0.28125</v>
      </c>
      <c r="P15" s="19"/>
      <c r="Q15" s="19">
        <f>SUMPRODUCT((raw!$A$2:$A$3691='(2020-21)'!$A$2)*(raw!$B$2:$B$3691='(2020-21)'!$A15)*(raw!$E$2:$E$3691='(2020-21)'!$Q$6)*(raw!$F$2:$F$3691='(2020-21)'!Q$7)*(raw!$G$2:$G$3691))</f>
        <v>0</v>
      </c>
      <c r="R15" s="19">
        <f>SUMPRODUCT((raw!$A$2:$A$3691='(2020-21)'!$A$2)*(raw!$B$2:$B$3691='(2020-21)'!$A15)*(raw!$E$2:$E$3691='(2020-21)'!$Q$6)*(raw!$F$2:$F$3691='(2020-21)'!R$7)*(raw!$G$2:$G$3691))</f>
        <v>0</v>
      </c>
      <c r="S15" s="19">
        <f>SUMPRODUCT((raw!$A$2:$A$3691='(2020-21)'!$A$2)*(raw!$B$2:$B$3691='(2020-21)'!$A15)*(raw!$E$2:$E$3691='(2020-21)'!$Q$6)*(raw!$F$2:$F$3691='(2020-21)'!S$7)*(raw!$G$2:$G$3691))</f>
        <v>0</v>
      </c>
      <c r="T15" s="15" t="str">
        <f t="shared" si="3"/>
        <v>-</v>
      </c>
      <c r="U15" s="19"/>
      <c r="V15" s="19">
        <f>SUMPRODUCT((raw!$A$2:$A$3691='(2020-21)'!$A$2)*(raw!$B$2:$B$3691='(2020-21)'!$A15)*(raw!$E$2:$E$3691='(2020-21)'!$V$6)*(raw!$F$2:$F$3691='(2020-21)'!V$7)*(raw!$G$2:$G$3691))</f>
        <v>1</v>
      </c>
      <c r="W15" s="19">
        <f>SUMPRODUCT((raw!$A$2:$A$3691='(2020-21)'!$A$2)*(raw!$B$2:$B$3691='(2020-21)'!$A15)*(raw!$E$2:$E$3691='(2020-21)'!$V$6)*(raw!$F$2:$F$3691='(2020-21)'!W$7)*(raw!$G$2:$G$3691))</f>
        <v>3</v>
      </c>
      <c r="X15" s="19">
        <f>SUMPRODUCT((raw!$A$2:$A$3691='(2020-21)'!$A$2)*(raw!$B$2:$B$3691='(2020-21)'!$A15)*(raw!$E$2:$E$3691='(2020-21)'!$V$6)*(raw!$F$2:$F$3691='(2020-21)'!X$7)*(raw!$G$2:$G$3691))</f>
        <v>0</v>
      </c>
      <c r="Y15" s="15">
        <f t="shared" si="4"/>
        <v>0.75</v>
      </c>
      <c r="Z15" s="19"/>
      <c r="AA15" s="14">
        <f t="shared" si="9"/>
        <v>24</v>
      </c>
      <c r="AB15" s="14">
        <f t="shared" si="10"/>
        <v>12</v>
      </c>
      <c r="AC15" s="14">
        <f t="shared" si="11"/>
        <v>0</v>
      </c>
      <c r="AD15" s="15">
        <f t="shared" si="5"/>
        <v>0.33333333333333331</v>
      </c>
      <c r="AE15" s="16"/>
      <c r="AF15" s="16"/>
      <c r="AG15" s="16"/>
      <c r="AH15" s="16"/>
      <c r="AI15" s="16"/>
      <c r="AJ15" s="16"/>
      <c r="AK15" s="16"/>
      <c r="AL15" s="16"/>
      <c r="AM15" s="16"/>
    </row>
    <row r="16" spans="1:40" s="6" customFormat="1" ht="15" customHeight="1" x14ac:dyDescent="0.3">
      <c r="A16" s="5" t="s">
        <v>18</v>
      </c>
      <c r="B16" s="19">
        <f>SUMPRODUCT((raw!$A$2:$A$3691='(2020-21)'!$A$2)*(raw!$B$2:$B$3691='(2020-21)'!$A16)*(raw!$E$2:$E$3691='(2020-21)'!$B$6:$E$6)*(raw!$F$2:$F$3691='(2020-21)'!B$7)*(raw!$G$2:$G$3691))</f>
        <v>0</v>
      </c>
      <c r="C16" s="19">
        <f>SUMPRODUCT((raw!$A$2:$A$3691='(2020-21)'!$A$2)*(raw!$B$2:$B$3691='(2020-21)'!$A16)*(raw!$E$2:$E$3691='(2020-21)'!$B$6:$E$6)*(raw!$F$2:$F$3691='(2020-21)'!C$7)*(raw!$G$2:$G$3691))</f>
        <v>0</v>
      </c>
      <c r="D16" s="19">
        <f>SUMPRODUCT((raw!$A$2:$A$3691='(2020-21)'!$A$2)*(raw!$B$2:$B$3691='(2020-21)'!$A16)*(raw!$E$2:$E$3691='(2020-21)'!$B$6:$E$6)*(raw!$F$2:$F$3691='(2020-21)'!D$7)*(raw!$G$2:$G$3691))</f>
        <v>0</v>
      </c>
      <c r="E16" s="15" t="str">
        <f t="shared" si="0"/>
        <v>-</v>
      </c>
      <c r="F16" s="19"/>
      <c r="G16" s="19">
        <f>SUMPRODUCT((raw!$A$2:$A$3691='(2020-21)'!$A$2)*(raw!$B$2:$B$3691='(2020-21)'!$A16)*(raw!$E$2:$E$3691='(2020-21)'!$G$6)*(raw!$F$2:$F$3691='(2020-21)'!G$7)*(raw!$G$2:$G$3691))</f>
        <v>7</v>
      </c>
      <c r="H16" s="19">
        <f>SUMPRODUCT((raw!$A$2:$A$3691='(2020-21)'!$A$2)*(raw!$B$2:$B$3691='(2020-21)'!$A16)*(raw!$E$2:$E$3691='(2020-21)'!$G$6)*(raw!$F$2:$F$3691='(2020-21)'!H$7)*(raw!$G$2:$G$3691))</f>
        <v>3</v>
      </c>
      <c r="I16" s="19">
        <f>SUMPRODUCT((raw!$A$2:$A$3691='(2020-21)'!$A$2)*(raw!$B$2:$B$3691='(2020-21)'!$A16)*(raw!$E$2:$E$3691='(2020-21)'!$G$6)*(raw!$F$2:$F$3691='(2020-21)'!I$7)*(raw!$G$2:$G$3691))</f>
        <v>0</v>
      </c>
      <c r="J16" s="15">
        <f t="shared" si="1"/>
        <v>0.3</v>
      </c>
      <c r="K16" s="19"/>
      <c r="L16" s="14">
        <f t="shared" si="6"/>
        <v>7</v>
      </c>
      <c r="M16" s="14">
        <f t="shared" si="7"/>
        <v>3</v>
      </c>
      <c r="N16" s="14">
        <f t="shared" si="8"/>
        <v>0</v>
      </c>
      <c r="O16" s="15">
        <f t="shared" si="2"/>
        <v>0.3</v>
      </c>
      <c r="P16" s="19"/>
      <c r="Q16" s="19">
        <f>SUMPRODUCT((raw!$A$2:$A$3691='(2020-21)'!$A$2)*(raw!$B$2:$B$3691='(2020-21)'!$A16)*(raw!$E$2:$E$3691='(2020-21)'!$Q$6)*(raw!$F$2:$F$3691='(2020-21)'!Q$7)*(raw!$G$2:$G$3691))</f>
        <v>0</v>
      </c>
      <c r="R16" s="19">
        <f>SUMPRODUCT((raw!$A$2:$A$3691='(2020-21)'!$A$2)*(raw!$B$2:$B$3691='(2020-21)'!$A16)*(raw!$E$2:$E$3691='(2020-21)'!$Q$6)*(raw!$F$2:$F$3691='(2020-21)'!R$7)*(raw!$G$2:$G$3691))</f>
        <v>1</v>
      </c>
      <c r="S16" s="19">
        <f>SUMPRODUCT((raw!$A$2:$A$3691='(2020-21)'!$A$2)*(raw!$B$2:$B$3691='(2020-21)'!$A16)*(raw!$E$2:$E$3691='(2020-21)'!$Q$6)*(raw!$F$2:$F$3691='(2020-21)'!S$7)*(raw!$G$2:$G$3691))</f>
        <v>0</v>
      </c>
      <c r="T16" s="15">
        <f t="shared" si="3"/>
        <v>1</v>
      </c>
      <c r="U16" s="19"/>
      <c r="V16" s="19">
        <f>SUMPRODUCT((raw!$A$2:$A$3691='(2020-21)'!$A$2)*(raw!$B$2:$B$3691='(2020-21)'!$A16)*(raw!$E$2:$E$3691='(2020-21)'!$V$6)*(raw!$F$2:$F$3691='(2020-21)'!V$7)*(raw!$G$2:$G$3691))</f>
        <v>5</v>
      </c>
      <c r="W16" s="19">
        <f>SUMPRODUCT((raw!$A$2:$A$3691='(2020-21)'!$A$2)*(raw!$B$2:$B$3691='(2020-21)'!$A16)*(raw!$E$2:$E$3691='(2020-21)'!$V$6)*(raw!$F$2:$F$3691='(2020-21)'!W$7)*(raw!$G$2:$G$3691))</f>
        <v>7</v>
      </c>
      <c r="X16" s="19">
        <f>SUMPRODUCT((raw!$A$2:$A$3691='(2020-21)'!$A$2)*(raw!$B$2:$B$3691='(2020-21)'!$A16)*(raw!$E$2:$E$3691='(2020-21)'!$V$6)*(raw!$F$2:$F$3691='(2020-21)'!X$7)*(raw!$G$2:$G$3691))</f>
        <v>0</v>
      </c>
      <c r="Y16" s="15">
        <f t="shared" si="4"/>
        <v>0.58333333333333337</v>
      </c>
      <c r="Z16" s="19"/>
      <c r="AA16" s="14">
        <f t="shared" si="9"/>
        <v>12</v>
      </c>
      <c r="AB16" s="14">
        <f t="shared" si="10"/>
        <v>11</v>
      </c>
      <c r="AC16" s="14">
        <f t="shared" si="11"/>
        <v>0</v>
      </c>
      <c r="AD16" s="15">
        <f t="shared" si="5"/>
        <v>0.47826086956521741</v>
      </c>
      <c r="AE16" s="16"/>
      <c r="AF16" s="16"/>
      <c r="AG16" s="16"/>
      <c r="AH16" s="16"/>
      <c r="AI16" s="16"/>
      <c r="AJ16" s="16"/>
      <c r="AK16" s="16"/>
      <c r="AL16" s="16"/>
      <c r="AM16" s="16"/>
    </row>
    <row r="17" spans="1:39" s="6" customFormat="1" ht="15" customHeight="1" x14ac:dyDescent="0.3">
      <c r="A17" s="5" t="s">
        <v>19</v>
      </c>
      <c r="B17" s="19">
        <f>SUMPRODUCT((raw!$A$2:$A$3691='(2020-21)'!$A$2)*(raw!$B$2:$B$3691='(2020-21)'!$A17)*(raw!$E$2:$E$3691='(2020-21)'!$B$6:$E$6)*(raw!$F$2:$F$3691='(2020-21)'!B$7)*(raw!$G$2:$G$3691))</f>
        <v>2</v>
      </c>
      <c r="C17" s="19">
        <f>SUMPRODUCT((raw!$A$2:$A$3691='(2020-21)'!$A$2)*(raw!$B$2:$B$3691='(2020-21)'!$A17)*(raw!$E$2:$E$3691='(2020-21)'!$B$6:$E$6)*(raw!$F$2:$F$3691='(2020-21)'!C$7)*(raw!$G$2:$G$3691))</f>
        <v>0</v>
      </c>
      <c r="D17" s="19">
        <f>SUMPRODUCT((raw!$A$2:$A$3691='(2020-21)'!$A$2)*(raw!$B$2:$B$3691='(2020-21)'!$A17)*(raw!$E$2:$E$3691='(2020-21)'!$B$6:$E$6)*(raw!$F$2:$F$3691='(2020-21)'!D$7)*(raw!$G$2:$G$3691))</f>
        <v>0</v>
      </c>
      <c r="E17" s="15">
        <f t="shared" si="0"/>
        <v>0</v>
      </c>
      <c r="F17" s="19"/>
      <c r="G17" s="19">
        <f>SUMPRODUCT((raw!$A$2:$A$3691='(2020-21)'!$A$2)*(raw!$B$2:$B$3691='(2020-21)'!$A17)*(raw!$E$2:$E$3691='(2020-21)'!$G$6)*(raw!$F$2:$F$3691='(2020-21)'!G$7)*(raw!$G$2:$G$3691))</f>
        <v>21</v>
      </c>
      <c r="H17" s="19">
        <f>SUMPRODUCT((raw!$A$2:$A$3691='(2020-21)'!$A$2)*(raw!$B$2:$B$3691='(2020-21)'!$A17)*(raw!$E$2:$E$3691='(2020-21)'!$G$6)*(raw!$F$2:$F$3691='(2020-21)'!H$7)*(raw!$G$2:$G$3691))</f>
        <v>4</v>
      </c>
      <c r="I17" s="19">
        <f>SUMPRODUCT((raw!$A$2:$A$3691='(2020-21)'!$A$2)*(raw!$B$2:$B$3691='(2020-21)'!$A17)*(raw!$E$2:$E$3691='(2020-21)'!$G$6)*(raw!$F$2:$F$3691='(2020-21)'!I$7)*(raw!$G$2:$G$3691))</f>
        <v>0</v>
      </c>
      <c r="J17" s="15">
        <f t="shared" si="1"/>
        <v>0.16</v>
      </c>
      <c r="K17" s="19"/>
      <c r="L17" s="14">
        <f t="shared" si="6"/>
        <v>23</v>
      </c>
      <c r="M17" s="14">
        <f t="shared" si="7"/>
        <v>4</v>
      </c>
      <c r="N17" s="14">
        <f t="shared" si="8"/>
        <v>0</v>
      </c>
      <c r="O17" s="15">
        <f t="shared" si="2"/>
        <v>0.14814814814814814</v>
      </c>
      <c r="P17" s="19"/>
      <c r="Q17" s="19">
        <f>SUMPRODUCT((raw!$A$2:$A$3691='(2020-21)'!$A$2)*(raw!$B$2:$B$3691='(2020-21)'!$A17)*(raw!$E$2:$E$3691='(2020-21)'!$Q$6)*(raw!$F$2:$F$3691='(2020-21)'!Q$7)*(raw!$G$2:$G$3691))</f>
        <v>0</v>
      </c>
      <c r="R17" s="19">
        <f>SUMPRODUCT((raw!$A$2:$A$3691='(2020-21)'!$A$2)*(raw!$B$2:$B$3691='(2020-21)'!$A17)*(raw!$E$2:$E$3691='(2020-21)'!$Q$6)*(raw!$F$2:$F$3691='(2020-21)'!R$7)*(raw!$G$2:$G$3691))</f>
        <v>0</v>
      </c>
      <c r="S17" s="19">
        <f>SUMPRODUCT((raw!$A$2:$A$3691='(2020-21)'!$A$2)*(raw!$B$2:$B$3691='(2020-21)'!$A17)*(raw!$E$2:$E$3691='(2020-21)'!$Q$6)*(raw!$F$2:$F$3691='(2020-21)'!S$7)*(raw!$G$2:$G$3691))</f>
        <v>0</v>
      </c>
      <c r="T17" s="15" t="str">
        <f t="shared" si="3"/>
        <v>-</v>
      </c>
      <c r="U17" s="19"/>
      <c r="V17" s="19">
        <f>SUMPRODUCT((raw!$A$2:$A$3691='(2020-21)'!$A$2)*(raw!$B$2:$B$3691='(2020-21)'!$A17)*(raw!$E$2:$E$3691='(2020-21)'!$V$6)*(raw!$F$2:$F$3691='(2020-21)'!V$7)*(raw!$G$2:$G$3691))</f>
        <v>2</v>
      </c>
      <c r="W17" s="19">
        <f>SUMPRODUCT((raw!$A$2:$A$3691='(2020-21)'!$A$2)*(raw!$B$2:$B$3691='(2020-21)'!$A17)*(raw!$E$2:$E$3691='(2020-21)'!$V$6)*(raw!$F$2:$F$3691='(2020-21)'!W$7)*(raw!$G$2:$G$3691))</f>
        <v>0</v>
      </c>
      <c r="X17" s="19">
        <f>SUMPRODUCT((raw!$A$2:$A$3691='(2020-21)'!$A$2)*(raw!$B$2:$B$3691='(2020-21)'!$A17)*(raw!$E$2:$E$3691='(2020-21)'!$V$6)*(raw!$F$2:$F$3691='(2020-21)'!X$7)*(raw!$G$2:$G$3691))</f>
        <v>0</v>
      </c>
      <c r="Y17" s="15">
        <f t="shared" si="4"/>
        <v>0</v>
      </c>
      <c r="Z17" s="19"/>
      <c r="AA17" s="14">
        <f t="shared" si="9"/>
        <v>25</v>
      </c>
      <c r="AB17" s="14">
        <f t="shared" si="10"/>
        <v>4</v>
      </c>
      <c r="AC17" s="14">
        <f t="shared" si="11"/>
        <v>0</v>
      </c>
      <c r="AD17" s="15">
        <f t="shared" si="5"/>
        <v>0.13793103448275862</v>
      </c>
      <c r="AE17" s="16"/>
      <c r="AF17" s="16"/>
      <c r="AG17" s="16"/>
      <c r="AH17" s="16"/>
      <c r="AI17" s="16"/>
      <c r="AJ17" s="16"/>
      <c r="AK17" s="16"/>
      <c r="AL17" s="16"/>
      <c r="AM17" s="16"/>
    </row>
    <row r="18" spans="1:39" s="6" customFormat="1" ht="15" customHeight="1" x14ac:dyDescent="0.3">
      <c r="A18" s="5" t="s">
        <v>20</v>
      </c>
      <c r="B18" s="19">
        <f>SUMPRODUCT((raw!$A$2:$A$3691='(2020-21)'!$A$2)*(raw!$B$2:$B$3691='(2020-21)'!$A18)*(raw!$E$2:$E$3691='(2020-21)'!$B$6:$E$6)*(raw!$F$2:$F$3691='(2020-21)'!B$7)*(raw!$G$2:$G$3691))</f>
        <v>9</v>
      </c>
      <c r="C18" s="19">
        <f>SUMPRODUCT((raw!$A$2:$A$3691='(2020-21)'!$A$2)*(raw!$B$2:$B$3691='(2020-21)'!$A18)*(raw!$E$2:$E$3691='(2020-21)'!$B$6:$E$6)*(raw!$F$2:$F$3691='(2020-21)'!C$7)*(raw!$G$2:$G$3691))</f>
        <v>12</v>
      </c>
      <c r="D18" s="19">
        <f>SUMPRODUCT((raw!$A$2:$A$3691='(2020-21)'!$A$2)*(raw!$B$2:$B$3691='(2020-21)'!$A18)*(raw!$E$2:$E$3691='(2020-21)'!$B$6:$E$6)*(raw!$F$2:$F$3691='(2020-21)'!D$7)*(raw!$G$2:$G$3691))</f>
        <v>1</v>
      </c>
      <c r="E18" s="15">
        <f t="shared" si="0"/>
        <v>0.54545454545454541</v>
      </c>
      <c r="F18" s="19"/>
      <c r="G18" s="19">
        <f>SUMPRODUCT((raw!$A$2:$A$3691='(2020-21)'!$A$2)*(raw!$B$2:$B$3691='(2020-21)'!$A18)*(raw!$E$2:$E$3691='(2020-21)'!$G$6)*(raw!$F$2:$F$3691='(2020-21)'!G$7)*(raw!$G$2:$G$3691))</f>
        <v>31</v>
      </c>
      <c r="H18" s="19">
        <f>SUMPRODUCT((raw!$A$2:$A$3691='(2020-21)'!$A$2)*(raw!$B$2:$B$3691='(2020-21)'!$A18)*(raw!$E$2:$E$3691='(2020-21)'!$G$6)*(raw!$F$2:$F$3691='(2020-21)'!H$7)*(raw!$G$2:$G$3691))</f>
        <v>10</v>
      </c>
      <c r="I18" s="19">
        <f>SUMPRODUCT((raw!$A$2:$A$3691='(2020-21)'!$A$2)*(raw!$B$2:$B$3691='(2020-21)'!$A18)*(raw!$E$2:$E$3691='(2020-21)'!$G$6)*(raw!$F$2:$F$3691='(2020-21)'!I$7)*(raw!$G$2:$G$3691))</f>
        <v>0</v>
      </c>
      <c r="J18" s="15">
        <f t="shared" si="1"/>
        <v>0.24390243902439024</v>
      </c>
      <c r="K18" s="19"/>
      <c r="L18" s="14">
        <f t="shared" si="6"/>
        <v>40</v>
      </c>
      <c r="M18" s="14">
        <f t="shared" si="7"/>
        <v>22</v>
      </c>
      <c r="N18" s="14">
        <f t="shared" si="8"/>
        <v>1</v>
      </c>
      <c r="O18" s="15">
        <f t="shared" si="2"/>
        <v>0.34920634920634919</v>
      </c>
      <c r="P18" s="19"/>
      <c r="Q18" s="19">
        <f>SUMPRODUCT((raw!$A$2:$A$3691='(2020-21)'!$A$2)*(raw!$B$2:$B$3691='(2020-21)'!$A18)*(raw!$E$2:$E$3691='(2020-21)'!$Q$6)*(raw!$F$2:$F$3691='(2020-21)'!Q$7)*(raw!$G$2:$G$3691))</f>
        <v>0</v>
      </c>
      <c r="R18" s="19">
        <f>SUMPRODUCT((raw!$A$2:$A$3691='(2020-21)'!$A$2)*(raw!$B$2:$B$3691='(2020-21)'!$A18)*(raw!$E$2:$E$3691='(2020-21)'!$Q$6)*(raw!$F$2:$F$3691='(2020-21)'!R$7)*(raw!$G$2:$G$3691))</f>
        <v>0</v>
      </c>
      <c r="S18" s="19">
        <f>SUMPRODUCT((raw!$A$2:$A$3691='(2020-21)'!$A$2)*(raw!$B$2:$B$3691='(2020-21)'!$A18)*(raw!$E$2:$E$3691='(2020-21)'!$Q$6)*(raw!$F$2:$F$3691='(2020-21)'!S$7)*(raw!$G$2:$G$3691))</f>
        <v>0</v>
      </c>
      <c r="T18" s="15" t="str">
        <f t="shared" si="3"/>
        <v>-</v>
      </c>
      <c r="U18" s="19"/>
      <c r="V18" s="19">
        <f>SUMPRODUCT((raw!$A$2:$A$3691='(2020-21)'!$A$2)*(raw!$B$2:$B$3691='(2020-21)'!$A18)*(raw!$E$2:$E$3691='(2020-21)'!$V$6)*(raw!$F$2:$F$3691='(2020-21)'!V$7)*(raw!$G$2:$G$3691))</f>
        <v>4</v>
      </c>
      <c r="W18" s="19">
        <f>SUMPRODUCT((raw!$A$2:$A$3691='(2020-21)'!$A$2)*(raw!$B$2:$B$3691='(2020-21)'!$A18)*(raw!$E$2:$E$3691='(2020-21)'!$V$6)*(raw!$F$2:$F$3691='(2020-21)'!W$7)*(raw!$G$2:$G$3691))</f>
        <v>0</v>
      </c>
      <c r="X18" s="19">
        <f>SUMPRODUCT((raw!$A$2:$A$3691='(2020-21)'!$A$2)*(raw!$B$2:$B$3691='(2020-21)'!$A18)*(raw!$E$2:$E$3691='(2020-21)'!$V$6)*(raw!$F$2:$F$3691='(2020-21)'!X$7)*(raw!$G$2:$G$3691))</f>
        <v>0</v>
      </c>
      <c r="Y18" s="15">
        <f t="shared" si="4"/>
        <v>0</v>
      </c>
      <c r="Z18" s="19"/>
      <c r="AA18" s="14">
        <f t="shared" si="9"/>
        <v>44</v>
      </c>
      <c r="AB18" s="14">
        <f t="shared" si="10"/>
        <v>22</v>
      </c>
      <c r="AC18" s="14">
        <f t="shared" si="11"/>
        <v>1</v>
      </c>
      <c r="AD18" s="15">
        <f t="shared" si="5"/>
        <v>0.32835820895522388</v>
      </c>
      <c r="AE18" s="16"/>
      <c r="AF18" s="16"/>
      <c r="AG18" s="16"/>
      <c r="AH18" s="16"/>
      <c r="AI18" s="16"/>
      <c r="AJ18" s="16"/>
      <c r="AK18" s="16"/>
      <c r="AL18" s="16"/>
      <c r="AM18" s="16"/>
    </row>
    <row r="19" spans="1:39" s="6" customFormat="1" ht="15" customHeight="1" x14ac:dyDescent="0.3">
      <c r="A19" s="21" t="s">
        <v>21</v>
      </c>
      <c r="B19" s="19">
        <f>SUMPRODUCT((raw!$A$2:$A$3691='(2020-21)'!$A$2)*(raw!$B$2:$B$3691='(2020-21)'!$A19)*(raw!$E$2:$E$3691='(2020-21)'!$B$6:$E$6)*(raw!$F$2:$F$3691='(2020-21)'!B$7)*(raw!$G$2:$G$3691))</f>
        <v>25</v>
      </c>
      <c r="C19" s="19">
        <f>SUMPRODUCT((raw!$A$2:$A$3691='(2020-21)'!$A$2)*(raw!$B$2:$B$3691='(2020-21)'!$A19)*(raw!$E$2:$E$3691='(2020-21)'!$B$6:$E$6)*(raw!$F$2:$F$3691='(2020-21)'!C$7)*(raw!$G$2:$G$3691))</f>
        <v>9</v>
      </c>
      <c r="D19" s="19">
        <f>SUMPRODUCT((raw!$A$2:$A$3691='(2020-21)'!$A$2)*(raw!$B$2:$B$3691='(2020-21)'!$A19)*(raw!$E$2:$E$3691='(2020-21)'!$B$6:$E$6)*(raw!$F$2:$F$3691='(2020-21)'!D$7)*(raw!$G$2:$G$3691))</f>
        <v>0</v>
      </c>
      <c r="E19" s="15">
        <f t="shared" si="0"/>
        <v>0.26470588235294118</v>
      </c>
      <c r="F19" s="19"/>
      <c r="G19" s="19">
        <f>SUMPRODUCT((raw!$A$2:$A$3691='(2020-21)'!$A$2)*(raw!$B$2:$B$3691='(2020-21)'!$A19)*(raw!$E$2:$E$3691='(2020-21)'!$G$6)*(raw!$F$2:$F$3691='(2020-21)'!G$7)*(raw!$G$2:$G$3691))</f>
        <v>49</v>
      </c>
      <c r="H19" s="19">
        <f>SUMPRODUCT((raw!$A$2:$A$3691='(2020-21)'!$A$2)*(raw!$B$2:$B$3691='(2020-21)'!$A19)*(raw!$E$2:$E$3691='(2020-21)'!$G$6)*(raw!$F$2:$F$3691='(2020-21)'!H$7)*(raw!$G$2:$G$3691))</f>
        <v>7</v>
      </c>
      <c r="I19" s="19">
        <f>SUMPRODUCT((raw!$A$2:$A$3691='(2020-21)'!$A$2)*(raw!$B$2:$B$3691='(2020-21)'!$A19)*(raw!$E$2:$E$3691='(2020-21)'!$G$6)*(raw!$F$2:$F$3691='(2020-21)'!I$7)*(raw!$G$2:$G$3691))</f>
        <v>0</v>
      </c>
      <c r="J19" s="15">
        <f t="shared" si="1"/>
        <v>0.125</v>
      </c>
      <c r="K19" s="19"/>
      <c r="L19" s="14">
        <f t="shared" si="6"/>
        <v>74</v>
      </c>
      <c r="M19" s="14">
        <f t="shared" si="7"/>
        <v>16</v>
      </c>
      <c r="N19" s="14">
        <f t="shared" si="8"/>
        <v>0</v>
      </c>
      <c r="O19" s="15">
        <f t="shared" si="2"/>
        <v>0.17777777777777778</v>
      </c>
      <c r="P19" s="19"/>
      <c r="Q19" s="19">
        <f>SUMPRODUCT((raw!$A$2:$A$3691='(2020-21)'!$A$2)*(raw!$B$2:$B$3691='(2020-21)'!$A19)*(raw!$E$2:$E$3691='(2020-21)'!$Q$6)*(raw!$F$2:$F$3691='(2020-21)'!Q$7)*(raw!$G$2:$G$3691))</f>
        <v>0</v>
      </c>
      <c r="R19" s="19">
        <f>SUMPRODUCT((raw!$A$2:$A$3691='(2020-21)'!$A$2)*(raw!$B$2:$B$3691='(2020-21)'!$A19)*(raw!$E$2:$E$3691='(2020-21)'!$Q$6)*(raw!$F$2:$F$3691='(2020-21)'!R$7)*(raw!$G$2:$G$3691))</f>
        <v>0</v>
      </c>
      <c r="S19" s="19">
        <f>SUMPRODUCT((raw!$A$2:$A$3691='(2020-21)'!$A$2)*(raw!$B$2:$B$3691='(2020-21)'!$A19)*(raw!$E$2:$E$3691='(2020-21)'!$Q$6)*(raw!$F$2:$F$3691='(2020-21)'!S$7)*(raw!$G$2:$G$3691))</f>
        <v>0</v>
      </c>
      <c r="T19" s="15" t="str">
        <f t="shared" si="3"/>
        <v>-</v>
      </c>
      <c r="U19" s="19"/>
      <c r="V19" s="19">
        <f>SUMPRODUCT((raw!$A$2:$A$3691='(2020-21)'!$A$2)*(raw!$B$2:$B$3691='(2020-21)'!$A19)*(raw!$E$2:$E$3691='(2020-21)'!$V$6)*(raw!$F$2:$F$3691='(2020-21)'!V$7)*(raw!$G$2:$G$3691))</f>
        <v>7</v>
      </c>
      <c r="W19" s="19">
        <f>SUMPRODUCT((raw!$A$2:$A$3691='(2020-21)'!$A$2)*(raw!$B$2:$B$3691='(2020-21)'!$A19)*(raw!$E$2:$E$3691='(2020-21)'!$V$6)*(raw!$F$2:$F$3691='(2020-21)'!W$7)*(raw!$G$2:$G$3691))</f>
        <v>15</v>
      </c>
      <c r="X19" s="19">
        <f>SUMPRODUCT((raw!$A$2:$A$3691='(2020-21)'!$A$2)*(raw!$B$2:$B$3691='(2020-21)'!$A19)*(raw!$E$2:$E$3691='(2020-21)'!$V$6)*(raw!$F$2:$F$3691='(2020-21)'!X$7)*(raw!$G$2:$G$3691))</f>
        <v>0</v>
      </c>
      <c r="Y19" s="15">
        <f t="shared" si="4"/>
        <v>0.68181818181818177</v>
      </c>
      <c r="Z19" s="19"/>
      <c r="AA19" s="14">
        <f t="shared" si="9"/>
        <v>81</v>
      </c>
      <c r="AB19" s="14">
        <f t="shared" si="10"/>
        <v>31</v>
      </c>
      <c r="AC19" s="14">
        <f t="shared" si="11"/>
        <v>0</v>
      </c>
      <c r="AD19" s="15">
        <f t="shared" si="5"/>
        <v>0.2767857142857143</v>
      </c>
      <c r="AE19" s="16"/>
      <c r="AF19" s="16"/>
      <c r="AG19" s="16"/>
      <c r="AH19" s="16"/>
      <c r="AI19" s="16"/>
      <c r="AJ19" s="16"/>
      <c r="AK19" s="16"/>
      <c r="AL19" s="16"/>
      <c r="AM19" s="16"/>
    </row>
    <row r="20" spans="1:39" s="6" customFormat="1" ht="15" customHeight="1" x14ac:dyDescent="0.3">
      <c r="A20" s="21" t="s">
        <v>22</v>
      </c>
      <c r="B20" s="19">
        <f>SUMPRODUCT((raw!$A$2:$A$3691='(2020-21)'!$A$2)*(raw!$B$2:$B$3691='(2020-21)'!$A20)*(raw!$E$2:$E$3691='(2020-21)'!$B$6:$E$6)*(raw!$F$2:$F$3691='(2020-21)'!B$7)*(raw!$G$2:$G$3691))</f>
        <v>35</v>
      </c>
      <c r="C20" s="19">
        <f>SUMPRODUCT((raw!$A$2:$A$3691='(2020-21)'!$A$2)*(raw!$B$2:$B$3691='(2020-21)'!$A20)*(raw!$E$2:$E$3691='(2020-21)'!$B$6:$E$6)*(raw!$F$2:$F$3691='(2020-21)'!C$7)*(raw!$G$2:$G$3691))</f>
        <v>2</v>
      </c>
      <c r="D20" s="19">
        <f>SUMPRODUCT((raw!$A$2:$A$3691='(2020-21)'!$A$2)*(raw!$B$2:$B$3691='(2020-21)'!$A20)*(raw!$E$2:$E$3691='(2020-21)'!$B$6:$E$6)*(raw!$F$2:$F$3691='(2020-21)'!D$7)*(raw!$G$2:$G$3691))</f>
        <v>0</v>
      </c>
      <c r="E20" s="15">
        <f t="shared" si="0"/>
        <v>5.4054054054054057E-2</v>
      </c>
      <c r="F20" s="19"/>
      <c r="G20" s="19">
        <f>SUMPRODUCT((raw!$A$2:$A$3691='(2020-21)'!$A$2)*(raw!$B$2:$B$3691='(2020-21)'!$A20)*(raw!$E$2:$E$3691='(2020-21)'!$G$6)*(raw!$F$2:$F$3691='(2020-21)'!G$7)*(raw!$G$2:$G$3691))</f>
        <v>57</v>
      </c>
      <c r="H20" s="19">
        <f>SUMPRODUCT((raw!$A$2:$A$3691='(2020-21)'!$A$2)*(raw!$B$2:$B$3691='(2020-21)'!$A20)*(raw!$E$2:$E$3691='(2020-21)'!$G$6)*(raw!$F$2:$F$3691='(2020-21)'!H$7)*(raw!$G$2:$G$3691))</f>
        <v>13</v>
      </c>
      <c r="I20" s="19">
        <f>SUMPRODUCT((raw!$A$2:$A$3691='(2020-21)'!$A$2)*(raw!$B$2:$B$3691='(2020-21)'!$A20)*(raw!$E$2:$E$3691='(2020-21)'!$G$6)*(raw!$F$2:$F$3691='(2020-21)'!I$7)*(raw!$G$2:$G$3691))</f>
        <v>1</v>
      </c>
      <c r="J20" s="15">
        <f t="shared" si="1"/>
        <v>0.18309859154929578</v>
      </c>
      <c r="K20" s="19"/>
      <c r="L20" s="14">
        <f t="shared" si="6"/>
        <v>92</v>
      </c>
      <c r="M20" s="14">
        <f t="shared" si="7"/>
        <v>15</v>
      </c>
      <c r="N20" s="14">
        <f t="shared" si="8"/>
        <v>1</v>
      </c>
      <c r="O20" s="15">
        <f t="shared" si="2"/>
        <v>0.1388888888888889</v>
      </c>
      <c r="P20" s="19"/>
      <c r="Q20" s="19">
        <f>SUMPRODUCT((raw!$A$2:$A$3691='(2020-21)'!$A$2)*(raw!$B$2:$B$3691='(2020-21)'!$A20)*(raw!$E$2:$E$3691='(2020-21)'!$Q$6)*(raw!$F$2:$F$3691='(2020-21)'!Q$7)*(raw!$G$2:$G$3691))</f>
        <v>0</v>
      </c>
      <c r="R20" s="19">
        <f>SUMPRODUCT((raw!$A$2:$A$3691='(2020-21)'!$A$2)*(raw!$B$2:$B$3691='(2020-21)'!$A20)*(raw!$E$2:$E$3691='(2020-21)'!$Q$6)*(raw!$F$2:$F$3691='(2020-21)'!R$7)*(raw!$G$2:$G$3691))</f>
        <v>1</v>
      </c>
      <c r="S20" s="19">
        <f>SUMPRODUCT((raw!$A$2:$A$3691='(2020-21)'!$A$2)*(raw!$B$2:$B$3691='(2020-21)'!$A20)*(raw!$E$2:$E$3691='(2020-21)'!$Q$6)*(raw!$F$2:$F$3691='(2020-21)'!S$7)*(raw!$G$2:$G$3691))</f>
        <v>0</v>
      </c>
      <c r="T20" s="15">
        <f t="shared" si="3"/>
        <v>1</v>
      </c>
      <c r="U20" s="19"/>
      <c r="V20" s="19">
        <f>SUMPRODUCT((raw!$A$2:$A$3691='(2020-21)'!$A$2)*(raw!$B$2:$B$3691='(2020-21)'!$A20)*(raw!$E$2:$E$3691='(2020-21)'!$V$6)*(raw!$F$2:$F$3691='(2020-21)'!V$7)*(raw!$G$2:$G$3691))</f>
        <v>13</v>
      </c>
      <c r="W20" s="19">
        <f>SUMPRODUCT((raw!$A$2:$A$3691='(2020-21)'!$A$2)*(raw!$B$2:$B$3691='(2020-21)'!$A20)*(raw!$E$2:$E$3691='(2020-21)'!$V$6)*(raw!$F$2:$F$3691='(2020-21)'!W$7)*(raw!$G$2:$G$3691))</f>
        <v>5</v>
      </c>
      <c r="X20" s="19">
        <f>SUMPRODUCT((raw!$A$2:$A$3691='(2020-21)'!$A$2)*(raw!$B$2:$B$3691='(2020-21)'!$A20)*(raw!$E$2:$E$3691='(2020-21)'!$V$6)*(raw!$F$2:$F$3691='(2020-21)'!X$7)*(raw!$G$2:$G$3691))</f>
        <v>0</v>
      </c>
      <c r="Y20" s="15">
        <f t="shared" si="4"/>
        <v>0.27777777777777779</v>
      </c>
      <c r="Z20" s="19"/>
      <c r="AA20" s="14">
        <f t="shared" si="9"/>
        <v>105</v>
      </c>
      <c r="AB20" s="14">
        <f t="shared" si="10"/>
        <v>21</v>
      </c>
      <c r="AC20" s="14">
        <f t="shared" si="11"/>
        <v>1</v>
      </c>
      <c r="AD20" s="15">
        <f t="shared" si="5"/>
        <v>0.16535433070866143</v>
      </c>
      <c r="AE20" s="16"/>
      <c r="AF20" s="16"/>
      <c r="AG20" s="16"/>
      <c r="AH20" s="16"/>
      <c r="AI20" s="16"/>
      <c r="AJ20" s="16"/>
      <c r="AK20" s="16"/>
      <c r="AL20" s="16"/>
      <c r="AM20" s="16"/>
    </row>
    <row r="21" spans="1:39" s="6" customFormat="1" ht="15" customHeight="1" x14ac:dyDescent="0.3">
      <c r="A21" s="5" t="s">
        <v>23</v>
      </c>
      <c r="B21" s="19">
        <f>SUMPRODUCT((raw!$A$2:$A$3691='(2020-21)'!$A$2)*(raw!$B$2:$B$3691='(2020-21)'!$A21)*(raw!$E$2:$E$3691='(2020-21)'!$B$6:$E$6)*(raw!$F$2:$F$3691='(2020-21)'!B$7)*(raw!$G$2:$G$3691))</f>
        <v>12</v>
      </c>
      <c r="C21" s="19">
        <f>SUMPRODUCT((raw!$A$2:$A$3691='(2020-21)'!$A$2)*(raw!$B$2:$B$3691='(2020-21)'!$A21)*(raw!$E$2:$E$3691='(2020-21)'!$B$6:$E$6)*(raw!$F$2:$F$3691='(2020-21)'!C$7)*(raw!$G$2:$G$3691))</f>
        <v>0</v>
      </c>
      <c r="D21" s="19">
        <f>SUMPRODUCT((raw!$A$2:$A$3691='(2020-21)'!$A$2)*(raw!$B$2:$B$3691='(2020-21)'!$A21)*(raw!$E$2:$E$3691='(2020-21)'!$B$6:$E$6)*(raw!$F$2:$F$3691='(2020-21)'!D$7)*(raw!$G$2:$G$3691))</f>
        <v>0</v>
      </c>
      <c r="E21" s="15">
        <f t="shared" si="0"/>
        <v>0</v>
      </c>
      <c r="F21" s="19"/>
      <c r="G21" s="19">
        <f>SUMPRODUCT((raw!$A$2:$A$3691='(2020-21)'!$A$2)*(raw!$B$2:$B$3691='(2020-21)'!$A21)*(raw!$E$2:$E$3691='(2020-21)'!$G$6)*(raw!$F$2:$F$3691='(2020-21)'!G$7)*(raw!$G$2:$G$3691))</f>
        <v>44</v>
      </c>
      <c r="H21" s="19">
        <f>SUMPRODUCT((raw!$A$2:$A$3691='(2020-21)'!$A$2)*(raw!$B$2:$B$3691='(2020-21)'!$A21)*(raw!$E$2:$E$3691='(2020-21)'!$G$6)*(raw!$F$2:$F$3691='(2020-21)'!H$7)*(raw!$G$2:$G$3691))</f>
        <v>5</v>
      </c>
      <c r="I21" s="19">
        <f>SUMPRODUCT((raw!$A$2:$A$3691='(2020-21)'!$A$2)*(raw!$B$2:$B$3691='(2020-21)'!$A21)*(raw!$E$2:$E$3691='(2020-21)'!$G$6)*(raw!$F$2:$F$3691='(2020-21)'!I$7)*(raw!$G$2:$G$3691))</f>
        <v>0</v>
      </c>
      <c r="J21" s="15">
        <f t="shared" si="1"/>
        <v>0.10204081632653061</v>
      </c>
      <c r="K21" s="19"/>
      <c r="L21" s="14">
        <f t="shared" si="6"/>
        <v>56</v>
      </c>
      <c r="M21" s="14">
        <f t="shared" si="7"/>
        <v>5</v>
      </c>
      <c r="N21" s="14">
        <f t="shared" si="8"/>
        <v>0</v>
      </c>
      <c r="O21" s="15">
        <f t="shared" si="2"/>
        <v>8.1967213114754092E-2</v>
      </c>
      <c r="P21" s="19"/>
      <c r="Q21" s="19">
        <f>SUMPRODUCT((raw!$A$2:$A$3691='(2020-21)'!$A$2)*(raw!$B$2:$B$3691='(2020-21)'!$A21)*(raw!$E$2:$E$3691='(2020-21)'!$Q$6)*(raw!$F$2:$F$3691='(2020-21)'!Q$7)*(raw!$G$2:$G$3691))</f>
        <v>3</v>
      </c>
      <c r="R21" s="19">
        <f>SUMPRODUCT((raw!$A$2:$A$3691='(2020-21)'!$A$2)*(raw!$B$2:$B$3691='(2020-21)'!$A21)*(raw!$E$2:$E$3691='(2020-21)'!$Q$6)*(raw!$F$2:$F$3691='(2020-21)'!R$7)*(raw!$G$2:$G$3691))</f>
        <v>2</v>
      </c>
      <c r="S21" s="19">
        <f>SUMPRODUCT((raw!$A$2:$A$3691='(2020-21)'!$A$2)*(raw!$B$2:$B$3691='(2020-21)'!$A21)*(raw!$E$2:$E$3691='(2020-21)'!$Q$6)*(raw!$F$2:$F$3691='(2020-21)'!S$7)*(raw!$G$2:$G$3691))</f>
        <v>0</v>
      </c>
      <c r="T21" s="15">
        <f t="shared" si="3"/>
        <v>0.4</v>
      </c>
      <c r="U21" s="19"/>
      <c r="V21" s="19">
        <f>SUMPRODUCT((raw!$A$2:$A$3691='(2020-21)'!$A$2)*(raw!$B$2:$B$3691='(2020-21)'!$A21)*(raw!$E$2:$E$3691='(2020-21)'!$V$6)*(raw!$F$2:$F$3691='(2020-21)'!V$7)*(raw!$G$2:$G$3691))</f>
        <v>34</v>
      </c>
      <c r="W21" s="19">
        <f>SUMPRODUCT((raw!$A$2:$A$3691='(2020-21)'!$A$2)*(raw!$B$2:$B$3691='(2020-21)'!$A21)*(raw!$E$2:$E$3691='(2020-21)'!$V$6)*(raw!$F$2:$F$3691='(2020-21)'!W$7)*(raw!$G$2:$G$3691))</f>
        <v>33</v>
      </c>
      <c r="X21" s="19">
        <f>SUMPRODUCT((raw!$A$2:$A$3691='(2020-21)'!$A$2)*(raw!$B$2:$B$3691='(2020-21)'!$A21)*(raw!$E$2:$E$3691='(2020-21)'!$V$6)*(raw!$F$2:$F$3691='(2020-21)'!X$7)*(raw!$G$2:$G$3691))</f>
        <v>0</v>
      </c>
      <c r="Y21" s="15">
        <f t="shared" si="4"/>
        <v>0.4925373134328358</v>
      </c>
      <c r="Z21" s="19"/>
      <c r="AA21" s="14">
        <f t="shared" si="9"/>
        <v>93</v>
      </c>
      <c r="AB21" s="14">
        <f t="shared" si="10"/>
        <v>40</v>
      </c>
      <c r="AC21" s="14">
        <f t="shared" si="11"/>
        <v>0</v>
      </c>
      <c r="AD21" s="15">
        <f t="shared" si="5"/>
        <v>0.3007518796992481</v>
      </c>
      <c r="AE21" s="16"/>
      <c r="AF21" s="16"/>
      <c r="AG21" s="16"/>
      <c r="AH21" s="16"/>
      <c r="AI21" s="16"/>
      <c r="AJ21" s="16"/>
      <c r="AK21" s="16"/>
      <c r="AL21" s="16"/>
      <c r="AM21" s="16"/>
    </row>
    <row r="22" spans="1:39" s="6" customFormat="1" ht="15" customHeight="1" x14ac:dyDescent="0.3">
      <c r="A22" s="5" t="s">
        <v>24</v>
      </c>
      <c r="B22" s="19">
        <f>SUMPRODUCT((raw!$A$2:$A$3691='(2020-21)'!$A$2)*(raw!$B$2:$B$3691='(2020-21)'!$A22)*(raw!$E$2:$E$3691='(2020-21)'!$B$6:$E$6)*(raw!$F$2:$F$3691='(2020-21)'!B$7)*(raw!$G$2:$G$3691))</f>
        <v>1</v>
      </c>
      <c r="C22" s="19">
        <f>SUMPRODUCT((raw!$A$2:$A$3691='(2020-21)'!$A$2)*(raw!$B$2:$B$3691='(2020-21)'!$A22)*(raw!$E$2:$E$3691='(2020-21)'!$B$6:$E$6)*(raw!$F$2:$F$3691='(2020-21)'!C$7)*(raw!$G$2:$G$3691))</f>
        <v>0</v>
      </c>
      <c r="D22" s="19">
        <f>SUMPRODUCT((raw!$A$2:$A$3691='(2020-21)'!$A$2)*(raw!$B$2:$B$3691='(2020-21)'!$A22)*(raw!$E$2:$E$3691='(2020-21)'!$B$6:$E$6)*(raw!$F$2:$F$3691='(2020-21)'!D$7)*(raw!$G$2:$G$3691))</f>
        <v>0</v>
      </c>
      <c r="E22" s="15">
        <f t="shared" si="0"/>
        <v>0</v>
      </c>
      <c r="F22" s="19"/>
      <c r="G22" s="19">
        <f>SUMPRODUCT((raw!$A$2:$A$3691='(2020-21)'!$A$2)*(raw!$B$2:$B$3691='(2020-21)'!$A22)*(raw!$E$2:$E$3691='(2020-21)'!$G$6)*(raw!$F$2:$F$3691='(2020-21)'!G$7)*(raw!$G$2:$G$3691))</f>
        <v>28</v>
      </c>
      <c r="H22" s="19">
        <f>SUMPRODUCT((raw!$A$2:$A$3691='(2020-21)'!$A$2)*(raw!$B$2:$B$3691='(2020-21)'!$A22)*(raw!$E$2:$E$3691='(2020-21)'!$G$6)*(raw!$F$2:$F$3691='(2020-21)'!H$7)*(raw!$G$2:$G$3691))</f>
        <v>5</v>
      </c>
      <c r="I22" s="19">
        <f>SUMPRODUCT((raw!$A$2:$A$3691='(2020-21)'!$A$2)*(raw!$B$2:$B$3691='(2020-21)'!$A22)*(raw!$E$2:$E$3691='(2020-21)'!$G$6)*(raw!$F$2:$F$3691='(2020-21)'!I$7)*(raw!$G$2:$G$3691))</f>
        <v>0</v>
      </c>
      <c r="J22" s="15">
        <f t="shared" si="1"/>
        <v>0.15151515151515152</v>
      </c>
      <c r="K22" s="19"/>
      <c r="L22" s="14">
        <f t="shared" si="6"/>
        <v>29</v>
      </c>
      <c r="M22" s="14">
        <f t="shared" si="7"/>
        <v>5</v>
      </c>
      <c r="N22" s="14">
        <f t="shared" si="8"/>
        <v>0</v>
      </c>
      <c r="O22" s="15">
        <f t="shared" si="2"/>
        <v>0.14705882352941177</v>
      </c>
      <c r="P22" s="19"/>
      <c r="Q22" s="19">
        <f>SUMPRODUCT((raw!$A$2:$A$3691='(2020-21)'!$A$2)*(raw!$B$2:$B$3691='(2020-21)'!$A22)*(raw!$E$2:$E$3691='(2020-21)'!$Q$6)*(raw!$F$2:$F$3691='(2020-21)'!Q$7)*(raw!$G$2:$G$3691))</f>
        <v>0</v>
      </c>
      <c r="R22" s="19">
        <f>SUMPRODUCT((raw!$A$2:$A$3691='(2020-21)'!$A$2)*(raw!$B$2:$B$3691='(2020-21)'!$A22)*(raw!$E$2:$E$3691='(2020-21)'!$Q$6)*(raw!$F$2:$F$3691='(2020-21)'!R$7)*(raw!$G$2:$G$3691))</f>
        <v>2</v>
      </c>
      <c r="S22" s="19">
        <f>SUMPRODUCT((raw!$A$2:$A$3691='(2020-21)'!$A$2)*(raw!$B$2:$B$3691='(2020-21)'!$A22)*(raw!$E$2:$E$3691='(2020-21)'!$Q$6)*(raw!$F$2:$F$3691='(2020-21)'!S$7)*(raw!$G$2:$G$3691))</f>
        <v>0</v>
      </c>
      <c r="T22" s="15">
        <f t="shared" si="3"/>
        <v>1</v>
      </c>
      <c r="U22" s="19"/>
      <c r="V22" s="19">
        <f>SUMPRODUCT((raw!$A$2:$A$3691='(2020-21)'!$A$2)*(raw!$B$2:$B$3691='(2020-21)'!$A22)*(raw!$E$2:$E$3691='(2020-21)'!$V$6)*(raw!$F$2:$F$3691='(2020-21)'!V$7)*(raw!$G$2:$G$3691))</f>
        <v>9</v>
      </c>
      <c r="W22" s="19">
        <f>SUMPRODUCT((raw!$A$2:$A$3691='(2020-21)'!$A$2)*(raw!$B$2:$B$3691='(2020-21)'!$A22)*(raw!$E$2:$E$3691='(2020-21)'!$V$6)*(raw!$F$2:$F$3691='(2020-21)'!W$7)*(raw!$G$2:$G$3691))</f>
        <v>7</v>
      </c>
      <c r="X22" s="19">
        <f>SUMPRODUCT((raw!$A$2:$A$3691='(2020-21)'!$A$2)*(raw!$B$2:$B$3691='(2020-21)'!$A22)*(raw!$E$2:$E$3691='(2020-21)'!$V$6)*(raw!$F$2:$F$3691='(2020-21)'!X$7)*(raw!$G$2:$G$3691))</f>
        <v>0</v>
      </c>
      <c r="Y22" s="15">
        <f t="shared" si="4"/>
        <v>0.4375</v>
      </c>
      <c r="Z22" s="19"/>
      <c r="AA22" s="14">
        <f t="shared" si="9"/>
        <v>38</v>
      </c>
      <c r="AB22" s="14">
        <f t="shared" si="10"/>
        <v>14</v>
      </c>
      <c r="AC22" s="14">
        <f t="shared" si="11"/>
        <v>0</v>
      </c>
      <c r="AD22" s="15">
        <f t="shared" si="5"/>
        <v>0.26923076923076922</v>
      </c>
      <c r="AE22" s="16"/>
      <c r="AF22" s="16"/>
      <c r="AG22" s="16"/>
      <c r="AH22" s="16"/>
      <c r="AI22" s="16"/>
      <c r="AJ22" s="16"/>
      <c r="AK22" s="16"/>
      <c r="AL22" s="16"/>
      <c r="AM22" s="16"/>
    </row>
    <row r="23" spans="1:39" s="6" customFormat="1" ht="15" customHeight="1" x14ac:dyDescent="0.3">
      <c r="A23" s="5" t="s">
        <v>25</v>
      </c>
      <c r="B23" s="19">
        <f>SUMPRODUCT((raw!$A$2:$A$3691='(2020-21)'!$A$2)*(raw!$B$2:$B$3691='(2020-21)'!$A23)*(raw!$E$2:$E$3691='(2020-21)'!$B$6:$E$6)*(raw!$F$2:$F$3691='(2020-21)'!B$7)*(raw!$G$2:$G$3691))</f>
        <v>2</v>
      </c>
      <c r="C23" s="19">
        <f>SUMPRODUCT((raw!$A$2:$A$3691='(2020-21)'!$A$2)*(raw!$B$2:$B$3691='(2020-21)'!$A23)*(raw!$E$2:$E$3691='(2020-21)'!$B$6:$E$6)*(raw!$F$2:$F$3691='(2020-21)'!C$7)*(raw!$G$2:$G$3691))</f>
        <v>0</v>
      </c>
      <c r="D23" s="19">
        <f>SUMPRODUCT((raw!$A$2:$A$3691='(2020-21)'!$A$2)*(raw!$B$2:$B$3691='(2020-21)'!$A23)*(raw!$E$2:$E$3691='(2020-21)'!$B$6:$E$6)*(raw!$F$2:$F$3691='(2020-21)'!D$7)*(raw!$G$2:$G$3691))</f>
        <v>0</v>
      </c>
      <c r="E23" s="15">
        <f t="shared" si="0"/>
        <v>0</v>
      </c>
      <c r="F23" s="19"/>
      <c r="G23" s="19">
        <f>SUMPRODUCT((raw!$A$2:$A$3691='(2020-21)'!$A$2)*(raw!$B$2:$B$3691='(2020-21)'!$A23)*(raw!$E$2:$E$3691='(2020-21)'!$G$6)*(raw!$F$2:$F$3691='(2020-21)'!G$7)*(raw!$G$2:$G$3691))</f>
        <v>3</v>
      </c>
      <c r="H23" s="19">
        <f>SUMPRODUCT((raw!$A$2:$A$3691='(2020-21)'!$A$2)*(raw!$B$2:$B$3691='(2020-21)'!$A23)*(raw!$E$2:$E$3691='(2020-21)'!$G$6)*(raw!$F$2:$F$3691='(2020-21)'!H$7)*(raw!$G$2:$G$3691))</f>
        <v>2</v>
      </c>
      <c r="I23" s="19">
        <f>SUMPRODUCT((raw!$A$2:$A$3691='(2020-21)'!$A$2)*(raw!$B$2:$B$3691='(2020-21)'!$A23)*(raw!$E$2:$E$3691='(2020-21)'!$G$6)*(raw!$F$2:$F$3691='(2020-21)'!I$7)*(raw!$G$2:$G$3691))</f>
        <v>0</v>
      </c>
      <c r="J23" s="15">
        <f t="shared" si="1"/>
        <v>0.4</v>
      </c>
      <c r="K23" s="19"/>
      <c r="L23" s="14">
        <f t="shared" si="6"/>
        <v>5</v>
      </c>
      <c r="M23" s="14">
        <f t="shared" si="7"/>
        <v>2</v>
      </c>
      <c r="N23" s="14">
        <f t="shared" si="8"/>
        <v>0</v>
      </c>
      <c r="O23" s="15">
        <f t="shared" si="2"/>
        <v>0.2857142857142857</v>
      </c>
      <c r="P23" s="19"/>
      <c r="Q23" s="19">
        <f>SUMPRODUCT((raw!$A$2:$A$3691='(2020-21)'!$A$2)*(raw!$B$2:$B$3691='(2020-21)'!$A23)*(raw!$E$2:$E$3691='(2020-21)'!$Q$6)*(raw!$F$2:$F$3691='(2020-21)'!Q$7)*(raw!$G$2:$G$3691))</f>
        <v>2</v>
      </c>
      <c r="R23" s="19">
        <f>SUMPRODUCT((raw!$A$2:$A$3691='(2020-21)'!$A$2)*(raw!$B$2:$B$3691='(2020-21)'!$A23)*(raw!$E$2:$E$3691='(2020-21)'!$Q$6)*(raw!$F$2:$F$3691='(2020-21)'!R$7)*(raw!$G$2:$G$3691))</f>
        <v>0</v>
      </c>
      <c r="S23" s="19">
        <f>SUMPRODUCT((raw!$A$2:$A$3691='(2020-21)'!$A$2)*(raw!$B$2:$B$3691='(2020-21)'!$A23)*(raw!$E$2:$E$3691='(2020-21)'!$Q$6)*(raw!$F$2:$F$3691='(2020-21)'!S$7)*(raw!$G$2:$G$3691))</f>
        <v>0</v>
      </c>
      <c r="T23" s="15">
        <f t="shared" si="3"/>
        <v>0</v>
      </c>
      <c r="U23" s="19"/>
      <c r="V23" s="19">
        <f>SUMPRODUCT((raw!$A$2:$A$3691='(2020-21)'!$A$2)*(raw!$B$2:$B$3691='(2020-21)'!$A23)*(raw!$E$2:$E$3691='(2020-21)'!$V$6)*(raw!$F$2:$F$3691='(2020-21)'!V$7)*(raw!$G$2:$G$3691))</f>
        <v>4</v>
      </c>
      <c r="W23" s="19">
        <f>SUMPRODUCT((raw!$A$2:$A$3691='(2020-21)'!$A$2)*(raw!$B$2:$B$3691='(2020-21)'!$A23)*(raw!$E$2:$E$3691='(2020-21)'!$V$6)*(raw!$F$2:$F$3691='(2020-21)'!W$7)*(raw!$G$2:$G$3691))</f>
        <v>7</v>
      </c>
      <c r="X23" s="19">
        <f>SUMPRODUCT((raw!$A$2:$A$3691='(2020-21)'!$A$2)*(raw!$B$2:$B$3691='(2020-21)'!$A23)*(raw!$E$2:$E$3691='(2020-21)'!$V$6)*(raw!$F$2:$F$3691='(2020-21)'!X$7)*(raw!$G$2:$G$3691))</f>
        <v>0</v>
      </c>
      <c r="Y23" s="15">
        <f t="shared" si="4"/>
        <v>0.63636363636363635</v>
      </c>
      <c r="Z23" s="19"/>
      <c r="AA23" s="14">
        <f t="shared" si="9"/>
        <v>11</v>
      </c>
      <c r="AB23" s="14">
        <f t="shared" si="10"/>
        <v>9</v>
      </c>
      <c r="AC23" s="14">
        <f t="shared" si="11"/>
        <v>0</v>
      </c>
      <c r="AD23" s="15">
        <f t="shared" si="5"/>
        <v>0.45</v>
      </c>
      <c r="AE23" s="16"/>
      <c r="AF23" s="16"/>
      <c r="AG23" s="16"/>
      <c r="AH23" s="16"/>
      <c r="AI23" s="16"/>
      <c r="AJ23" s="16"/>
      <c r="AK23" s="16"/>
      <c r="AL23" s="16"/>
      <c r="AM23" s="16"/>
    </row>
    <row r="24" spans="1:39" s="6" customFormat="1" ht="15" customHeight="1" x14ac:dyDescent="0.3">
      <c r="A24" s="5" t="s">
        <v>26</v>
      </c>
      <c r="B24" s="19">
        <f>SUMPRODUCT((raw!$A$2:$A$3691='(2020-21)'!$A$2)*(raw!$B$2:$B$3691='(2020-21)'!$A24)*(raw!$E$2:$E$3691='(2020-21)'!$B$6:$E$6)*(raw!$F$2:$F$3691='(2020-21)'!B$7)*(raw!$G$2:$G$3691))</f>
        <v>35</v>
      </c>
      <c r="C24" s="19">
        <f>SUMPRODUCT((raw!$A$2:$A$3691='(2020-21)'!$A$2)*(raw!$B$2:$B$3691='(2020-21)'!$A24)*(raw!$E$2:$E$3691='(2020-21)'!$B$6:$E$6)*(raw!$F$2:$F$3691='(2020-21)'!C$7)*(raw!$G$2:$G$3691))</f>
        <v>4</v>
      </c>
      <c r="D24" s="19">
        <f>SUMPRODUCT((raw!$A$2:$A$3691='(2020-21)'!$A$2)*(raw!$B$2:$B$3691='(2020-21)'!$A24)*(raw!$E$2:$E$3691='(2020-21)'!$B$6:$E$6)*(raw!$F$2:$F$3691='(2020-21)'!D$7)*(raw!$G$2:$G$3691))</f>
        <v>1</v>
      </c>
      <c r="E24" s="15">
        <f t="shared" si="0"/>
        <v>0.1</v>
      </c>
      <c r="F24" s="19"/>
      <c r="G24" s="19">
        <f>SUMPRODUCT((raw!$A$2:$A$3691='(2020-21)'!$A$2)*(raw!$B$2:$B$3691='(2020-21)'!$A24)*(raw!$E$2:$E$3691='(2020-21)'!$G$6)*(raw!$F$2:$F$3691='(2020-21)'!G$7)*(raw!$G$2:$G$3691))</f>
        <v>56</v>
      </c>
      <c r="H24" s="19">
        <f>SUMPRODUCT((raw!$A$2:$A$3691='(2020-21)'!$A$2)*(raw!$B$2:$B$3691='(2020-21)'!$A24)*(raw!$E$2:$E$3691='(2020-21)'!$G$6)*(raw!$F$2:$F$3691='(2020-21)'!H$7)*(raw!$G$2:$G$3691))</f>
        <v>7</v>
      </c>
      <c r="I24" s="19">
        <f>SUMPRODUCT((raw!$A$2:$A$3691='(2020-21)'!$A$2)*(raw!$B$2:$B$3691='(2020-21)'!$A24)*(raw!$E$2:$E$3691='(2020-21)'!$G$6)*(raw!$F$2:$F$3691='(2020-21)'!I$7)*(raw!$G$2:$G$3691))</f>
        <v>3</v>
      </c>
      <c r="J24" s="15">
        <f t="shared" si="1"/>
        <v>0.10606060606060606</v>
      </c>
      <c r="K24" s="19"/>
      <c r="L24" s="14">
        <f t="shared" si="6"/>
        <v>91</v>
      </c>
      <c r="M24" s="14">
        <f t="shared" si="7"/>
        <v>11</v>
      </c>
      <c r="N24" s="14">
        <f t="shared" si="8"/>
        <v>4</v>
      </c>
      <c r="O24" s="15">
        <f t="shared" si="2"/>
        <v>0.10377358490566038</v>
      </c>
      <c r="P24" s="19"/>
      <c r="Q24" s="19">
        <f>SUMPRODUCT((raw!$A$2:$A$3691='(2020-21)'!$A$2)*(raw!$B$2:$B$3691='(2020-21)'!$A24)*(raw!$E$2:$E$3691='(2020-21)'!$Q$6)*(raw!$F$2:$F$3691='(2020-21)'!Q$7)*(raw!$G$2:$G$3691))</f>
        <v>0</v>
      </c>
      <c r="R24" s="19">
        <f>SUMPRODUCT((raw!$A$2:$A$3691='(2020-21)'!$A$2)*(raw!$B$2:$B$3691='(2020-21)'!$A24)*(raw!$E$2:$E$3691='(2020-21)'!$Q$6)*(raw!$F$2:$F$3691='(2020-21)'!R$7)*(raw!$G$2:$G$3691))</f>
        <v>2</v>
      </c>
      <c r="S24" s="19">
        <f>SUMPRODUCT((raw!$A$2:$A$3691='(2020-21)'!$A$2)*(raw!$B$2:$B$3691='(2020-21)'!$A24)*(raw!$E$2:$E$3691='(2020-21)'!$Q$6)*(raw!$F$2:$F$3691='(2020-21)'!S$7)*(raw!$G$2:$G$3691))</f>
        <v>0</v>
      </c>
      <c r="T24" s="15">
        <f t="shared" si="3"/>
        <v>1</v>
      </c>
      <c r="U24" s="19"/>
      <c r="V24" s="19">
        <f>SUMPRODUCT((raw!$A$2:$A$3691='(2020-21)'!$A$2)*(raw!$B$2:$B$3691='(2020-21)'!$A24)*(raw!$E$2:$E$3691='(2020-21)'!$V$6)*(raw!$F$2:$F$3691='(2020-21)'!V$7)*(raw!$G$2:$G$3691))</f>
        <v>14</v>
      </c>
      <c r="W24" s="19">
        <f>SUMPRODUCT((raw!$A$2:$A$3691='(2020-21)'!$A$2)*(raw!$B$2:$B$3691='(2020-21)'!$A24)*(raw!$E$2:$E$3691='(2020-21)'!$V$6)*(raw!$F$2:$F$3691='(2020-21)'!W$7)*(raw!$G$2:$G$3691))</f>
        <v>20</v>
      </c>
      <c r="X24" s="19">
        <f>SUMPRODUCT((raw!$A$2:$A$3691='(2020-21)'!$A$2)*(raw!$B$2:$B$3691='(2020-21)'!$A24)*(raw!$E$2:$E$3691='(2020-21)'!$V$6)*(raw!$F$2:$F$3691='(2020-21)'!X$7)*(raw!$G$2:$G$3691))</f>
        <v>1</v>
      </c>
      <c r="Y24" s="15">
        <f t="shared" si="4"/>
        <v>0.5714285714285714</v>
      </c>
      <c r="Z24" s="19"/>
      <c r="AA24" s="14">
        <f t="shared" si="9"/>
        <v>105</v>
      </c>
      <c r="AB24" s="14">
        <f t="shared" si="10"/>
        <v>33</v>
      </c>
      <c r="AC24" s="14">
        <f t="shared" si="11"/>
        <v>5</v>
      </c>
      <c r="AD24" s="15">
        <f t="shared" si="5"/>
        <v>0.23076923076923078</v>
      </c>
      <c r="AE24" s="16"/>
      <c r="AF24" s="16"/>
      <c r="AG24" s="16"/>
      <c r="AH24" s="16"/>
      <c r="AI24" s="16"/>
      <c r="AJ24" s="16"/>
      <c r="AK24" s="16"/>
      <c r="AL24" s="16"/>
      <c r="AM24" s="16"/>
    </row>
    <row r="25" spans="1:39" s="6" customFormat="1" ht="15" customHeight="1" x14ac:dyDescent="0.3">
      <c r="A25" s="5" t="s">
        <v>27</v>
      </c>
      <c r="B25" s="19">
        <f>SUMPRODUCT((raw!$A$2:$A$3691='(2020-21)'!$A$2)*(raw!$B$2:$B$3691='(2020-21)'!$A25)*(raw!$E$2:$E$3691='(2020-21)'!$B$6:$E$6)*(raw!$F$2:$F$3691='(2020-21)'!B$7)*(raw!$G$2:$G$3691))</f>
        <v>12</v>
      </c>
      <c r="C25" s="19">
        <f>SUMPRODUCT((raw!$A$2:$A$3691='(2020-21)'!$A$2)*(raw!$B$2:$B$3691='(2020-21)'!$A25)*(raw!$E$2:$E$3691='(2020-21)'!$B$6:$E$6)*(raw!$F$2:$F$3691='(2020-21)'!C$7)*(raw!$G$2:$G$3691))</f>
        <v>1</v>
      </c>
      <c r="D25" s="19">
        <f>SUMPRODUCT((raw!$A$2:$A$3691='(2020-21)'!$A$2)*(raw!$B$2:$B$3691='(2020-21)'!$A25)*(raw!$E$2:$E$3691='(2020-21)'!$B$6:$E$6)*(raw!$F$2:$F$3691='(2020-21)'!D$7)*(raw!$G$2:$G$3691))</f>
        <v>0</v>
      </c>
      <c r="E25" s="15">
        <f t="shared" si="0"/>
        <v>7.6923076923076927E-2</v>
      </c>
      <c r="F25" s="19"/>
      <c r="G25" s="19">
        <f>SUMPRODUCT((raw!$A$2:$A$3691='(2020-21)'!$A$2)*(raw!$B$2:$B$3691='(2020-21)'!$A25)*(raw!$E$2:$E$3691='(2020-21)'!$G$6)*(raw!$F$2:$F$3691='(2020-21)'!G$7)*(raw!$G$2:$G$3691))</f>
        <v>28</v>
      </c>
      <c r="H25" s="19">
        <f>SUMPRODUCT((raw!$A$2:$A$3691='(2020-21)'!$A$2)*(raw!$B$2:$B$3691='(2020-21)'!$A25)*(raw!$E$2:$E$3691='(2020-21)'!$G$6)*(raw!$F$2:$F$3691='(2020-21)'!H$7)*(raw!$G$2:$G$3691))</f>
        <v>9</v>
      </c>
      <c r="I25" s="19">
        <f>SUMPRODUCT((raw!$A$2:$A$3691='(2020-21)'!$A$2)*(raw!$B$2:$B$3691='(2020-21)'!$A25)*(raw!$E$2:$E$3691='(2020-21)'!$G$6)*(raw!$F$2:$F$3691='(2020-21)'!I$7)*(raw!$G$2:$G$3691))</f>
        <v>0</v>
      </c>
      <c r="J25" s="15">
        <f t="shared" si="1"/>
        <v>0.24324324324324326</v>
      </c>
      <c r="K25" s="19"/>
      <c r="L25" s="14">
        <f t="shared" si="6"/>
        <v>40</v>
      </c>
      <c r="M25" s="14">
        <f t="shared" si="7"/>
        <v>10</v>
      </c>
      <c r="N25" s="14">
        <f t="shared" si="8"/>
        <v>0</v>
      </c>
      <c r="O25" s="15">
        <f t="shared" si="2"/>
        <v>0.2</v>
      </c>
      <c r="P25" s="19"/>
      <c r="Q25" s="19">
        <f>SUMPRODUCT((raw!$A$2:$A$3691='(2020-21)'!$A$2)*(raw!$B$2:$B$3691='(2020-21)'!$A25)*(raw!$E$2:$E$3691='(2020-21)'!$Q$6)*(raw!$F$2:$F$3691='(2020-21)'!Q$7)*(raw!$G$2:$G$3691))</f>
        <v>0</v>
      </c>
      <c r="R25" s="19">
        <f>SUMPRODUCT((raw!$A$2:$A$3691='(2020-21)'!$A$2)*(raw!$B$2:$B$3691='(2020-21)'!$A25)*(raw!$E$2:$E$3691='(2020-21)'!$Q$6)*(raw!$F$2:$F$3691='(2020-21)'!R$7)*(raw!$G$2:$G$3691))</f>
        <v>0</v>
      </c>
      <c r="S25" s="19">
        <f>SUMPRODUCT((raw!$A$2:$A$3691='(2020-21)'!$A$2)*(raw!$B$2:$B$3691='(2020-21)'!$A25)*(raw!$E$2:$E$3691='(2020-21)'!$Q$6)*(raw!$F$2:$F$3691='(2020-21)'!S$7)*(raw!$G$2:$G$3691))</f>
        <v>0</v>
      </c>
      <c r="T25" s="15" t="str">
        <f t="shared" si="3"/>
        <v>-</v>
      </c>
      <c r="U25" s="19"/>
      <c r="V25" s="19">
        <f>SUMPRODUCT((raw!$A$2:$A$3691='(2020-21)'!$A$2)*(raw!$B$2:$B$3691='(2020-21)'!$A25)*(raw!$E$2:$E$3691='(2020-21)'!$V$6)*(raw!$F$2:$F$3691='(2020-21)'!V$7)*(raw!$G$2:$G$3691))</f>
        <v>4</v>
      </c>
      <c r="W25" s="19">
        <f>SUMPRODUCT((raw!$A$2:$A$3691='(2020-21)'!$A$2)*(raw!$B$2:$B$3691='(2020-21)'!$A25)*(raw!$E$2:$E$3691='(2020-21)'!$V$6)*(raw!$F$2:$F$3691='(2020-21)'!W$7)*(raw!$G$2:$G$3691))</f>
        <v>1</v>
      </c>
      <c r="X25" s="19">
        <f>SUMPRODUCT((raw!$A$2:$A$3691='(2020-21)'!$A$2)*(raw!$B$2:$B$3691='(2020-21)'!$A25)*(raw!$E$2:$E$3691='(2020-21)'!$V$6)*(raw!$F$2:$F$3691='(2020-21)'!X$7)*(raw!$G$2:$G$3691))</f>
        <v>0</v>
      </c>
      <c r="Y25" s="15">
        <f t="shared" si="4"/>
        <v>0.2</v>
      </c>
      <c r="Z25" s="19"/>
      <c r="AA25" s="14">
        <f t="shared" si="9"/>
        <v>44</v>
      </c>
      <c r="AB25" s="14">
        <f t="shared" si="10"/>
        <v>11</v>
      </c>
      <c r="AC25" s="14">
        <f t="shared" si="11"/>
        <v>0</v>
      </c>
      <c r="AD25" s="15">
        <f t="shared" si="5"/>
        <v>0.2</v>
      </c>
      <c r="AE25" s="16"/>
      <c r="AF25" s="16"/>
      <c r="AG25" s="16"/>
      <c r="AH25" s="16"/>
      <c r="AI25" s="16"/>
      <c r="AJ25" s="16"/>
      <c r="AK25" s="16"/>
      <c r="AL25" s="16"/>
      <c r="AM25" s="16"/>
    </row>
    <row r="26" spans="1:39" s="6" customFormat="1" ht="15" customHeight="1" x14ac:dyDescent="0.3">
      <c r="A26" s="5" t="s">
        <v>28</v>
      </c>
      <c r="B26" s="19">
        <f>SUMPRODUCT((raw!$A$2:$A$3691='(2020-21)'!$A$2)*(raw!$B$2:$B$3691='(2020-21)'!$A26)*(raw!$E$2:$E$3691='(2020-21)'!$B$6:$E$6)*(raw!$F$2:$F$3691='(2020-21)'!B$7)*(raw!$G$2:$G$3691))</f>
        <v>86</v>
      </c>
      <c r="C26" s="19">
        <f>SUMPRODUCT((raw!$A$2:$A$3691='(2020-21)'!$A$2)*(raw!$B$2:$B$3691='(2020-21)'!$A26)*(raw!$E$2:$E$3691='(2020-21)'!$B$6:$E$6)*(raw!$F$2:$F$3691='(2020-21)'!C$7)*(raw!$G$2:$G$3691))</f>
        <v>9</v>
      </c>
      <c r="D26" s="19">
        <f>SUMPRODUCT((raw!$A$2:$A$3691='(2020-21)'!$A$2)*(raw!$B$2:$B$3691='(2020-21)'!$A26)*(raw!$E$2:$E$3691='(2020-21)'!$B$6:$E$6)*(raw!$F$2:$F$3691='(2020-21)'!D$7)*(raw!$G$2:$G$3691))</f>
        <v>0</v>
      </c>
      <c r="E26" s="15">
        <f t="shared" si="0"/>
        <v>9.4736842105263161E-2</v>
      </c>
      <c r="F26" s="19"/>
      <c r="G26" s="19">
        <f>SUMPRODUCT((raw!$A$2:$A$3691='(2020-21)'!$A$2)*(raw!$B$2:$B$3691='(2020-21)'!$A26)*(raw!$E$2:$E$3691='(2020-21)'!$G$6)*(raw!$F$2:$F$3691='(2020-21)'!G$7)*(raw!$G$2:$G$3691))</f>
        <v>82</v>
      </c>
      <c r="H26" s="19">
        <f>SUMPRODUCT((raw!$A$2:$A$3691='(2020-21)'!$A$2)*(raw!$B$2:$B$3691='(2020-21)'!$A26)*(raw!$E$2:$E$3691='(2020-21)'!$G$6)*(raw!$F$2:$F$3691='(2020-21)'!H$7)*(raw!$G$2:$G$3691))</f>
        <v>9</v>
      </c>
      <c r="I26" s="19">
        <f>SUMPRODUCT((raw!$A$2:$A$3691='(2020-21)'!$A$2)*(raw!$B$2:$B$3691='(2020-21)'!$A26)*(raw!$E$2:$E$3691='(2020-21)'!$G$6)*(raw!$F$2:$F$3691='(2020-21)'!I$7)*(raw!$G$2:$G$3691))</f>
        <v>0</v>
      </c>
      <c r="J26" s="15">
        <f t="shared" si="1"/>
        <v>9.8901098901098897E-2</v>
      </c>
      <c r="K26" s="19"/>
      <c r="L26" s="14">
        <f t="shared" si="6"/>
        <v>168</v>
      </c>
      <c r="M26" s="14">
        <f t="shared" si="7"/>
        <v>18</v>
      </c>
      <c r="N26" s="14">
        <f t="shared" si="8"/>
        <v>0</v>
      </c>
      <c r="O26" s="15">
        <f t="shared" si="2"/>
        <v>9.6774193548387094E-2</v>
      </c>
      <c r="P26" s="19"/>
      <c r="Q26" s="19">
        <f>SUMPRODUCT((raw!$A$2:$A$3691='(2020-21)'!$A$2)*(raw!$B$2:$B$3691='(2020-21)'!$A26)*(raw!$E$2:$E$3691='(2020-21)'!$Q$6)*(raw!$F$2:$F$3691='(2020-21)'!Q$7)*(raw!$G$2:$G$3691))</f>
        <v>1</v>
      </c>
      <c r="R26" s="19">
        <f>SUMPRODUCT((raw!$A$2:$A$3691='(2020-21)'!$A$2)*(raw!$B$2:$B$3691='(2020-21)'!$A26)*(raw!$E$2:$E$3691='(2020-21)'!$Q$6)*(raw!$F$2:$F$3691='(2020-21)'!R$7)*(raw!$G$2:$G$3691))</f>
        <v>1</v>
      </c>
      <c r="S26" s="19">
        <f>SUMPRODUCT((raw!$A$2:$A$3691='(2020-21)'!$A$2)*(raw!$B$2:$B$3691='(2020-21)'!$A26)*(raw!$E$2:$E$3691='(2020-21)'!$Q$6)*(raw!$F$2:$F$3691='(2020-21)'!S$7)*(raw!$G$2:$G$3691))</f>
        <v>0</v>
      </c>
      <c r="T26" s="15">
        <f t="shared" si="3"/>
        <v>0.5</v>
      </c>
      <c r="U26" s="19"/>
      <c r="V26" s="19">
        <f>SUMPRODUCT((raw!$A$2:$A$3691='(2020-21)'!$A$2)*(raw!$B$2:$B$3691='(2020-21)'!$A26)*(raw!$E$2:$E$3691='(2020-21)'!$V$6)*(raw!$F$2:$F$3691='(2020-21)'!V$7)*(raw!$G$2:$G$3691))</f>
        <v>61</v>
      </c>
      <c r="W26" s="19">
        <f>SUMPRODUCT((raw!$A$2:$A$3691='(2020-21)'!$A$2)*(raw!$B$2:$B$3691='(2020-21)'!$A26)*(raw!$E$2:$E$3691='(2020-21)'!$V$6)*(raw!$F$2:$F$3691='(2020-21)'!W$7)*(raw!$G$2:$G$3691))</f>
        <v>68</v>
      </c>
      <c r="X26" s="19">
        <f>SUMPRODUCT((raw!$A$2:$A$3691='(2020-21)'!$A$2)*(raw!$B$2:$B$3691='(2020-21)'!$A26)*(raw!$E$2:$E$3691='(2020-21)'!$V$6)*(raw!$F$2:$F$3691='(2020-21)'!X$7)*(raw!$G$2:$G$3691))</f>
        <v>0</v>
      </c>
      <c r="Y26" s="15">
        <f t="shared" si="4"/>
        <v>0.52713178294573648</v>
      </c>
      <c r="Z26" s="19"/>
      <c r="AA26" s="14">
        <f t="shared" si="9"/>
        <v>230</v>
      </c>
      <c r="AB26" s="14">
        <f t="shared" si="10"/>
        <v>87</v>
      </c>
      <c r="AC26" s="14">
        <f t="shared" si="11"/>
        <v>0</v>
      </c>
      <c r="AD26" s="15">
        <f t="shared" si="5"/>
        <v>0.27444794952681389</v>
      </c>
      <c r="AE26" s="16"/>
      <c r="AF26" s="16"/>
      <c r="AG26" s="16"/>
      <c r="AH26" s="16"/>
      <c r="AI26" s="16"/>
      <c r="AJ26" s="16"/>
      <c r="AK26" s="16"/>
      <c r="AL26" s="16"/>
      <c r="AM26" s="16"/>
    </row>
    <row r="27" spans="1:39" s="6" customFormat="1" ht="15" customHeight="1" x14ac:dyDescent="0.3">
      <c r="A27" s="5" t="s">
        <v>29</v>
      </c>
      <c r="B27" s="19">
        <f>SUMPRODUCT((raw!$A$2:$A$3691='(2020-21)'!$A$2)*(raw!$B$2:$B$3691='(2020-21)'!$A27)*(raw!$E$2:$E$3691='(2020-21)'!$B$6:$E$6)*(raw!$F$2:$F$3691='(2020-21)'!B$7)*(raw!$G$2:$G$3691))</f>
        <v>25</v>
      </c>
      <c r="C27" s="19">
        <f>SUMPRODUCT((raw!$A$2:$A$3691='(2020-21)'!$A$2)*(raw!$B$2:$B$3691='(2020-21)'!$A27)*(raw!$E$2:$E$3691='(2020-21)'!$B$6:$E$6)*(raw!$F$2:$F$3691='(2020-21)'!C$7)*(raw!$G$2:$G$3691))</f>
        <v>7</v>
      </c>
      <c r="D27" s="19">
        <f>SUMPRODUCT((raw!$A$2:$A$3691='(2020-21)'!$A$2)*(raw!$B$2:$B$3691='(2020-21)'!$A27)*(raw!$E$2:$E$3691='(2020-21)'!$B$6:$E$6)*(raw!$F$2:$F$3691='(2020-21)'!D$7)*(raw!$G$2:$G$3691))</f>
        <v>0</v>
      </c>
      <c r="E27" s="15">
        <f t="shared" si="0"/>
        <v>0.21875</v>
      </c>
      <c r="F27" s="19"/>
      <c r="G27" s="19">
        <f>SUMPRODUCT((raw!$A$2:$A$3691='(2020-21)'!$A$2)*(raw!$B$2:$B$3691='(2020-21)'!$A27)*(raw!$E$2:$E$3691='(2020-21)'!$G$6)*(raw!$F$2:$F$3691='(2020-21)'!G$7)*(raw!$G$2:$G$3691))</f>
        <v>32</v>
      </c>
      <c r="H27" s="19">
        <f>SUMPRODUCT((raw!$A$2:$A$3691='(2020-21)'!$A$2)*(raw!$B$2:$B$3691='(2020-21)'!$A27)*(raw!$E$2:$E$3691='(2020-21)'!$G$6)*(raw!$F$2:$F$3691='(2020-21)'!H$7)*(raw!$G$2:$G$3691))</f>
        <v>2</v>
      </c>
      <c r="I27" s="19">
        <f>SUMPRODUCT((raw!$A$2:$A$3691='(2020-21)'!$A$2)*(raw!$B$2:$B$3691='(2020-21)'!$A27)*(raw!$E$2:$E$3691='(2020-21)'!$G$6)*(raw!$F$2:$F$3691='(2020-21)'!I$7)*(raw!$G$2:$G$3691))</f>
        <v>0</v>
      </c>
      <c r="J27" s="15">
        <f t="shared" si="1"/>
        <v>5.8823529411764705E-2</v>
      </c>
      <c r="K27" s="19"/>
      <c r="L27" s="14">
        <f t="shared" si="6"/>
        <v>57</v>
      </c>
      <c r="M27" s="14">
        <f t="shared" si="7"/>
        <v>9</v>
      </c>
      <c r="N27" s="14">
        <f t="shared" si="8"/>
        <v>0</v>
      </c>
      <c r="O27" s="15">
        <f t="shared" si="2"/>
        <v>0.13636363636363635</v>
      </c>
      <c r="P27" s="19"/>
      <c r="Q27" s="19">
        <f>SUMPRODUCT((raw!$A$2:$A$3691='(2020-21)'!$A$2)*(raw!$B$2:$B$3691='(2020-21)'!$A27)*(raw!$E$2:$E$3691='(2020-21)'!$Q$6)*(raw!$F$2:$F$3691='(2020-21)'!Q$7)*(raw!$G$2:$G$3691))</f>
        <v>0</v>
      </c>
      <c r="R27" s="19">
        <f>SUMPRODUCT((raw!$A$2:$A$3691='(2020-21)'!$A$2)*(raw!$B$2:$B$3691='(2020-21)'!$A27)*(raw!$E$2:$E$3691='(2020-21)'!$Q$6)*(raw!$F$2:$F$3691='(2020-21)'!R$7)*(raw!$G$2:$G$3691))</f>
        <v>3</v>
      </c>
      <c r="S27" s="19">
        <f>SUMPRODUCT((raw!$A$2:$A$3691='(2020-21)'!$A$2)*(raw!$B$2:$B$3691='(2020-21)'!$A27)*(raw!$E$2:$E$3691='(2020-21)'!$Q$6)*(raw!$F$2:$F$3691='(2020-21)'!S$7)*(raw!$G$2:$G$3691))</f>
        <v>0</v>
      </c>
      <c r="T27" s="15">
        <f t="shared" si="3"/>
        <v>1</v>
      </c>
      <c r="U27" s="19"/>
      <c r="V27" s="19">
        <f>SUMPRODUCT((raw!$A$2:$A$3691='(2020-21)'!$A$2)*(raw!$B$2:$B$3691='(2020-21)'!$A27)*(raw!$E$2:$E$3691='(2020-21)'!$V$6)*(raw!$F$2:$F$3691='(2020-21)'!V$7)*(raw!$G$2:$G$3691))</f>
        <v>7</v>
      </c>
      <c r="W27" s="19">
        <f>SUMPRODUCT((raw!$A$2:$A$3691='(2020-21)'!$A$2)*(raw!$B$2:$B$3691='(2020-21)'!$A27)*(raw!$E$2:$E$3691='(2020-21)'!$V$6)*(raw!$F$2:$F$3691='(2020-21)'!W$7)*(raw!$G$2:$G$3691))</f>
        <v>8</v>
      </c>
      <c r="X27" s="19">
        <f>SUMPRODUCT((raw!$A$2:$A$3691='(2020-21)'!$A$2)*(raw!$B$2:$B$3691='(2020-21)'!$A27)*(raw!$E$2:$E$3691='(2020-21)'!$V$6)*(raw!$F$2:$F$3691='(2020-21)'!X$7)*(raw!$G$2:$G$3691))</f>
        <v>0</v>
      </c>
      <c r="Y27" s="15">
        <f t="shared" si="4"/>
        <v>0.53333333333333333</v>
      </c>
      <c r="Z27" s="19"/>
      <c r="AA27" s="14">
        <f t="shared" si="9"/>
        <v>64</v>
      </c>
      <c r="AB27" s="14">
        <f t="shared" si="10"/>
        <v>20</v>
      </c>
      <c r="AC27" s="14">
        <f t="shared" si="11"/>
        <v>0</v>
      </c>
      <c r="AD27" s="15">
        <f t="shared" si="5"/>
        <v>0.23809523809523808</v>
      </c>
      <c r="AE27" s="16"/>
      <c r="AF27" s="16"/>
      <c r="AG27" s="16"/>
      <c r="AH27" s="16"/>
      <c r="AI27" s="16"/>
      <c r="AJ27" s="16"/>
      <c r="AK27" s="16"/>
      <c r="AL27" s="16"/>
      <c r="AM27" s="16"/>
    </row>
    <row r="28" spans="1:39" s="6" customFormat="1" ht="15" customHeight="1" x14ac:dyDescent="0.3">
      <c r="A28" s="5" t="s">
        <v>30</v>
      </c>
      <c r="B28" s="19">
        <f>SUMPRODUCT((raw!$A$2:$A$3691='(2020-21)'!$A$2)*(raw!$B$2:$B$3691='(2020-21)'!$A28)*(raw!$E$2:$E$3691='(2020-21)'!$B$6:$E$6)*(raw!$F$2:$F$3691='(2020-21)'!B$7)*(raw!$G$2:$G$3691))</f>
        <v>22</v>
      </c>
      <c r="C28" s="19">
        <f>SUMPRODUCT((raw!$A$2:$A$3691='(2020-21)'!$A$2)*(raw!$B$2:$B$3691='(2020-21)'!$A28)*(raw!$E$2:$E$3691='(2020-21)'!$B$6:$E$6)*(raw!$F$2:$F$3691='(2020-21)'!C$7)*(raw!$G$2:$G$3691))</f>
        <v>1</v>
      </c>
      <c r="D28" s="19">
        <f>SUMPRODUCT((raw!$A$2:$A$3691='(2020-21)'!$A$2)*(raw!$B$2:$B$3691='(2020-21)'!$A28)*(raw!$E$2:$E$3691='(2020-21)'!$B$6:$E$6)*(raw!$F$2:$F$3691='(2020-21)'!D$7)*(raw!$G$2:$G$3691))</f>
        <v>0</v>
      </c>
      <c r="E28" s="15">
        <f t="shared" si="0"/>
        <v>4.3478260869565216E-2</v>
      </c>
      <c r="F28" s="19"/>
      <c r="G28" s="19">
        <f>SUMPRODUCT((raw!$A$2:$A$3691='(2020-21)'!$A$2)*(raw!$B$2:$B$3691='(2020-21)'!$A28)*(raw!$E$2:$E$3691='(2020-21)'!$G$6)*(raw!$F$2:$F$3691='(2020-21)'!G$7)*(raw!$G$2:$G$3691))</f>
        <v>24</v>
      </c>
      <c r="H28" s="19">
        <f>SUMPRODUCT((raw!$A$2:$A$3691='(2020-21)'!$A$2)*(raw!$B$2:$B$3691='(2020-21)'!$A28)*(raw!$E$2:$E$3691='(2020-21)'!$G$6)*(raw!$F$2:$F$3691='(2020-21)'!H$7)*(raw!$G$2:$G$3691))</f>
        <v>1</v>
      </c>
      <c r="I28" s="19">
        <f>SUMPRODUCT((raw!$A$2:$A$3691='(2020-21)'!$A$2)*(raw!$B$2:$B$3691='(2020-21)'!$A28)*(raw!$E$2:$E$3691='(2020-21)'!$G$6)*(raw!$F$2:$F$3691='(2020-21)'!I$7)*(raw!$G$2:$G$3691))</f>
        <v>0</v>
      </c>
      <c r="J28" s="15">
        <f t="shared" si="1"/>
        <v>0.04</v>
      </c>
      <c r="K28" s="19"/>
      <c r="L28" s="14">
        <f t="shared" si="6"/>
        <v>46</v>
      </c>
      <c r="M28" s="14">
        <f t="shared" si="7"/>
        <v>2</v>
      </c>
      <c r="N28" s="14">
        <f t="shared" si="8"/>
        <v>0</v>
      </c>
      <c r="O28" s="15">
        <f t="shared" si="2"/>
        <v>4.1666666666666664E-2</v>
      </c>
      <c r="P28" s="19"/>
      <c r="Q28" s="19">
        <f>SUMPRODUCT((raw!$A$2:$A$3691='(2020-21)'!$A$2)*(raw!$B$2:$B$3691='(2020-21)'!$A28)*(raw!$E$2:$E$3691='(2020-21)'!$Q$6)*(raw!$F$2:$F$3691='(2020-21)'!Q$7)*(raw!$G$2:$G$3691))</f>
        <v>3</v>
      </c>
      <c r="R28" s="19">
        <f>SUMPRODUCT((raw!$A$2:$A$3691='(2020-21)'!$A$2)*(raw!$B$2:$B$3691='(2020-21)'!$A28)*(raw!$E$2:$E$3691='(2020-21)'!$Q$6)*(raw!$F$2:$F$3691='(2020-21)'!R$7)*(raw!$G$2:$G$3691))</f>
        <v>2</v>
      </c>
      <c r="S28" s="19">
        <f>SUMPRODUCT((raw!$A$2:$A$3691='(2020-21)'!$A$2)*(raw!$B$2:$B$3691='(2020-21)'!$A28)*(raw!$E$2:$E$3691='(2020-21)'!$Q$6)*(raw!$F$2:$F$3691='(2020-21)'!S$7)*(raw!$G$2:$G$3691))</f>
        <v>0</v>
      </c>
      <c r="T28" s="15">
        <f t="shared" si="3"/>
        <v>0.4</v>
      </c>
      <c r="U28" s="19"/>
      <c r="V28" s="19">
        <f>SUMPRODUCT((raw!$A$2:$A$3691='(2020-21)'!$A$2)*(raw!$B$2:$B$3691='(2020-21)'!$A28)*(raw!$E$2:$E$3691='(2020-21)'!$V$6)*(raw!$F$2:$F$3691='(2020-21)'!V$7)*(raw!$G$2:$G$3691))</f>
        <v>15</v>
      </c>
      <c r="W28" s="19">
        <f>SUMPRODUCT((raw!$A$2:$A$3691='(2020-21)'!$A$2)*(raw!$B$2:$B$3691='(2020-21)'!$A28)*(raw!$E$2:$E$3691='(2020-21)'!$V$6)*(raw!$F$2:$F$3691='(2020-21)'!W$7)*(raw!$G$2:$G$3691))</f>
        <v>17</v>
      </c>
      <c r="X28" s="19">
        <f>SUMPRODUCT((raw!$A$2:$A$3691='(2020-21)'!$A$2)*(raw!$B$2:$B$3691='(2020-21)'!$A28)*(raw!$E$2:$E$3691='(2020-21)'!$V$6)*(raw!$F$2:$F$3691='(2020-21)'!X$7)*(raw!$G$2:$G$3691))</f>
        <v>0</v>
      </c>
      <c r="Y28" s="15">
        <f t="shared" si="4"/>
        <v>0.53125</v>
      </c>
      <c r="Z28" s="19"/>
      <c r="AA28" s="14">
        <f t="shared" si="9"/>
        <v>64</v>
      </c>
      <c r="AB28" s="14">
        <f t="shared" si="10"/>
        <v>21</v>
      </c>
      <c r="AC28" s="14">
        <f t="shared" si="11"/>
        <v>0</v>
      </c>
      <c r="AD28" s="15">
        <f t="shared" si="5"/>
        <v>0.24705882352941178</v>
      </c>
      <c r="AE28" s="16"/>
      <c r="AF28" s="16"/>
      <c r="AG28" s="16"/>
      <c r="AH28" s="16"/>
      <c r="AI28" s="16"/>
      <c r="AJ28" s="16"/>
      <c r="AK28" s="16"/>
      <c r="AL28" s="16"/>
      <c r="AM28" s="16"/>
    </row>
    <row r="29" spans="1:39" s="6" customFormat="1" ht="15" customHeight="1" x14ac:dyDescent="0.3">
      <c r="A29" s="5" t="s">
        <v>31</v>
      </c>
      <c r="B29" s="19">
        <f>SUMPRODUCT((raw!$A$2:$A$3691='(2020-21)'!$A$2)*(raw!$B$2:$B$3691='(2020-21)'!$A29)*(raw!$E$2:$E$3691='(2020-21)'!$B$6:$E$6)*(raw!$F$2:$F$3691='(2020-21)'!B$7)*(raw!$G$2:$G$3691))</f>
        <v>0</v>
      </c>
      <c r="C29" s="19">
        <f>SUMPRODUCT((raw!$A$2:$A$3691='(2020-21)'!$A$2)*(raw!$B$2:$B$3691='(2020-21)'!$A29)*(raw!$E$2:$E$3691='(2020-21)'!$B$6:$E$6)*(raw!$F$2:$F$3691='(2020-21)'!C$7)*(raw!$G$2:$G$3691))</f>
        <v>0</v>
      </c>
      <c r="D29" s="19">
        <f>SUMPRODUCT((raw!$A$2:$A$3691='(2020-21)'!$A$2)*(raw!$B$2:$B$3691='(2020-21)'!$A29)*(raw!$E$2:$E$3691='(2020-21)'!$B$6:$E$6)*(raw!$F$2:$F$3691='(2020-21)'!D$7)*(raw!$G$2:$G$3691))</f>
        <v>0</v>
      </c>
      <c r="E29" s="15" t="str">
        <f t="shared" si="0"/>
        <v>-</v>
      </c>
      <c r="F29" s="19"/>
      <c r="G29" s="19">
        <f>SUMPRODUCT((raw!$A$2:$A$3691='(2020-21)'!$A$2)*(raw!$B$2:$B$3691='(2020-21)'!$A29)*(raw!$E$2:$E$3691='(2020-21)'!$G$6)*(raw!$F$2:$F$3691='(2020-21)'!G$7)*(raw!$G$2:$G$3691))</f>
        <v>21</v>
      </c>
      <c r="H29" s="19">
        <f>SUMPRODUCT((raw!$A$2:$A$3691='(2020-21)'!$A$2)*(raw!$B$2:$B$3691='(2020-21)'!$A29)*(raw!$E$2:$E$3691='(2020-21)'!$G$6)*(raw!$F$2:$F$3691='(2020-21)'!H$7)*(raw!$G$2:$G$3691))</f>
        <v>0</v>
      </c>
      <c r="I29" s="19">
        <f>SUMPRODUCT((raw!$A$2:$A$3691='(2020-21)'!$A$2)*(raw!$B$2:$B$3691='(2020-21)'!$A29)*(raw!$E$2:$E$3691='(2020-21)'!$G$6)*(raw!$F$2:$F$3691='(2020-21)'!I$7)*(raw!$G$2:$G$3691))</f>
        <v>0</v>
      </c>
      <c r="J29" s="15">
        <f t="shared" si="1"/>
        <v>0</v>
      </c>
      <c r="K29" s="19"/>
      <c r="L29" s="14">
        <f t="shared" si="6"/>
        <v>21</v>
      </c>
      <c r="M29" s="14">
        <f t="shared" si="7"/>
        <v>0</v>
      </c>
      <c r="N29" s="14">
        <f t="shared" si="8"/>
        <v>0</v>
      </c>
      <c r="O29" s="15">
        <f t="shared" si="2"/>
        <v>0</v>
      </c>
      <c r="P29" s="19"/>
      <c r="Q29" s="19">
        <f>SUMPRODUCT((raw!$A$2:$A$3691='(2020-21)'!$A$2)*(raw!$B$2:$B$3691='(2020-21)'!$A29)*(raw!$E$2:$E$3691='(2020-21)'!$Q$6)*(raw!$F$2:$F$3691='(2020-21)'!Q$7)*(raw!$G$2:$G$3691))</f>
        <v>0</v>
      </c>
      <c r="R29" s="19">
        <f>SUMPRODUCT((raw!$A$2:$A$3691='(2020-21)'!$A$2)*(raw!$B$2:$B$3691='(2020-21)'!$A29)*(raw!$E$2:$E$3691='(2020-21)'!$Q$6)*(raw!$F$2:$F$3691='(2020-21)'!R$7)*(raw!$G$2:$G$3691))</f>
        <v>0</v>
      </c>
      <c r="S29" s="19">
        <f>SUMPRODUCT((raw!$A$2:$A$3691='(2020-21)'!$A$2)*(raw!$B$2:$B$3691='(2020-21)'!$A29)*(raw!$E$2:$E$3691='(2020-21)'!$Q$6)*(raw!$F$2:$F$3691='(2020-21)'!S$7)*(raw!$G$2:$G$3691))</f>
        <v>0</v>
      </c>
      <c r="T29" s="15" t="str">
        <f t="shared" si="3"/>
        <v>-</v>
      </c>
      <c r="U29" s="19"/>
      <c r="V29" s="19">
        <f>SUMPRODUCT((raw!$A$2:$A$3691='(2020-21)'!$A$2)*(raw!$B$2:$B$3691='(2020-21)'!$A29)*(raw!$E$2:$E$3691='(2020-21)'!$V$6)*(raw!$F$2:$F$3691='(2020-21)'!V$7)*(raw!$G$2:$G$3691))</f>
        <v>2</v>
      </c>
      <c r="W29" s="19">
        <f>SUMPRODUCT((raw!$A$2:$A$3691='(2020-21)'!$A$2)*(raw!$B$2:$B$3691='(2020-21)'!$A29)*(raw!$E$2:$E$3691='(2020-21)'!$V$6)*(raw!$F$2:$F$3691='(2020-21)'!W$7)*(raw!$G$2:$G$3691))</f>
        <v>10</v>
      </c>
      <c r="X29" s="19">
        <f>SUMPRODUCT((raw!$A$2:$A$3691='(2020-21)'!$A$2)*(raw!$B$2:$B$3691='(2020-21)'!$A29)*(raw!$E$2:$E$3691='(2020-21)'!$V$6)*(raw!$F$2:$F$3691='(2020-21)'!X$7)*(raw!$G$2:$G$3691))</f>
        <v>0</v>
      </c>
      <c r="Y29" s="15">
        <f t="shared" si="4"/>
        <v>0.83333333333333337</v>
      </c>
      <c r="Z29" s="19"/>
      <c r="AA29" s="14">
        <f t="shared" si="9"/>
        <v>23</v>
      </c>
      <c r="AB29" s="14">
        <f t="shared" si="10"/>
        <v>10</v>
      </c>
      <c r="AC29" s="14">
        <f t="shared" si="11"/>
        <v>0</v>
      </c>
      <c r="AD29" s="15">
        <f t="shared" si="5"/>
        <v>0.30303030303030304</v>
      </c>
      <c r="AE29" s="16"/>
      <c r="AF29" s="16"/>
      <c r="AG29" s="16"/>
      <c r="AH29" s="16"/>
      <c r="AI29" s="16"/>
      <c r="AJ29" s="16"/>
      <c r="AK29" s="16"/>
      <c r="AL29" s="16"/>
      <c r="AM29" s="16"/>
    </row>
    <row r="30" spans="1:39" s="6" customFormat="1" ht="15" customHeight="1" x14ac:dyDescent="0.3">
      <c r="A30" s="5" t="s">
        <v>32</v>
      </c>
      <c r="B30" s="19">
        <f>SUMPRODUCT((raw!$A$2:$A$3691='(2020-21)'!$A$2)*(raw!$B$2:$B$3691='(2020-21)'!$A30)*(raw!$E$2:$E$3691='(2020-21)'!$B$6:$E$6)*(raw!$F$2:$F$3691='(2020-21)'!B$7)*(raw!$G$2:$G$3691))</f>
        <v>1</v>
      </c>
      <c r="C30" s="19">
        <f>SUMPRODUCT((raw!$A$2:$A$3691='(2020-21)'!$A$2)*(raw!$B$2:$B$3691='(2020-21)'!$A30)*(raw!$E$2:$E$3691='(2020-21)'!$B$6:$E$6)*(raw!$F$2:$F$3691='(2020-21)'!C$7)*(raw!$G$2:$G$3691))</f>
        <v>0</v>
      </c>
      <c r="D30" s="19">
        <f>SUMPRODUCT((raw!$A$2:$A$3691='(2020-21)'!$A$2)*(raw!$B$2:$B$3691='(2020-21)'!$A30)*(raw!$E$2:$E$3691='(2020-21)'!$B$6:$E$6)*(raw!$F$2:$F$3691='(2020-21)'!D$7)*(raw!$G$2:$G$3691))</f>
        <v>0</v>
      </c>
      <c r="E30" s="15">
        <f t="shared" si="0"/>
        <v>0</v>
      </c>
      <c r="F30" s="19"/>
      <c r="G30" s="19">
        <f>SUMPRODUCT((raw!$A$2:$A$3691='(2020-21)'!$A$2)*(raw!$B$2:$B$3691='(2020-21)'!$A30)*(raw!$E$2:$E$3691='(2020-21)'!$G$6)*(raw!$F$2:$F$3691='(2020-21)'!G$7)*(raw!$G$2:$G$3691))</f>
        <v>0</v>
      </c>
      <c r="H30" s="19">
        <f>SUMPRODUCT((raw!$A$2:$A$3691='(2020-21)'!$A$2)*(raw!$B$2:$B$3691='(2020-21)'!$A30)*(raw!$E$2:$E$3691='(2020-21)'!$G$6)*(raw!$F$2:$F$3691='(2020-21)'!H$7)*(raw!$G$2:$G$3691))</f>
        <v>0</v>
      </c>
      <c r="I30" s="19">
        <f>SUMPRODUCT((raw!$A$2:$A$3691='(2020-21)'!$A$2)*(raw!$B$2:$B$3691='(2020-21)'!$A30)*(raw!$E$2:$E$3691='(2020-21)'!$G$6)*(raw!$F$2:$F$3691='(2020-21)'!I$7)*(raw!$G$2:$G$3691))</f>
        <v>0</v>
      </c>
      <c r="J30" s="15" t="str">
        <f t="shared" si="1"/>
        <v>-</v>
      </c>
      <c r="K30" s="19"/>
      <c r="L30" s="14">
        <f t="shared" si="6"/>
        <v>1</v>
      </c>
      <c r="M30" s="14">
        <f t="shared" si="7"/>
        <v>0</v>
      </c>
      <c r="N30" s="14">
        <f t="shared" si="8"/>
        <v>0</v>
      </c>
      <c r="O30" s="15">
        <f t="shared" si="2"/>
        <v>0</v>
      </c>
      <c r="P30" s="19"/>
      <c r="Q30" s="19">
        <f>SUMPRODUCT((raw!$A$2:$A$3691='(2020-21)'!$A$2)*(raw!$B$2:$B$3691='(2020-21)'!$A30)*(raw!$E$2:$E$3691='(2020-21)'!$Q$6)*(raw!$F$2:$F$3691='(2020-21)'!Q$7)*(raw!$G$2:$G$3691))</f>
        <v>0</v>
      </c>
      <c r="R30" s="19">
        <f>SUMPRODUCT((raw!$A$2:$A$3691='(2020-21)'!$A$2)*(raw!$B$2:$B$3691='(2020-21)'!$A30)*(raw!$E$2:$E$3691='(2020-21)'!$Q$6)*(raw!$F$2:$F$3691='(2020-21)'!R$7)*(raw!$G$2:$G$3691))</f>
        <v>0</v>
      </c>
      <c r="S30" s="19">
        <f>SUMPRODUCT((raw!$A$2:$A$3691='(2020-21)'!$A$2)*(raw!$B$2:$B$3691='(2020-21)'!$A30)*(raw!$E$2:$E$3691='(2020-21)'!$Q$6)*(raw!$F$2:$F$3691='(2020-21)'!S$7)*(raw!$G$2:$G$3691))</f>
        <v>0</v>
      </c>
      <c r="T30" s="15" t="str">
        <f t="shared" si="3"/>
        <v>-</v>
      </c>
      <c r="U30" s="19"/>
      <c r="V30" s="19">
        <f>SUMPRODUCT((raw!$A$2:$A$3691='(2020-21)'!$A$2)*(raw!$B$2:$B$3691='(2020-21)'!$A30)*(raw!$E$2:$E$3691='(2020-21)'!$V$6)*(raw!$F$2:$F$3691='(2020-21)'!V$7)*(raw!$G$2:$G$3691))</f>
        <v>0</v>
      </c>
      <c r="W30" s="19">
        <f>SUMPRODUCT((raw!$A$2:$A$3691='(2020-21)'!$A$2)*(raw!$B$2:$B$3691='(2020-21)'!$A30)*(raw!$E$2:$E$3691='(2020-21)'!$V$6)*(raw!$F$2:$F$3691='(2020-21)'!W$7)*(raw!$G$2:$G$3691))</f>
        <v>1</v>
      </c>
      <c r="X30" s="19">
        <f>SUMPRODUCT((raw!$A$2:$A$3691='(2020-21)'!$A$2)*(raw!$B$2:$B$3691='(2020-21)'!$A30)*(raw!$E$2:$E$3691='(2020-21)'!$V$6)*(raw!$F$2:$F$3691='(2020-21)'!X$7)*(raw!$G$2:$G$3691))</f>
        <v>0</v>
      </c>
      <c r="Y30" s="15">
        <f t="shared" si="4"/>
        <v>1</v>
      </c>
      <c r="Z30" s="19"/>
      <c r="AA30" s="14">
        <f t="shared" si="9"/>
        <v>1</v>
      </c>
      <c r="AB30" s="14">
        <f t="shared" si="10"/>
        <v>1</v>
      </c>
      <c r="AC30" s="14">
        <f t="shared" si="11"/>
        <v>0</v>
      </c>
      <c r="AD30" s="15">
        <f t="shared" si="5"/>
        <v>0.5</v>
      </c>
      <c r="AE30" s="16"/>
      <c r="AF30" s="16"/>
      <c r="AG30" s="16"/>
      <c r="AH30" s="16"/>
      <c r="AI30" s="16"/>
      <c r="AJ30" s="16"/>
      <c r="AK30" s="16"/>
      <c r="AL30" s="16"/>
      <c r="AM30" s="16"/>
    </row>
    <row r="31" spans="1:39" s="6" customFormat="1" ht="15" customHeight="1" x14ac:dyDescent="0.3">
      <c r="A31" s="6" t="s">
        <v>33</v>
      </c>
      <c r="B31" s="19">
        <f>SUMPRODUCT((raw!$A$2:$A$3691='(2020-21)'!$A$2)*(raw!$B$2:$B$3691='(2020-21)'!$A31)*(raw!$E$2:$E$3691='(2020-21)'!$B$6:$E$6)*(raw!$F$2:$F$3691='(2020-21)'!B$7)*(raw!$G$2:$G$3691))</f>
        <v>12</v>
      </c>
      <c r="C31" s="19">
        <f>SUMPRODUCT((raw!$A$2:$A$3691='(2020-21)'!$A$2)*(raw!$B$2:$B$3691='(2020-21)'!$A31)*(raw!$E$2:$E$3691='(2020-21)'!$B$6:$E$6)*(raw!$F$2:$F$3691='(2020-21)'!C$7)*(raw!$G$2:$G$3691))</f>
        <v>2</v>
      </c>
      <c r="D31" s="19">
        <f>SUMPRODUCT((raw!$A$2:$A$3691='(2020-21)'!$A$2)*(raw!$B$2:$B$3691='(2020-21)'!$A31)*(raw!$E$2:$E$3691='(2020-21)'!$B$6:$E$6)*(raw!$F$2:$F$3691='(2020-21)'!D$7)*(raw!$G$2:$G$3691))</f>
        <v>0</v>
      </c>
      <c r="E31" s="15">
        <f t="shared" si="0"/>
        <v>0.14285714285714285</v>
      </c>
      <c r="F31" s="19"/>
      <c r="G31" s="19">
        <f>SUMPRODUCT((raw!$A$2:$A$3691='(2020-21)'!$A$2)*(raw!$B$2:$B$3691='(2020-21)'!$A31)*(raw!$E$2:$E$3691='(2020-21)'!$G$6)*(raw!$F$2:$F$3691='(2020-21)'!G$7)*(raw!$G$2:$G$3691))</f>
        <v>17</v>
      </c>
      <c r="H31" s="19">
        <f>SUMPRODUCT((raw!$A$2:$A$3691='(2020-21)'!$A$2)*(raw!$B$2:$B$3691='(2020-21)'!$A31)*(raw!$E$2:$E$3691='(2020-21)'!$G$6)*(raw!$F$2:$F$3691='(2020-21)'!H$7)*(raw!$G$2:$G$3691))</f>
        <v>3</v>
      </c>
      <c r="I31" s="19">
        <f>SUMPRODUCT((raw!$A$2:$A$3691='(2020-21)'!$A$2)*(raw!$B$2:$B$3691='(2020-21)'!$A31)*(raw!$E$2:$E$3691='(2020-21)'!$G$6)*(raw!$F$2:$F$3691='(2020-21)'!I$7)*(raw!$G$2:$G$3691))</f>
        <v>0</v>
      </c>
      <c r="J31" s="15">
        <f t="shared" si="1"/>
        <v>0.15</v>
      </c>
      <c r="K31" s="19"/>
      <c r="L31" s="14">
        <f t="shared" si="6"/>
        <v>29</v>
      </c>
      <c r="M31" s="14">
        <f t="shared" si="7"/>
        <v>5</v>
      </c>
      <c r="N31" s="14">
        <f t="shared" si="8"/>
        <v>0</v>
      </c>
      <c r="O31" s="15">
        <f t="shared" si="2"/>
        <v>0.14705882352941177</v>
      </c>
      <c r="P31" s="19"/>
      <c r="Q31" s="19">
        <f>SUMPRODUCT((raw!$A$2:$A$3691='(2020-21)'!$A$2)*(raw!$B$2:$B$3691='(2020-21)'!$A31)*(raw!$E$2:$E$3691='(2020-21)'!$Q$6)*(raw!$F$2:$F$3691='(2020-21)'!Q$7)*(raw!$G$2:$G$3691))</f>
        <v>0</v>
      </c>
      <c r="R31" s="19">
        <f>SUMPRODUCT((raw!$A$2:$A$3691='(2020-21)'!$A$2)*(raw!$B$2:$B$3691='(2020-21)'!$A31)*(raw!$E$2:$E$3691='(2020-21)'!$Q$6)*(raw!$F$2:$F$3691='(2020-21)'!R$7)*(raw!$G$2:$G$3691))</f>
        <v>0</v>
      </c>
      <c r="S31" s="19">
        <f>SUMPRODUCT((raw!$A$2:$A$3691='(2020-21)'!$A$2)*(raw!$B$2:$B$3691='(2020-21)'!$A31)*(raw!$E$2:$E$3691='(2020-21)'!$Q$6)*(raw!$F$2:$F$3691='(2020-21)'!S$7)*(raw!$G$2:$G$3691))</f>
        <v>0</v>
      </c>
      <c r="T31" s="15" t="str">
        <f t="shared" si="3"/>
        <v>-</v>
      </c>
      <c r="U31" s="19"/>
      <c r="V31" s="19">
        <f>SUMPRODUCT((raw!$A$2:$A$3691='(2020-21)'!$A$2)*(raw!$B$2:$B$3691='(2020-21)'!$A31)*(raw!$E$2:$E$3691='(2020-21)'!$V$6)*(raw!$F$2:$F$3691='(2020-21)'!V$7)*(raw!$G$2:$G$3691))</f>
        <v>21</v>
      </c>
      <c r="W31" s="19">
        <f>SUMPRODUCT((raw!$A$2:$A$3691='(2020-21)'!$A$2)*(raw!$B$2:$B$3691='(2020-21)'!$A31)*(raw!$E$2:$E$3691='(2020-21)'!$V$6)*(raw!$F$2:$F$3691='(2020-21)'!W$7)*(raw!$G$2:$G$3691))</f>
        <v>27</v>
      </c>
      <c r="X31" s="19">
        <f>SUMPRODUCT((raw!$A$2:$A$3691='(2020-21)'!$A$2)*(raw!$B$2:$B$3691='(2020-21)'!$A31)*(raw!$E$2:$E$3691='(2020-21)'!$V$6)*(raw!$F$2:$F$3691='(2020-21)'!X$7)*(raw!$G$2:$G$3691))</f>
        <v>0</v>
      </c>
      <c r="Y31" s="15">
        <f t="shared" si="4"/>
        <v>0.5625</v>
      </c>
      <c r="Z31" s="19"/>
      <c r="AA31" s="14">
        <f t="shared" si="9"/>
        <v>50</v>
      </c>
      <c r="AB31" s="14">
        <f t="shared" si="10"/>
        <v>32</v>
      </c>
      <c r="AC31" s="14">
        <f t="shared" si="11"/>
        <v>0</v>
      </c>
      <c r="AD31" s="15">
        <f t="shared" si="5"/>
        <v>0.3902439024390244</v>
      </c>
      <c r="AE31" s="16"/>
      <c r="AF31" s="16"/>
      <c r="AG31" s="16"/>
      <c r="AH31" s="16"/>
      <c r="AI31" s="16"/>
      <c r="AJ31" s="16"/>
      <c r="AK31" s="16"/>
      <c r="AL31" s="16"/>
      <c r="AM31" s="16"/>
    </row>
    <row r="32" spans="1:39" s="6" customFormat="1" ht="15" customHeight="1" x14ac:dyDescent="0.3">
      <c r="A32" s="6" t="s">
        <v>34</v>
      </c>
      <c r="B32" s="19">
        <f>SUMPRODUCT((raw!$A$2:$A$3691='(2020-21)'!$A$2)*(raw!$B$2:$B$3691='(2020-21)'!$A32)*(raw!$E$2:$E$3691='(2020-21)'!$B$6:$E$6)*(raw!$F$2:$F$3691='(2020-21)'!B$7)*(raw!$G$2:$G$3691))</f>
        <v>34</v>
      </c>
      <c r="C32" s="19">
        <f>SUMPRODUCT((raw!$A$2:$A$3691='(2020-21)'!$A$2)*(raw!$B$2:$B$3691='(2020-21)'!$A32)*(raw!$E$2:$E$3691='(2020-21)'!$B$6:$E$6)*(raw!$F$2:$F$3691='(2020-21)'!C$7)*(raw!$G$2:$G$3691))</f>
        <v>7</v>
      </c>
      <c r="D32" s="19">
        <f>SUMPRODUCT((raw!$A$2:$A$3691='(2020-21)'!$A$2)*(raw!$B$2:$B$3691='(2020-21)'!$A32)*(raw!$E$2:$E$3691='(2020-21)'!$B$6:$E$6)*(raw!$F$2:$F$3691='(2020-21)'!D$7)*(raw!$G$2:$G$3691))</f>
        <v>0</v>
      </c>
      <c r="E32" s="15">
        <f t="shared" si="0"/>
        <v>0.17073170731707318</v>
      </c>
      <c r="F32" s="19"/>
      <c r="G32" s="19">
        <f>SUMPRODUCT((raw!$A$2:$A$3691='(2020-21)'!$A$2)*(raw!$B$2:$B$3691='(2020-21)'!$A32)*(raw!$E$2:$E$3691='(2020-21)'!$G$6)*(raw!$F$2:$F$3691='(2020-21)'!G$7)*(raw!$G$2:$G$3691))</f>
        <v>49</v>
      </c>
      <c r="H32" s="19">
        <f>SUMPRODUCT((raw!$A$2:$A$3691='(2020-21)'!$A$2)*(raw!$B$2:$B$3691='(2020-21)'!$A32)*(raw!$E$2:$E$3691='(2020-21)'!$G$6)*(raw!$F$2:$F$3691='(2020-21)'!H$7)*(raw!$G$2:$G$3691))</f>
        <v>4</v>
      </c>
      <c r="I32" s="19">
        <f>SUMPRODUCT((raw!$A$2:$A$3691='(2020-21)'!$A$2)*(raw!$B$2:$B$3691='(2020-21)'!$A32)*(raw!$E$2:$E$3691='(2020-21)'!$G$6)*(raw!$F$2:$F$3691='(2020-21)'!I$7)*(raw!$G$2:$G$3691))</f>
        <v>0</v>
      </c>
      <c r="J32" s="15">
        <f t="shared" si="1"/>
        <v>7.5471698113207544E-2</v>
      </c>
      <c r="K32" s="19"/>
      <c r="L32" s="14">
        <f t="shared" si="6"/>
        <v>83</v>
      </c>
      <c r="M32" s="14">
        <f t="shared" si="7"/>
        <v>11</v>
      </c>
      <c r="N32" s="14">
        <f t="shared" si="8"/>
        <v>0</v>
      </c>
      <c r="O32" s="15">
        <f t="shared" si="2"/>
        <v>0.11702127659574468</v>
      </c>
      <c r="P32" s="19"/>
      <c r="Q32" s="19">
        <f>SUMPRODUCT((raw!$A$2:$A$3691='(2020-21)'!$A$2)*(raw!$B$2:$B$3691='(2020-21)'!$A32)*(raw!$E$2:$E$3691='(2020-21)'!$Q$6)*(raw!$F$2:$F$3691='(2020-21)'!Q$7)*(raw!$G$2:$G$3691))</f>
        <v>0</v>
      </c>
      <c r="R32" s="19">
        <f>SUMPRODUCT((raw!$A$2:$A$3691='(2020-21)'!$A$2)*(raw!$B$2:$B$3691='(2020-21)'!$A32)*(raw!$E$2:$E$3691='(2020-21)'!$Q$6)*(raw!$F$2:$F$3691='(2020-21)'!R$7)*(raw!$G$2:$G$3691))</f>
        <v>0</v>
      </c>
      <c r="S32" s="19">
        <f>SUMPRODUCT((raw!$A$2:$A$3691='(2020-21)'!$A$2)*(raw!$B$2:$B$3691='(2020-21)'!$A32)*(raw!$E$2:$E$3691='(2020-21)'!$Q$6)*(raw!$F$2:$F$3691='(2020-21)'!S$7)*(raw!$G$2:$G$3691))</f>
        <v>0</v>
      </c>
      <c r="T32" s="15" t="str">
        <f t="shared" si="3"/>
        <v>-</v>
      </c>
      <c r="U32" s="19"/>
      <c r="V32" s="19">
        <f>SUMPRODUCT((raw!$A$2:$A$3691='(2020-21)'!$A$2)*(raw!$B$2:$B$3691='(2020-21)'!$A32)*(raw!$E$2:$E$3691='(2020-21)'!$V$6)*(raw!$F$2:$F$3691='(2020-21)'!V$7)*(raw!$G$2:$G$3691))</f>
        <v>12</v>
      </c>
      <c r="W32" s="19">
        <f>SUMPRODUCT((raw!$A$2:$A$3691='(2020-21)'!$A$2)*(raw!$B$2:$B$3691='(2020-21)'!$A32)*(raw!$E$2:$E$3691='(2020-21)'!$V$6)*(raw!$F$2:$F$3691='(2020-21)'!W$7)*(raw!$G$2:$G$3691))</f>
        <v>11</v>
      </c>
      <c r="X32" s="19">
        <f>SUMPRODUCT((raw!$A$2:$A$3691='(2020-21)'!$A$2)*(raw!$B$2:$B$3691='(2020-21)'!$A32)*(raw!$E$2:$E$3691='(2020-21)'!$V$6)*(raw!$F$2:$F$3691='(2020-21)'!X$7)*(raw!$G$2:$G$3691))</f>
        <v>0</v>
      </c>
      <c r="Y32" s="15">
        <f t="shared" si="4"/>
        <v>0.47826086956521741</v>
      </c>
      <c r="Z32" s="19"/>
      <c r="AA32" s="14">
        <f t="shared" si="9"/>
        <v>95</v>
      </c>
      <c r="AB32" s="14">
        <f t="shared" si="10"/>
        <v>22</v>
      </c>
      <c r="AC32" s="14">
        <f t="shared" si="11"/>
        <v>0</v>
      </c>
      <c r="AD32" s="15">
        <f t="shared" si="5"/>
        <v>0.18803418803418803</v>
      </c>
      <c r="AE32" s="16"/>
      <c r="AF32" s="16"/>
      <c r="AG32" s="16"/>
      <c r="AH32" s="16"/>
      <c r="AI32" s="16"/>
      <c r="AJ32" s="16"/>
      <c r="AK32" s="16"/>
      <c r="AL32" s="16"/>
      <c r="AM32" s="16"/>
    </row>
    <row r="33" spans="1:39" s="6" customFormat="1" ht="15" customHeight="1" x14ac:dyDescent="0.3">
      <c r="A33" s="5" t="s">
        <v>35</v>
      </c>
      <c r="B33" s="19">
        <f>SUMPRODUCT((raw!$A$2:$A$3691='(2020-21)'!$A$2)*(raw!$B$2:$B$3691='(2020-21)'!$A33)*(raw!$E$2:$E$3691='(2020-21)'!$B$6:$E$6)*(raw!$F$2:$F$3691='(2020-21)'!B$7)*(raw!$G$2:$G$3691))</f>
        <v>13</v>
      </c>
      <c r="C33" s="19">
        <f>SUMPRODUCT((raw!$A$2:$A$3691='(2020-21)'!$A$2)*(raw!$B$2:$B$3691='(2020-21)'!$A33)*(raw!$E$2:$E$3691='(2020-21)'!$B$6:$E$6)*(raw!$F$2:$F$3691='(2020-21)'!C$7)*(raw!$G$2:$G$3691))</f>
        <v>2</v>
      </c>
      <c r="D33" s="19">
        <f>SUMPRODUCT((raw!$A$2:$A$3691='(2020-21)'!$A$2)*(raw!$B$2:$B$3691='(2020-21)'!$A33)*(raw!$E$2:$E$3691='(2020-21)'!$B$6:$E$6)*(raw!$F$2:$F$3691='(2020-21)'!D$7)*(raw!$G$2:$G$3691))</f>
        <v>0</v>
      </c>
      <c r="E33" s="15">
        <f t="shared" si="0"/>
        <v>0.13333333333333333</v>
      </c>
      <c r="F33" s="19"/>
      <c r="G33" s="19">
        <f>SUMPRODUCT((raw!$A$2:$A$3691='(2020-21)'!$A$2)*(raw!$B$2:$B$3691='(2020-21)'!$A33)*(raw!$E$2:$E$3691='(2020-21)'!$G$6)*(raw!$F$2:$F$3691='(2020-21)'!G$7)*(raw!$G$2:$G$3691))</f>
        <v>16</v>
      </c>
      <c r="H33" s="19">
        <f>SUMPRODUCT((raw!$A$2:$A$3691='(2020-21)'!$A$2)*(raw!$B$2:$B$3691='(2020-21)'!$A33)*(raw!$E$2:$E$3691='(2020-21)'!$G$6)*(raw!$F$2:$F$3691='(2020-21)'!H$7)*(raw!$G$2:$G$3691))</f>
        <v>4</v>
      </c>
      <c r="I33" s="19">
        <f>SUMPRODUCT((raw!$A$2:$A$3691='(2020-21)'!$A$2)*(raw!$B$2:$B$3691='(2020-21)'!$A33)*(raw!$E$2:$E$3691='(2020-21)'!$G$6)*(raw!$F$2:$F$3691='(2020-21)'!I$7)*(raw!$G$2:$G$3691))</f>
        <v>0</v>
      </c>
      <c r="J33" s="15">
        <f t="shared" si="1"/>
        <v>0.2</v>
      </c>
      <c r="K33" s="19"/>
      <c r="L33" s="14">
        <f t="shared" si="6"/>
        <v>29</v>
      </c>
      <c r="M33" s="14">
        <f t="shared" si="7"/>
        <v>6</v>
      </c>
      <c r="N33" s="14">
        <f t="shared" si="8"/>
        <v>0</v>
      </c>
      <c r="O33" s="15">
        <f t="shared" si="2"/>
        <v>0.17142857142857143</v>
      </c>
      <c r="P33" s="19"/>
      <c r="Q33" s="19">
        <f>SUMPRODUCT((raw!$A$2:$A$3691='(2020-21)'!$A$2)*(raw!$B$2:$B$3691='(2020-21)'!$A33)*(raw!$E$2:$E$3691='(2020-21)'!$Q$6)*(raw!$F$2:$F$3691='(2020-21)'!Q$7)*(raw!$G$2:$G$3691))</f>
        <v>0</v>
      </c>
      <c r="R33" s="19">
        <f>SUMPRODUCT((raw!$A$2:$A$3691='(2020-21)'!$A$2)*(raw!$B$2:$B$3691='(2020-21)'!$A33)*(raw!$E$2:$E$3691='(2020-21)'!$Q$6)*(raw!$F$2:$F$3691='(2020-21)'!R$7)*(raw!$G$2:$G$3691))</f>
        <v>1</v>
      </c>
      <c r="S33" s="19">
        <f>SUMPRODUCT((raw!$A$2:$A$3691='(2020-21)'!$A$2)*(raw!$B$2:$B$3691='(2020-21)'!$A33)*(raw!$E$2:$E$3691='(2020-21)'!$Q$6)*(raw!$F$2:$F$3691='(2020-21)'!S$7)*(raw!$G$2:$G$3691))</f>
        <v>0</v>
      </c>
      <c r="T33" s="15">
        <f t="shared" si="3"/>
        <v>1</v>
      </c>
      <c r="U33" s="19"/>
      <c r="V33" s="19">
        <f>SUMPRODUCT((raw!$A$2:$A$3691='(2020-21)'!$A$2)*(raw!$B$2:$B$3691='(2020-21)'!$A33)*(raw!$E$2:$E$3691='(2020-21)'!$V$6)*(raw!$F$2:$F$3691='(2020-21)'!V$7)*(raw!$G$2:$G$3691))</f>
        <v>6</v>
      </c>
      <c r="W33" s="19">
        <f>SUMPRODUCT((raw!$A$2:$A$3691='(2020-21)'!$A$2)*(raw!$B$2:$B$3691='(2020-21)'!$A33)*(raw!$E$2:$E$3691='(2020-21)'!$V$6)*(raw!$F$2:$F$3691='(2020-21)'!W$7)*(raw!$G$2:$G$3691))</f>
        <v>12</v>
      </c>
      <c r="X33" s="19">
        <f>SUMPRODUCT((raw!$A$2:$A$3691='(2020-21)'!$A$2)*(raw!$B$2:$B$3691='(2020-21)'!$A33)*(raw!$E$2:$E$3691='(2020-21)'!$V$6)*(raw!$F$2:$F$3691='(2020-21)'!X$7)*(raw!$G$2:$G$3691))</f>
        <v>0</v>
      </c>
      <c r="Y33" s="15">
        <f t="shared" si="4"/>
        <v>0.66666666666666663</v>
      </c>
      <c r="Z33" s="19"/>
      <c r="AA33" s="14">
        <f t="shared" si="9"/>
        <v>35</v>
      </c>
      <c r="AB33" s="14">
        <f t="shared" si="10"/>
        <v>19</v>
      </c>
      <c r="AC33" s="14">
        <f t="shared" si="11"/>
        <v>0</v>
      </c>
      <c r="AD33" s="15">
        <f t="shared" si="5"/>
        <v>0.35185185185185186</v>
      </c>
      <c r="AE33" s="16"/>
      <c r="AF33" s="16"/>
      <c r="AG33" s="16"/>
      <c r="AH33" s="16"/>
      <c r="AI33" s="16"/>
      <c r="AJ33" s="16"/>
      <c r="AK33" s="16"/>
      <c r="AL33" s="16"/>
      <c r="AM33" s="16"/>
    </row>
    <row r="34" spans="1:39" s="6" customFormat="1" ht="15" customHeight="1" x14ac:dyDescent="0.3">
      <c r="A34" s="6" t="s">
        <v>36</v>
      </c>
      <c r="B34" s="19">
        <f>SUMPRODUCT((raw!$A$2:$A$3691='(2020-21)'!$A$2)*(raw!$B$2:$B$3691='(2020-21)'!$A34)*(raw!$E$2:$E$3691='(2020-21)'!$B$6:$E$6)*(raw!$F$2:$F$3691='(2020-21)'!B$7)*(raw!$G$2:$G$3691))</f>
        <v>14</v>
      </c>
      <c r="C34" s="19">
        <f>SUMPRODUCT((raw!$A$2:$A$3691='(2020-21)'!$A$2)*(raw!$B$2:$B$3691='(2020-21)'!$A34)*(raw!$E$2:$E$3691='(2020-21)'!$B$6:$E$6)*(raw!$F$2:$F$3691='(2020-21)'!C$7)*(raw!$G$2:$G$3691))</f>
        <v>0</v>
      </c>
      <c r="D34" s="19">
        <f>SUMPRODUCT((raw!$A$2:$A$3691='(2020-21)'!$A$2)*(raw!$B$2:$B$3691='(2020-21)'!$A34)*(raw!$E$2:$E$3691='(2020-21)'!$B$6:$E$6)*(raw!$F$2:$F$3691='(2020-21)'!D$7)*(raw!$G$2:$G$3691))</f>
        <v>0</v>
      </c>
      <c r="E34" s="15">
        <f t="shared" si="0"/>
        <v>0</v>
      </c>
      <c r="F34" s="19"/>
      <c r="G34" s="19">
        <f>SUMPRODUCT((raw!$A$2:$A$3691='(2020-21)'!$A$2)*(raw!$B$2:$B$3691='(2020-21)'!$A34)*(raw!$E$2:$E$3691='(2020-21)'!$G$6)*(raw!$F$2:$F$3691='(2020-21)'!G$7)*(raw!$G$2:$G$3691))</f>
        <v>43</v>
      </c>
      <c r="H34" s="19">
        <f>SUMPRODUCT((raw!$A$2:$A$3691='(2020-21)'!$A$2)*(raw!$B$2:$B$3691='(2020-21)'!$A34)*(raw!$E$2:$E$3691='(2020-21)'!$G$6)*(raw!$F$2:$F$3691='(2020-21)'!H$7)*(raw!$G$2:$G$3691))</f>
        <v>5</v>
      </c>
      <c r="I34" s="19">
        <f>SUMPRODUCT((raw!$A$2:$A$3691='(2020-21)'!$A$2)*(raw!$B$2:$B$3691='(2020-21)'!$A34)*(raw!$E$2:$E$3691='(2020-21)'!$G$6)*(raw!$F$2:$F$3691='(2020-21)'!I$7)*(raw!$G$2:$G$3691))</f>
        <v>0</v>
      </c>
      <c r="J34" s="15">
        <f t="shared" si="1"/>
        <v>0.10416666666666667</v>
      </c>
      <c r="K34" s="19"/>
      <c r="L34" s="14">
        <f t="shared" si="6"/>
        <v>57</v>
      </c>
      <c r="M34" s="14">
        <f t="shared" si="7"/>
        <v>5</v>
      </c>
      <c r="N34" s="14">
        <f t="shared" si="8"/>
        <v>0</v>
      </c>
      <c r="O34" s="15">
        <f t="shared" si="2"/>
        <v>8.0645161290322578E-2</v>
      </c>
      <c r="P34" s="19"/>
      <c r="Q34" s="19">
        <f>SUMPRODUCT((raw!$A$2:$A$3691='(2020-21)'!$A$2)*(raw!$B$2:$B$3691='(2020-21)'!$A34)*(raw!$E$2:$E$3691='(2020-21)'!$Q$6)*(raw!$F$2:$F$3691='(2020-21)'!Q$7)*(raw!$G$2:$G$3691))</f>
        <v>0</v>
      </c>
      <c r="R34" s="19">
        <f>SUMPRODUCT((raw!$A$2:$A$3691='(2020-21)'!$A$2)*(raw!$B$2:$B$3691='(2020-21)'!$A34)*(raw!$E$2:$E$3691='(2020-21)'!$Q$6)*(raw!$F$2:$F$3691='(2020-21)'!R$7)*(raw!$G$2:$G$3691))</f>
        <v>2</v>
      </c>
      <c r="S34" s="19">
        <f>SUMPRODUCT((raw!$A$2:$A$3691='(2020-21)'!$A$2)*(raw!$B$2:$B$3691='(2020-21)'!$A34)*(raw!$E$2:$E$3691='(2020-21)'!$Q$6)*(raw!$F$2:$F$3691='(2020-21)'!S$7)*(raw!$G$2:$G$3691))</f>
        <v>0</v>
      </c>
      <c r="T34" s="15">
        <f t="shared" si="3"/>
        <v>1</v>
      </c>
      <c r="U34" s="19"/>
      <c r="V34" s="19">
        <f>SUMPRODUCT((raw!$A$2:$A$3691='(2020-21)'!$A$2)*(raw!$B$2:$B$3691='(2020-21)'!$A34)*(raw!$E$2:$E$3691='(2020-21)'!$V$6)*(raw!$F$2:$F$3691='(2020-21)'!V$7)*(raw!$G$2:$G$3691))</f>
        <v>8</v>
      </c>
      <c r="W34" s="19">
        <f>SUMPRODUCT((raw!$A$2:$A$3691='(2020-21)'!$A$2)*(raw!$B$2:$B$3691='(2020-21)'!$A34)*(raw!$E$2:$E$3691='(2020-21)'!$V$6)*(raw!$F$2:$F$3691='(2020-21)'!W$7)*(raw!$G$2:$G$3691))</f>
        <v>5</v>
      </c>
      <c r="X34" s="19">
        <f>SUMPRODUCT((raw!$A$2:$A$3691='(2020-21)'!$A$2)*(raw!$B$2:$B$3691='(2020-21)'!$A34)*(raw!$E$2:$E$3691='(2020-21)'!$V$6)*(raw!$F$2:$F$3691='(2020-21)'!X$7)*(raw!$G$2:$G$3691))</f>
        <v>0</v>
      </c>
      <c r="Y34" s="15">
        <f t="shared" si="4"/>
        <v>0.38461538461538464</v>
      </c>
      <c r="Z34" s="19"/>
      <c r="AA34" s="14">
        <f t="shared" si="9"/>
        <v>65</v>
      </c>
      <c r="AB34" s="14">
        <f t="shared" si="10"/>
        <v>12</v>
      </c>
      <c r="AC34" s="14">
        <f t="shared" si="11"/>
        <v>0</v>
      </c>
      <c r="AD34" s="15">
        <f t="shared" si="5"/>
        <v>0.15584415584415584</v>
      </c>
      <c r="AE34" s="16"/>
      <c r="AF34" s="16"/>
      <c r="AG34" s="16"/>
      <c r="AH34" s="16"/>
      <c r="AI34" s="16"/>
      <c r="AJ34" s="16"/>
      <c r="AK34" s="16"/>
      <c r="AL34" s="16"/>
      <c r="AM34" s="16"/>
    </row>
    <row r="35" spans="1:39" s="6" customFormat="1" ht="15" customHeight="1" x14ac:dyDescent="0.3">
      <c r="A35" s="6" t="s">
        <v>37</v>
      </c>
      <c r="B35" s="19">
        <f>SUMPRODUCT((raw!$A$2:$A$3691='(2020-21)'!$A$2)*(raw!$B$2:$B$3691='(2020-21)'!$A35)*(raw!$E$2:$E$3691='(2020-21)'!$B$6:$E$6)*(raw!$F$2:$F$3691='(2020-21)'!B$7)*(raw!$G$2:$G$3691))</f>
        <v>8</v>
      </c>
      <c r="C35" s="19">
        <f>SUMPRODUCT((raw!$A$2:$A$3691='(2020-21)'!$A$2)*(raw!$B$2:$B$3691='(2020-21)'!$A35)*(raw!$E$2:$E$3691='(2020-21)'!$B$6:$E$6)*(raw!$F$2:$F$3691='(2020-21)'!C$7)*(raw!$G$2:$G$3691))</f>
        <v>4</v>
      </c>
      <c r="D35" s="19">
        <f>SUMPRODUCT((raw!$A$2:$A$3691='(2020-21)'!$A$2)*(raw!$B$2:$B$3691='(2020-21)'!$A35)*(raw!$E$2:$E$3691='(2020-21)'!$B$6:$E$6)*(raw!$F$2:$F$3691='(2020-21)'!D$7)*(raw!$G$2:$G$3691))</f>
        <v>0</v>
      </c>
      <c r="E35" s="15">
        <f t="shared" si="0"/>
        <v>0.33333333333333331</v>
      </c>
      <c r="F35" s="19"/>
      <c r="G35" s="19">
        <f>SUMPRODUCT((raw!$A$2:$A$3691='(2020-21)'!$A$2)*(raw!$B$2:$B$3691='(2020-21)'!$A35)*(raw!$E$2:$E$3691='(2020-21)'!$G$6)*(raw!$F$2:$F$3691='(2020-21)'!G$7)*(raw!$G$2:$G$3691))</f>
        <v>28</v>
      </c>
      <c r="H35" s="19">
        <f>SUMPRODUCT((raw!$A$2:$A$3691='(2020-21)'!$A$2)*(raw!$B$2:$B$3691='(2020-21)'!$A35)*(raw!$E$2:$E$3691='(2020-21)'!$G$6)*(raw!$F$2:$F$3691='(2020-21)'!H$7)*(raw!$G$2:$G$3691))</f>
        <v>3</v>
      </c>
      <c r="I35" s="19">
        <f>SUMPRODUCT((raw!$A$2:$A$3691='(2020-21)'!$A$2)*(raw!$B$2:$B$3691='(2020-21)'!$A35)*(raw!$E$2:$E$3691='(2020-21)'!$G$6)*(raw!$F$2:$F$3691='(2020-21)'!I$7)*(raw!$G$2:$G$3691))</f>
        <v>0</v>
      </c>
      <c r="J35" s="15">
        <f t="shared" si="1"/>
        <v>9.6774193548387094E-2</v>
      </c>
      <c r="K35" s="19"/>
      <c r="L35" s="14">
        <f t="shared" si="6"/>
        <v>36</v>
      </c>
      <c r="M35" s="14">
        <f t="shared" si="7"/>
        <v>7</v>
      </c>
      <c r="N35" s="14">
        <f t="shared" si="8"/>
        <v>0</v>
      </c>
      <c r="O35" s="15">
        <f t="shared" si="2"/>
        <v>0.16279069767441862</v>
      </c>
      <c r="P35" s="19"/>
      <c r="Q35" s="19">
        <f>SUMPRODUCT((raw!$A$2:$A$3691='(2020-21)'!$A$2)*(raw!$B$2:$B$3691='(2020-21)'!$A35)*(raw!$E$2:$E$3691='(2020-21)'!$Q$6)*(raw!$F$2:$F$3691='(2020-21)'!Q$7)*(raw!$G$2:$G$3691))</f>
        <v>0</v>
      </c>
      <c r="R35" s="19">
        <f>SUMPRODUCT((raw!$A$2:$A$3691='(2020-21)'!$A$2)*(raw!$B$2:$B$3691='(2020-21)'!$A35)*(raw!$E$2:$E$3691='(2020-21)'!$Q$6)*(raw!$F$2:$F$3691='(2020-21)'!R$7)*(raw!$G$2:$G$3691))</f>
        <v>0</v>
      </c>
      <c r="S35" s="19">
        <f>SUMPRODUCT((raw!$A$2:$A$3691='(2020-21)'!$A$2)*(raw!$B$2:$B$3691='(2020-21)'!$A35)*(raw!$E$2:$E$3691='(2020-21)'!$Q$6)*(raw!$F$2:$F$3691='(2020-21)'!S$7)*(raw!$G$2:$G$3691))</f>
        <v>0</v>
      </c>
      <c r="T35" s="15" t="str">
        <f t="shared" si="3"/>
        <v>-</v>
      </c>
      <c r="U35" s="19"/>
      <c r="V35" s="19">
        <f>SUMPRODUCT((raw!$A$2:$A$3691='(2020-21)'!$A$2)*(raw!$B$2:$B$3691='(2020-21)'!$A35)*(raw!$E$2:$E$3691='(2020-21)'!$V$6)*(raw!$F$2:$F$3691='(2020-21)'!V$7)*(raw!$G$2:$G$3691))</f>
        <v>1</v>
      </c>
      <c r="W35" s="19">
        <f>SUMPRODUCT((raw!$A$2:$A$3691='(2020-21)'!$A$2)*(raw!$B$2:$B$3691='(2020-21)'!$A35)*(raw!$E$2:$E$3691='(2020-21)'!$V$6)*(raw!$F$2:$F$3691='(2020-21)'!W$7)*(raw!$G$2:$G$3691))</f>
        <v>1</v>
      </c>
      <c r="X35" s="19">
        <f>SUMPRODUCT((raw!$A$2:$A$3691='(2020-21)'!$A$2)*(raw!$B$2:$B$3691='(2020-21)'!$A35)*(raw!$E$2:$E$3691='(2020-21)'!$V$6)*(raw!$F$2:$F$3691='(2020-21)'!X$7)*(raw!$G$2:$G$3691))</f>
        <v>0</v>
      </c>
      <c r="Y35" s="15">
        <f t="shared" si="4"/>
        <v>0.5</v>
      </c>
      <c r="Z35" s="19"/>
      <c r="AA35" s="14">
        <f t="shared" si="9"/>
        <v>37</v>
      </c>
      <c r="AB35" s="14">
        <f t="shared" si="10"/>
        <v>8</v>
      </c>
      <c r="AC35" s="14">
        <f t="shared" si="11"/>
        <v>0</v>
      </c>
      <c r="AD35" s="15">
        <f t="shared" si="5"/>
        <v>0.17777777777777778</v>
      </c>
      <c r="AE35" s="16"/>
      <c r="AF35" s="16"/>
      <c r="AG35" s="16"/>
      <c r="AH35" s="16"/>
      <c r="AI35" s="16"/>
      <c r="AJ35" s="16"/>
      <c r="AK35" s="16"/>
      <c r="AL35" s="16"/>
      <c r="AM35" s="16"/>
    </row>
    <row r="36" spans="1:39" s="6" customFormat="1" ht="15" customHeight="1" x14ac:dyDescent="0.3">
      <c r="A36" s="5" t="s">
        <v>38</v>
      </c>
      <c r="B36" s="19">
        <f>SUMPRODUCT((raw!$A$2:$A$3691='(2020-21)'!$A$2)*(raw!$B$2:$B$3691='(2020-21)'!$A36)*(raw!$E$2:$E$3691='(2020-21)'!$B$6:$E$6)*(raw!$F$2:$F$3691='(2020-21)'!B$7)*(raw!$G$2:$G$3691))</f>
        <v>0</v>
      </c>
      <c r="C36" s="19">
        <f>SUMPRODUCT((raw!$A$2:$A$3691='(2020-21)'!$A$2)*(raw!$B$2:$B$3691='(2020-21)'!$A36)*(raw!$E$2:$E$3691='(2020-21)'!$B$6:$E$6)*(raw!$F$2:$F$3691='(2020-21)'!C$7)*(raw!$G$2:$G$3691))</f>
        <v>0</v>
      </c>
      <c r="D36" s="19">
        <f>SUMPRODUCT((raw!$A$2:$A$3691='(2020-21)'!$A$2)*(raw!$B$2:$B$3691='(2020-21)'!$A36)*(raw!$E$2:$E$3691='(2020-21)'!$B$6:$E$6)*(raw!$F$2:$F$3691='(2020-21)'!D$7)*(raw!$G$2:$G$3691))</f>
        <v>0</v>
      </c>
      <c r="E36" s="15" t="str">
        <f t="shared" si="0"/>
        <v>-</v>
      </c>
      <c r="F36" s="19"/>
      <c r="G36" s="19">
        <f>SUMPRODUCT((raw!$A$2:$A$3691='(2020-21)'!$A$2)*(raw!$B$2:$B$3691='(2020-21)'!$A36)*(raw!$E$2:$E$3691='(2020-21)'!$G$6)*(raw!$F$2:$F$3691='(2020-21)'!G$7)*(raw!$G$2:$G$3691))</f>
        <v>0</v>
      </c>
      <c r="H36" s="19">
        <f>SUMPRODUCT((raw!$A$2:$A$3691='(2020-21)'!$A$2)*(raw!$B$2:$B$3691='(2020-21)'!$A36)*(raw!$E$2:$E$3691='(2020-21)'!$G$6)*(raw!$F$2:$F$3691='(2020-21)'!H$7)*(raw!$G$2:$G$3691))</f>
        <v>0</v>
      </c>
      <c r="I36" s="19">
        <f>SUMPRODUCT((raw!$A$2:$A$3691='(2020-21)'!$A$2)*(raw!$B$2:$B$3691='(2020-21)'!$A36)*(raw!$E$2:$E$3691='(2020-21)'!$G$6)*(raw!$F$2:$F$3691='(2020-21)'!I$7)*(raw!$G$2:$G$3691))</f>
        <v>0</v>
      </c>
      <c r="J36" s="15" t="str">
        <f t="shared" si="1"/>
        <v>-</v>
      </c>
      <c r="K36" s="19"/>
      <c r="L36" s="14">
        <f t="shared" si="6"/>
        <v>0</v>
      </c>
      <c r="M36" s="14">
        <f t="shared" si="7"/>
        <v>0</v>
      </c>
      <c r="N36" s="14">
        <f t="shared" si="8"/>
        <v>0</v>
      </c>
      <c r="O36" s="15" t="str">
        <f t="shared" si="2"/>
        <v>-</v>
      </c>
      <c r="P36" s="19"/>
      <c r="Q36" s="19">
        <f>SUMPRODUCT((raw!$A$2:$A$3691='(2020-21)'!$A$2)*(raw!$B$2:$B$3691='(2020-21)'!$A36)*(raw!$E$2:$E$3691='(2020-21)'!$Q$6)*(raw!$F$2:$F$3691='(2020-21)'!Q$7)*(raw!$G$2:$G$3691))</f>
        <v>0</v>
      </c>
      <c r="R36" s="19">
        <f>SUMPRODUCT((raw!$A$2:$A$3691='(2020-21)'!$A$2)*(raw!$B$2:$B$3691='(2020-21)'!$A36)*(raw!$E$2:$E$3691='(2020-21)'!$Q$6)*(raw!$F$2:$F$3691='(2020-21)'!R$7)*(raw!$G$2:$G$3691))</f>
        <v>0</v>
      </c>
      <c r="S36" s="19">
        <f>SUMPRODUCT((raw!$A$2:$A$3691='(2020-21)'!$A$2)*(raw!$B$2:$B$3691='(2020-21)'!$A36)*(raw!$E$2:$E$3691='(2020-21)'!$Q$6)*(raw!$F$2:$F$3691='(2020-21)'!S$7)*(raw!$G$2:$G$3691))</f>
        <v>0</v>
      </c>
      <c r="T36" s="15" t="str">
        <f t="shared" si="3"/>
        <v>-</v>
      </c>
      <c r="U36" s="19"/>
      <c r="V36" s="19">
        <f>SUMPRODUCT((raw!$A$2:$A$3691='(2020-21)'!$A$2)*(raw!$B$2:$B$3691='(2020-21)'!$A36)*(raw!$E$2:$E$3691='(2020-21)'!$V$6)*(raw!$F$2:$F$3691='(2020-21)'!V$7)*(raw!$G$2:$G$3691))</f>
        <v>0</v>
      </c>
      <c r="W36" s="19">
        <f>SUMPRODUCT((raw!$A$2:$A$3691='(2020-21)'!$A$2)*(raw!$B$2:$B$3691='(2020-21)'!$A36)*(raw!$E$2:$E$3691='(2020-21)'!$V$6)*(raw!$F$2:$F$3691='(2020-21)'!W$7)*(raw!$G$2:$G$3691))</f>
        <v>0</v>
      </c>
      <c r="X36" s="19">
        <f>SUMPRODUCT((raw!$A$2:$A$3691='(2020-21)'!$A$2)*(raw!$B$2:$B$3691='(2020-21)'!$A36)*(raw!$E$2:$E$3691='(2020-21)'!$V$6)*(raw!$F$2:$F$3691='(2020-21)'!X$7)*(raw!$G$2:$G$3691))</f>
        <v>0</v>
      </c>
      <c r="Y36" s="15" t="str">
        <f t="shared" si="4"/>
        <v>-</v>
      </c>
      <c r="Z36" s="19"/>
      <c r="AA36" s="14">
        <f t="shared" si="9"/>
        <v>0</v>
      </c>
      <c r="AB36" s="14">
        <f t="shared" si="10"/>
        <v>0</v>
      </c>
      <c r="AC36" s="14">
        <f t="shared" si="11"/>
        <v>0</v>
      </c>
      <c r="AD36" s="15" t="str">
        <f t="shared" si="5"/>
        <v>-</v>
      </c>
      <c r="AE36" s="16"/>
      <c r="AF36" s="16"/>
      <c r="AG36" s="16"/>
      <c r="AH36" s="16"/>
      <c r="AI36" s="16"/>
      <c r="AJ36" s="16"/>
      <c r="AK36" s="16"/>
      <c r="AL36" s="16"/>
      <c r="AM36" s="16"/>
    </row>
    <row r="37" spans="1:39" s="6" customFormat="1" ht="15" customHeight="1" x14ac:dyDescent="0.3">
      <c r="A37" s="6" t="s">
        <v>39</v>
      </c>
      <c r="B37" s="19">
        <f>SUMPRODUCT((raw!$A$2:$A$3691='(2020-21)'!$A$2)*(raw!$B$2:$B$3691='(2020-21)'!$A37)*(raw!$E$2:$E$3691='(2020-21)'!$B$6:$E$6)*(raw!$F$2:$F$3691='(2020-21)'!B$7)*(raw!$G$2:$G$3691))</f>
        <v>1</v>
      </c>
      <c r="C37" s="19">
        <f>SUMPRODUCT((raw!$A$2:$A$3691='(2020-21)'!$A$2)*(raw!$B$2:$B$3691='(2020-21)'!$A37)*(raw!$E$2:$E$3691='(2020-21)'!$B$6:$E$6)*(raw!$F$2:$F$3691='(2020-21)'!C$7)*(raw!$G$2:$G$3691))</f>
        <v>0</v>
      </c>
      <c r="D37" s="19">
        <f>SUMPRODUCT((raw!$A$2:$A$3691='(2020-21)'!$A$2)*(raw!$B$2:$B$3691='(2020-21)'!$A37)*(raw!$E$2:$E$3691='(2020-21)'!$B$6:$E$6)*(raw!$F$2:$F$3691='(2020-21)'!D$7)*(raw!$G$2:$G$3691))</f>
        <v>0</v>
      </c>
      <c r="E37" s="15">
        <f t="shared" si="0"/>
        <v>0</v>
      </c>
      <c r="F37" s="19"/>
      <c r="G37" s="19">
        <f>SUMPRODUCT((raw!$A$2:$A$3691='(2020-21)'!$A$2)*(raw!$B$2:$B$3691='(2020-21)'!$A37)*(raw!$E$2:$E$3691='(2020-21)'!$G$6)*(raw!$F$2:$F$3691='(2020-21)'!G$7)*(raw!$G$2:$G$3691))</f>
        <v>10</v>
      </c>
      <c r="H37" s="19">
        <f>SUMPRODUCT((raw!$A$2:$A$3691='(2020-21)'!$A$2)*(raw!$B$2:$B$3691='(2020-21)'!$A37)*(raw!$E$2:$E$3691='(2020-21)'!$G$6)*(raw!$F$2:$F$3691='(2020-21)'!H$7)*(raw!$G$2:$G$3691))</f>
        <v>1</v>
      </c>
      <c r="I37" s="19">
        <f>SUMPRODUCT((raw!$A$2:$A$3691='(2020-21)'!$A$2)*(raw!$B$2:$B$3691='(2020-21)'!$A37)*(raw!$E$2:$E$3691='(2020-21)'!$G$6)*(raw!$F$2:$F$3691='(2020-21)'!I$7)*(raw!$G$2:$G$3691))</f>
        <v>0</v>
      </c>
      <c r="J37" s="15">
        <f t="shared" si="1"/>
        <v>9.0909090909090912E-2</v>
      </c>
      <c r="K37" s="19"/>
      <c r="L37" s="14">
        <f t="shared" si="6"/>
        <v>11</v>
      </c>
      <c r="M37" s="14">
        <f t="shared" si="7"/>
        <v>1</v>
      </c>
      <c r="N37" s="14">
        <f t="shared" si="8"/>
        <v>0</v>
      </c>
      <c r="O37" s="15">
        <f t="shared" si="2"/>
        <v>8.3333333333333329E-2</v>
      </c>
      <c r="P37" s="19"/>
      <c r="Q37" s="19">
        <f>SUMPRODUCT((raw!$A$2:$A$3691='(2020-21)'!$A$2)*(raw!$B$2:$B$3691='(2020-21)'!$A37)*(raw!$E$2:$E$3691='(2020-21)'!$Q$6)*(raw!$F$2:$F$3691='(2020-21)'!Q$7)*(raw!$G$2:$G$3691))</f>
        <v>0</v>
      </c>
      <c r="R37" s="19">
        <f>SUMPRODUCT((raw!$A$2:$A$3691='(2020-21)'!$A$2)*(raw!$B$2:$B$3691='(2020-21)'!$A37)*(raw!$E$2:$E$3691='(2020-21)'!$Q$6)*(raw!$F$2:$F$3691='(2020-21)'!R$7)*(raw!$G$2:$G$3691))</f>
        <v>0</v>
      </c>
      <c r="S37" s="19">
        <f>SUMPRODUCT((raw!$A$2:$A$3691='(2020-21)'!$A$2)*(raw!$B$2:$B$3691='(2020-21)'!$A37)*(raw!$E$2:$E$3691='(2020-21)'!$Q$6)*(raw!$F$2:$F$3691='(2020-21)'!S$7)*(raw!$G$2:$G$3691))</f>
        <v>0</v>
      </c>
      <c r="T37" s="15" t="str">
        <f t="shared" si="3"/>
        <v>-</v>
      </c>
      <c r="U37" s="19"/>
      <c r="V37" s="19">
        <f>SUMPRODUCT((raw!$A$2:$A$3691='(2020-21)'!$A$2)*(raw!$B$2:$B$3691='(2020-21)'!$A37)*(raw!$E$2:$E$3691='(2020-21)'!$V$6)*(raw!$F$2:$F$3691='(2020-21)'!V$7)*(raw!$G$2:$G$3691))</f>
        <v>0</v>
      </c>
      <c r="W37" s="19">
        <f>SUMPRODUCT((raw!$A$2:$A$3691='(2020-21)'!$A$2)*(raw!$B$2:$B$3691='(2020-21)'!$A37)*(raw!$E$2:$E$3691='(2020-21)'!$V$6)*(raw!$F$2:$F$3691='(2020-21)'!W$7)*(raw!$G$2:$G$3691))</f>
        <v>0</v>
      </c>
      <c r="X37" s="19">
        <f>SUMPRODUCT((raw!$A$2:$A$3691='(2020-21)'!$A$2)*(raw!$B$2:$B$3691='(2020-21)'!$A37)*(raw!$E$2:$E$3691='(2020-21)'!$V$6)*(raw!$F$2:$F$3691='(2020-21)'!X$7)*(raw!$G$2:$G$3691))</f>
        <v>0</v>
      </c>
      <c r="Y37" s="15" t="str">
        <f t="shared" si="4"/>
        <v>-</v>
      </c>
      <c r="Z37" s="19"/>
      <c r="AA37" s="14">
        <f t="shared" si="9"/>
        <v>11</v>
      </c>
      <c r="AB37" s="14">
        <f t="shared" si="10"/>
        <v>1</v>
      </c>
      <c r="AC37" s="14">
        <f t="shared" si="11"/>
        <v>0</v>
      </c>
      <c r="AD37" s="15">
        <f t="shared" si="5"/>
        <v>8.3333333333333329E-2</v>
      </c>
      <c r="AE37" s="16"/>
      <c r="AF37" s="16"/>
      <c r="AG37" s="16"/>
      <c r="AH37" s="16"/>
      <c r="AI37" s="16"/>
      <c r="AJ37" s="16"/>
      <c r="AK37" s="16"/>
      <c r="AL37" s="16"/>
      <c r="AM37" s="16"/>
    </row>
    <row r="38" spans="1:39" s="6" customFormat="1" ht="15" customHeight="1" x14ac:dyDescent="0.3">
      <c r="A38" s="6" t="s">
        <v>40</v>
      </c>
      <c r="B38" s="19">
        <f>SUMPRODUCT((raw!$A$2:$A$3691='(2020-21)'!$A$2)*(raw!$B$2:$B$3691='(2020-21)'!$A38)*(raw!$E$2:$E$3691='(2020-21)'!$B$6:$E$6)*(raw!$F$2:$F$3691='(2020-21)'!B$7)*(raw!$G$2:$G$3691))</f>
        <v>4</v>
      </c>
      <c r="C38" s="19">
        <f>SUMPRODUCT((raw!$A$2:$A$3691='(2020-21)'!$A$2)*(raw!$B$2:$B$3691='(2020-21)'!$A38)*(raw!$E$2:$E$3691='(2020-21)'!$B$6:$E$6)*(raw!$F$2:$F$3691='(2020-21)'!C$7)*(raw!$G$2:$G$3691))</f>
        <v>0</v>
      </c>
      <c r="D38" s="19">
        <f>SUMPRODUCT((raw!$A$2:$A$3691='(2020-21)'!$A$2)*(raw!$B$2:$B$3691='(2020-21)'!$A38)*(raw!$E$2:$E$3691='(2020-21)'!$B$6:$E$6)*(raw!$F$2:$F$3691='(2020-21)'!D$7)*(raw!$G$2:$G$3691))</f>
        <v>0</v>
      </c>
      <c r="E38" s="15">
        <f t="shared" si="0"/>
        <v>0</v>
      </c>
      <c r="F38" s="19"/>
      <c r="G38" s="19">
        <f>SUMPRODUCT((raw!$A$2:$A$3691='(2020-21)'!$A$2)*(raw!$B$2:$B$3691='(2020-21)'!$A38)*(raw!$E$2:$E$3691='(2020-21)'!$G$6)*(raw!$F$2:$F$3691='(2020-21)'!G$7)*(raw!$G$2:$G$3691))</f>
        <v>19</v>
      </c>
      <c r="H38" s="19">
        <f>SUMPRODUCT((raw!$A$2:$A$3691='(2020-21)'!$A$2)*(raw!$B$2:$B$3691='(2020-21)'!$A38)*(raw!$E$2:$E$3691='(2020-21)'!$G$6)*(raw!$F$2:$F$3691='(2020-21)'!H$7)*(raw!$G$2:$G$3691))</f>
        <v>4</v>
      </c>
      <c r="I38" s="19">
        <f>SUMPRODUCT((raw!$A$2:$A$3691='(2020-21)'!$A$2)*(raw!$B$2:$B$3691='(2020-21)'!$A38)*(raw!$E$2:$E$3691='(2020-21)'!$G$6)*(raw!$F$2:$F$3691='(2020-21)'!I$7)*(raw!$G$2:$G$3691))</f>
        <v>0</v>
      </c>
      <c r="J38" s="15">
        <f t="shared" si="1"/>
        <v>0.17391304347826086</v>
      </c>
      <c r="K38" s="19"/>
      <c r="L38" s="14">
        <f t="shared" si="6"/>
        <v>23</v>
      </c>
      <c r="M38" s="14">
        <f t="shared" si="7"/>
        <v>4</v>
      </c>
      <c r="N38" s="14">
        <f t="shared" si="8"/>
        <v>0</v>
      </c>
      <c r="O38" s="15">
        <f t="shared" si="2"/>
        <v>0.14814814814814814</v>
      </c>
      <c r="P38" s="19"/>
      <c r="Q38" s="19">
        <f>SUMPRODUCT((raw!$A$2:$A$3691='(2020-21)'!$A$2)*(raw!$B$2:$B$3691='(2020-21)'!$A38)*(raw!$E$2:$E$3691='(2020-21)'!$Q$6)*(raw!$F$2:$F$3691='(2020-21)'!Q$7)*(raw!$G$2:$G$3691))</f>
        <v>0</v>
      </c>
      <c r="R38" s="19">
        <f>SUMPRODUCT((raw!$A$2:$A$3691='(2020-21)'!$A$2)*(raw!$B$2:$B$3691='(2020-21)'!$A38)*(raw!$E$2:$E$3691='(2020-21)'!$Q$6)*(raw!$F$2:$F$3691='(2020-21)'!R$7)*(raw!$G$2:$G$3691))</f>
        <v>0</v>
      </c>
      <c r="S38" s="19">
        <f>SUMPRODUCT((raw!$A$2:$A$3691='(2020-21)'!$A$2)*(raw!$B$2:$B$3691='(2020-21)'!$A38)*(raw!$E$2:$E$3691='(2020-21)'!$Q$6)*(raw!$F$2:$F$3691='(2020-21)'!S$7)*(raw!$G$2:$G$3691))</f>
        <v>0</v>
      </c>
      <c r="T38" s="15" t="str">
        <f t="shared" si="3"/>
        <v>-</v>
      </c>
      <c r="U38" s="19"/>
      <c r="V38" s="19">
        <f>SUMPRODUCT((raw!$A$2:$A$3691='(2020-21)'!$A$2)*(raw!$B$2:$B$3691='(2020-21)'!$A38)*(raw!$E$2:$E$3691='(2020-21)'!$V$6)*(raw!$F$2:$F$3691='(2020-21)'!V$7)*(raw!$G$2:$G$3691))</f>
        <v>7</v>
      </c>
      <c r="W38" s="19">
        <f>SUMPRODUCT((raw!$A$2:$A$3691='(2020-21)'!$A$2)*(raw!$B$2:$B$3691='(2020-21)'!$A38)*(raw!$E$2:$E$3691='(2020-21)'!$V$6)*(raw!$F$2:$F$3691='(2020-21)'!W$7)*(raw!$G$2:$G$3691))</f>
        <v>1</v>
      </c>
      <c r="X38" s="19">
        <f>SUMPRODUCT((raw!$A$2:$A$3691='(2020-21)'!$A$2)*(raw!$B$2:$B$3691='(2020-21)'!$A38)*(raw!$E$2:$E$3691='(2020-21)'!$V$6)*(raw!$F$2:$F$3691='(2020-21)'!X$7)*(raw!$G$2:$G$3691))</f>
        <v>0</v>
      </c>
      <c r="Y38" s="15">
        <f t="shared" si="4"/>
        <v>0.125</v>
      </c>
      <c r="Z38" s="19"/>
      <c r="AA38" s="14">
        <f t="shared" si="9"/>
        <v>30</v>
      </c>
      <c r="AB38" s="14">
        <f t="shared" si="10"/>
        <v>5</v>
      </c>
      <c r="AC38" s="14">
        <f t="shared" si="11"/>
        <v>0</v>
      </c>
      <c r="AD38" s="15">
        <f t="shared" si="5"/>
        <v>0.14285714285714285</v>
      </c>
      <c r="AE38" s="16"/>
      <c r="AF38" s="16"/>
      <c r="AG38" s="16"/>
      <c r="AH38" s="16"/>
      <c r="AI38" s="16"/>
      <c r="AJ38" s="16"/>
      <c r="AK38" s="16"/>
      <c r="AL38" s="16"/>
      <c r="AM38" s="16"/>
    </row>
    <row r="39" spans="1:39" s="6" customFormat="1" ht="15" customHeight="1" x14ac:dyDescent="0.3">
      <c r="A39" s="6" t="s">
        <v>41</v>
      </c>
      <c r="B39" s="19">
        <f>SUMPRODUCT((raw!$A$2:$A$3691='(2020-21)'!$A$2)*(raw!$B$2:$B$3691='(2020-21)'!$A39)*(raw!$E$2:$E$3691='(2020-21)'!$B$6:$E$6)*(raw!$F$2:$F$3691='(2020-21)'!B$7)*(raw!$G$2:$G$3691))</f>
        <v>12</v>
      </c>
      <c r="C39" s="19">
        <f>SUMPRODUCT((raw!$A$2:$A$3691='(2020-21)'!$A$2)*(raw!$B$2:$B$3691='(2020-21)'!$A39)*(raw!$E$2:$E$3691='(2020-21)'!$B$6:$E$6)*(raw!$F$2:$F$3691='(2020-21)'!C$7)*(raw!$G$2:$G$3691))</f>
        <v>0</v>
      </c>
      <c r="D39" s="19">
        <f>SUMPRODUCT((raw!$A$2:$A$3691='(2020-21)'!$A$2)*(raw!$B$2:$B$3691='(2020-21)'!$A39)*(raw!$E$2:$E$3691='(2020-21)'!$B$6:$E$6)*(raw!$F$2:$F$3691='(2020-21)'!D$7)*(raw!$G$2:$G$3691))</f>
        <v>0</v>
      </c>
      <c r="E39" s="15">
        <f t="shared" si="0"/>
        <v>0</v>
      </c>
      <c r="F39" s="19"/>
      <c r="G39" s="19">
        <f>SUMPRODUCT((raw!$A$2:$A$3691='(2020-21)'!$A$2)*(raw!$B$2:$B$3691='(2020-21)'!$A39)*(raw!$E$2:$E$3691='(2020-21)'!$G$6)*(raw!$F$2:$F$3691='(2020-21)'!G$7)*(raw!$G$2:$G$3691))</f>
        <v>6</v>
      </c>
      <c r="H39" s="19">
        <f>SUMPRODUCT((raw!$A$2:$A$3691='(2020-21)'!$A$2)*(raw!$B$2:$B$3691='(2020-21)'!$A39)*(raw!$E$2:$E$3691='(2020-21)'!$G$6)*(raw!$F$2:$F$3691='(2020-21)'!H$7)*(raw!$G$2:$G$3691))</f>
        <v>0</v>
      </c>
      <c r="I39" s="19">
        <f>SUMPRODUCT((raw!$A$2:$A$3691='(2020-21)'!$A$2)*(raw!$B$2:$B$3691='(2020-21)'!$A39)*(raw!$E$2:$E$3691='(2020-21)'!$G$6)*(raw!$F$2:$F$3691='(2020-21)'!I$7)*(raw!$G$2:$G$3691))</f>
        <v>0</v>
      </c>
      <c r="J39" s="15">
        <f t="shared" si="1"/>
        <v>0</v>
      </c>
      <c r="K39" s="19"/>
      <c r="L39" s="14">
        <f t="shared" si="6"/>
        <v>18</v>
      </c>
      <c r="M39" s="14">
        <f t="shared" si="7"/>
        <v>0</v>
      </c>
      <c r="N39" s="14">
        <f t="shared" si="8"/>
        <v>0</v>
      </c>
      <c r="O39" s="15">
        <f t="shared" si="2"/>
        <v>0</v>
      </c>
      <c r="P39" s="19"/>
      <c r="Q39" s="19">
        <f>SUMPRODUCT((raw!$A$2:$A$3691='(2020-21)'!$A$2)*(raw!$B$2:$B$3691='(2020-21)'!$A39)*(raw!$E$2:$E$3691='(2020-21)'!$Q$6)*(raw!$F$2:$F$3691='(2020-21)'!Q$7)*(raw!$G$2:$G$3691))</f>
        <v>0</v>
      </c>
      <c r="R39" s="19">
        <f>SUMPRODUCT((raw!$A$2:$A$3691='(2020-21)'!$A$2)*(raw!$B$2:$B$3691='(2020-21)'!$A39)*(raw!$E$2:$E$3691='(2020-21)'!$Q$6)*(raw!$F$2:$F$3691='(2020-21)'!R$7)*(raw!$G$2:$G$3691))</f>
        <v>3</v>
      </c>
      <c r="S39" s="19">
        <f>SUMPRODUCT((raw!$A$2:$A$3691='(2020-21)'!$A$2)*(raw!$B$2:$B$3691='(2020-21)'!$A39)*(raw!$E$2:$E$3691='(2020-21)'!$Q$6)*(raw!$F$2:$F$3691='(2020-21)'!S$7)*(raw!$G$2:$G$3691))</f>
        <v>0</v>
      </c>
      <c r="T39" s="15">
        <f t="shared" si="3"/>
        <v>1</v>
      </c>
      <c r="U39" s="19"/>
      <c r="V39" s="19">
        <f>SUMPRODUCT((raw!$A$2:$A$3691='(2020-21)'!$A$2)*(raw!$B$2:$B$3691='(2020-21)'!$A39)*(raw!$E$2:$E$3691='(2020-21)'!$V$6)*(raw!$F$2:$F$3691='(2020-21)'!V$7)*(raw!$G$2:$G$3691))</f>
        <v>4</v>
      </c>
      <c r="W39" s="19">
        <f>SUMPRODUCT((raw!$A$2:$A$3691='(2020-21)'!$A$2)*(raw!$B$2:$B$3691='(2020-21)'!$A39)*(raw!$E$2:$E$3691='(2020-21)'!$V$6)*(raw!$F$2:$F$3691='(2020-21)'!W$7)*(raw!$G$2:$G$3691))</f>
        <v>2</v>
      </c>
      <c r="X39" s="19">
        <f>SUMPRODUCT((raw!$A$2:$A$3691='(2020-21)'!$A$2)*(raw!$B$2:$B$3691='(2020-21)'!$A39)*(raw!$E$2:$E$3691='(2020-21)'!$V$6)*(raw!$F$2:$F$3691='(2020-21)'!X$7)*(raw!$G$2:$G$3691))</f>
        <v>0</v>
      </c>
      <c r="Y39" s="15">
        <f t="shared" si="4"/>
        <v>0.33333333333333331</v>
      </c>
      <c r="Z39" s="19"/>
      <c r="AA39" s="14">
        <f t="shared" si="9"/>
        <v>22</v>
      </c>
      <c r="AB39" s="14">
        <f t="shared" si="10"/>
        <v>5</v>
      </c>
      <c r="AC39" s="14">
        <f t="shared" si="11"/>
        <v>0</v>
      </c>
      <c r="AD39" s="15">
        <f t="shared" si="5"/>
        <v>0.18518518518518517</v>
      </c>
      <c r="AE39" s="16"/>
      <c r="AF39" s="16"/>
      <c r="AG39" s="16"/>
      <c r="AH39" s="16"/>
      <c r="AI39" s="16"/>
      <c r="AJ39" s="16"/>
      <c r="AK39" s="16"/>
      <c r="AL39" s="16"/>
      <c r="AM39" s="16"/>
    </row>
    <row r="40" spans="1:39" s="6" customFormat="1" ht="15" customHeight="1" x14ac:dyDescent="0.3">
      <c r="A40" s="5" t="s">
        <v>42</v>
      </c>
      <c r="B40" s="19">
        <f>SUMPRODUCT((raw!$A$2:$A$3691='(2020-21)'!$A$2)*(raw!$B$2:$B$3691='(2020-21)'!$A40)*(raw!$E$2:$E$3691='(2020-21)'!$B$6:$E$6)*(raw!$F$2:$F$3691='(2020-21)'!B$7)*(raw!$G$2:$G$3691))</f>
        <v>1</v>
      </c>
      <c r="C40" s="19">
        <f>SUMPRODUCT((raw!$A$2:$A$3691='(2020-21)'!$A$2)*(raw!$B$2:$B$3691='(2020-21)'!$A40)*(raw!$E$2:$E$3691='(2020-21)'!$B$6:$E$6)*(raw!$F$2:$F$3691='(2020-21)'!C$7)*(raw!$G$2:$G$3691))</f>
        <v>2</v>
      </c>
      <c r="D40" s="19">
        <f>SUMPRODUCT((raw!$A$2:$A$3691='(2020-21)'!$A$2)*(raw!$B$2:$B$3691='(2020-21)'!$A40)*(raw!$E$2:$E$3691='(2020-21)'!$B$6:$E$6)*(raw!$F$2:$F$3691='(2020-21)'!D$7)*(raw!$G$2:$G$3691))</f>
        <v>0</v>
      </c>
      <c r="E40" s="15">
        <f t="shared" si="0"/>
        <v>0.66666666666666663</v>
      </c>
      <c r="F40" s="19"/>
      <c r="G40" s="19">
        <f>SUMPRODUCT((raw!$A$2:$A$3691='(2020-21)'!$A$2)*(raw!$B$2:$B$3691='(2020-21)'!$A40)*(raw!$E$2:$E$3691='(2020-21)'!$G$6)*(raw!$F$2:$F$3691='(2020-21)'!G$7)*(raw!$G$2:$G$3691))</f>
        <v>15</v>
      </c>
      <c r="H40" s="19">
        <f>SUMPRODUCT((raw!$A$2:$A$3691='(2020-21)'!$A$2)*(raw!$B$2:$B$3691='(2020-21)'!$A40)*(raw!$E$2:$E$3691='(2020-21)'!$G$6)*(raw!$F$2:$F$3691='(2020-21)'!H$7)*(raw!$G$2:$G$3691))</f>
        <v>3</v>
      </c>
      <c r="I40" s="19">
        <f>SUMPRODUCT((raw!$A$2:$A$3691='(2020-21)'!$A$2)*(raw!$B$2:$B$3691='(2020-21)'!$A40)*(raw!$E$2:$E$3691='(2020-21)'!$G$6)*(raw!$F$2:$F$3691='(2020-21)'!I$7)*(raw!$G$2:$G$3691))</f>
        <v>0</v>
      </c>
      <c r="J40" s="15">
        <f t="shared" si="1"/>
        <v>0.16666666666666666</v>
      </c>
      <c r="K40" s="19"/>
      <c r="L40" s="14">
        <f t="shared" si="6"/>
        <v>16</v>
      </c>
      <c r="M40" s="14">
        <f t="shared" si="7"/>
        <v>5</v>
      </c>
      <c r="N40" s="14">
        <f t="shared" si="8"/>
        <v>0</v>
      </c>
      <c r="O40" s="15">
        <f t="shared" si="2"/>
        <v>0.23809523809523808</v>
      </c>
      <c r="P40" s="19"/>
      <c r="Q40" s="19">
        <f>SUMPRODUCT((raw!$A$2:$A$3691='(2020-21)'!$A$2)*(raw!$B$2:$B$3691='(2020-21)'!$A40)*(raw!$E$2:$E$3691='(2020-21)'!$Q$6)*(raw!$F$2:$F$3691='(2020-21)'!Q$7)*(raw!$G$2:$G$3691))</f>
        <v>0</v>
      </c>
      <c r="R40" s="19">
        <f>SUMPRODUCT((raw!$A$2:$A$3691='(2020-21)'!$A$2)*(raw!$B$2:$B$3691='(2020-21)'!$A40)*(raw!$E$2:$E$3691='(2020-21)'!$Q$6)*(raw!$F$2:$F$3691='(2020-21)'!R$7)*(raw!$G$2:$G$3691))</f>
        <v>0</v>
      </c>
      <c r="S40" s="19">
        <f>SUMPRODUCT((raw!$A$2:$A$3691='(2020-21)'!$A$2)*(raw!$B$2:$B$3691='(2020-21)'!$A40)*(raw!$E$2:$E$3691='(2020-21)'!$Q$6)*(raw!$F$2:$F$3691='(2020-21)'!S$7)*(raw!$G$2:$G$3691))</f>
        <v>0</v>
      </c>
      <c r="T40" s="15" t="str">
        <f t="shared" si="3"/>
        <v>-</v>
      </c>
      <c r="U40" s="19"/>
      <c r="V40" s="19">
        <f>SUMPRODUCT((raw!$A$2:$A$3691='(2020-21)'!$A$2)*(raw!$B$2:$B$3691='(2020-21)'!$A40)*(raw!$E$2:$E$3691='(2020-21)'!$V$6)*(raw!$F$2:$F$3691='(2020-21)'!V$7)*(raw!$G$2:$G$3691))</f>
        <v>14</v>
      </c>
      <c r="W40" s="19">
        <f>SUMPRODUCT((raw!$A$2:$A$3691='(2020-21)'!$A$2)*(raw!$B$2:$B$3691='(2020-21)'!$A40)*(raw!$E$2:$E$3691='(2020-21)'!$V$6)*(raw!$F$2:$F$3691='(2020-21)'!W$7)*(raw!$G$2:$G$3691))</f>
        <v>10</v>
      </c>
      <c r="X40" s="19">
        <f>SUMPRODUCT((raw!$A$2:$A$3691='(2020-21)'!$A$2)*(raw!$B$2:$B$3691='(2020-21)'!$A40)*(raw!$E$2:$E$3691='(2020-21)'!$V$6)*(raw!$F$2:$F$3691='(2020-21)'!X$7)*(raw!$G$2:$G$3691))</f>
        <v>0</v>
      </c>
      <c r="Y40" s="15">
        <f t="shared" si="4"/>
        <v>0.41666666666666669</v>
      </c>
      <c r="Z40" s="19"/>
      <c r="AA40" s="14">
        <f t="shared" si="9"/>
        <v>30</v>
      </c>
      <c r="AB40" s="14">
        <f t="shared" si="10"/>
        <v>15</v>
      </c>
      <c r="AC40" s="14">
        <f t="shared" si="11"/>
        <v>0</v>
      </c>
      <c r="AD40" s="15">
        <f t="shared" si="5"/>
        <v>0.33333333333333331</v>
      </c>
      <c r="AE40" s="16"/>
      <c r="AF40" s="16"/>
      <c r="AG40" s="16"/>
      <c r="AH40" s="16"/>
      <c r="AI40" s="16"/>
      <c r="AJ40" s="16"/>
      <c r="AK40" s="16"/>
      <c r="AL40" s="16"/>
      <c r="AM40" s="16"/>
    </row>
    <row r="41" spans="1:39" s="6" customFormat="1" ht="15" customHeight="1" x14ac:dyDescent="0.3">
      <c r="A41" s="5" t="s">
        <v>43</v>
      </c>
      <c r="B41" s="19">
        <f>SUMPRODUCT((raw!$A$2:$A$3691='(2020-21)'!$A$2)*(raw!$B$2:$B$3691='(2020-21)'!$A41)*(raw!$E$2:$E$3691='(2020-21)'!$B$6:$E$6)*(raw!$F$2:$F$3691='(2020-21)'!B$7)*(raw!$G$2:$G$3691))</f>
        <v>20</v>
      </c>
      <c r="C41" s="19">
        <f>SUMPRODUCT((raw!$A$2:$A$3691='(2020-21)'!$A$2)*(raw!$B$2:$B$3691='(2020-21)'!$A41)*(raw!$E$2:$E$3691='(2020-21)'!$B$6:$E$6)*(raw!$F$2:$F$3691='(2020-21)'!C$7)*(raw!$G$2:$G$3691))</f>
        <v>4</v>
      </c>
      <c r="D41" s="19">
        <f>SUMPRODUCT((raw!$A$2:$A$3691='(2020-21)'!$A$2)*(raw!$B$2:$B$3691='(2020-21)'!$A41)*(raw!$E$2:$E$3691='(2020-21)'!$B$6:$E$6)*(raw!$F$2:$F$3691='(2020-21)'!D$7)*(raw!$G$2:$G$3691))</f>
        <v>0</v>
      </c>
      <c r="E41" s="15">
        <f t="shared" si="0"/>
        <v>0.16666666666666666</v>
      </c>
      <c r="F41" s="19"/>
      <c r="G41" s="19">
        <f>SUMPRODUCT((raw!$A$2:$A$3691='(2020-21)'!$A$2)*(raw!$B$2:$B$3691='(2020-21)'!$A41)*(raw!$E$2:$E$3691='(2020-21)'!$G$6)*(raw!$F$2:$F$3691='(2020-21)'!G$7)*(raw!$G$2:$G$3691))</f>
        <v>59</v>
      </c>
      <c r="H41" s="19">
        <f>SUMPRODUCT((raw!$A$2:$A$3691='(2020-21)'!$A$2)*(raw!$B$2:$B$3691='(2020-21)'!$A41)*(raw!$E$2:$E$3691='(2020-21)'!$G$6)*(raw!$F$2:$F$3691='(2020-21)'!H$7)*(raw!$G$2:$G$3691))</f>
        <v>10</v>
      </c>
      <c r="I41" s="19">
        <f>SUMPRODUCT((raw!$A$2:$A$3691='(2020-21)'!$A$2)*(raw!$B$2:$B$3691='(2020-21)'!$A41)*(raw!$E$2:$E$3691='(2020-21)'!$G$6)*(raw!$F$2:$F$3691='(2020-21)'!I$7)*(raw!$G$2:$G$3691))</f>
        <v>0</v>
      </c>
      <c r="J41" s="15">
        <f t="shared" si="1"/>
        <v>0.14492753623188406</v>
      </c>
      <c r="K41" s="19"/>
      <c r="L41" s="14">
        <f t="shared" si="6"/>
        <v>79</v>
      </c>
      <c r="M41" s="14">
        <f t="shared" si="7"/>
        <v>14</v>
      </c>
      <c r="N41" s="14">
        <f t="shared" si="8"/>
        <v>0</v>
      </c>
      <c r="O41" s="15">
        <f t="shared" si="2"/>
        <v>0.15053763440860216</v>
      </c>
      <c r="P41" s="19"/>
      <c r="Q41" s="19">
        <f>SUMPRODUCT((raw!$A$2:$A$3691='(2020-21)'!$A$2)*(raw!$B$2:$B$3691='(2020-21)'!$A41)*(raw!$E$2:$E$3691='(2020-21)'!$Q$6)*(raw!$F$2:$F$3691='(2020-21)'!Q$7)*(raw!$G$2:$G$3691))</f>
        <v>0</v>
      </c>
      <c r="R41" s="19">
        <f>SUMPRODUCT((raw!$A$2:$A$3691='(2020-21)'!$A$2)*(raw!$B$2:$B$3691='(2020-21)'!$A41)*(raw!$E$2:$E$3691='(2020-21)'!$Q$6)*(raw!$F$2:$F$3691='(2020-21)'!R$7)*(raw!$G$2:$G$3691))</f>
        <v>0</v>
      </c>
      <c r="S41" s="19">
        <f>SUMPRODUCT((raw!$A$2:$A$3691='(2020-21)'!$A$2)*(raw!$B$2:$B$3691='(2020-21)'!$A41)*(raw!$E$2:$E$3691='(2020-21)'!$Q$6)*(raw!$F$2:$F$3691='(2020-21)'!S$7)*(raw!$G$2:$G$3691))</f>
        <v>0</v>
      </c>
      <c r="T41" s="15" t="str">
        <f t="shared" si="3"/>
        <v>-</v>
      </c>
      <c r="U41" s="19"/>
      <c r="V41" s="19">
        <f>SUMPRODUCT((raw!$A$2:$A$3691='(2020-21)'!$A$2)*(raw!$B$2:$B$3691='(2020-21)'!$A41)*(raw!$E$2:$E$3691='(2020-21)'!$V$6)*(raw!$F$2:$F$3691='(2020-21)'!V$7)*(raw!$G$2:$G$3691))</f>
        <v>6</v>
      </c>
      <c r="W41" s="19">
        <f>SUMPRODUCT((raw!$A$2:$A$3691='(2020-21)'!$A$2)*(raw!$B$2:$B$3691='(2020-21)'!$A41)*(raw!$E$2:$E$3691='(2020-21)'!$V$6)*(raw!$F$2:$F$3691='(2020-21)'!W$7)*(raw!$G$2:$G$3691))</f>
        <v>1</v>
      </c>
      <c r="X41" s="19">
        <f>SUMPRODUCT((raw!$A$2:$A$3691='(2020-21)'!$A$2)*(raw!$B$2:$B$3691='(2020-21)'!$A41)*(raw!$E$2:$E$3691='(2020-21)'!$V$6)*(raw!$F$2:$F$3691='(2020-21)'!X$7)*(raw!$G$2:$G$3691))</f>
        <v>0</v>
      </c>
      <c r="Y41" s="15">
        <f t="shared" si="4"/>
        <v>0.14285714285714285</v>
      </c>
      <c r="Z41" s="19"/>
      <c r="AA41" s="14">
        <f t="shared" si="9"/>
        <v>85</v>
      </c>
      <c r="AB41" s="14">
        <f t="shared" si="10"/>
        <v>15</v>
      </c>
      <c r="AC41" s="14">
        <f t="shared" si="11"/>
        <v>0</v>
      </c>
      <c r="AD41" s="15">
        <f t="shared" si="5"/>
        <v>0.15</v>
      </c>
      <c r="AE41" s="16"/>
      <c r="AF41" s="16"/>
      <c r="AG41" s="16"/>
      <c r="AH41" s="16"/>
      <c r="AI41" s="16"/>
      <c r="AJ41" s="16"/>
      <c r="AK41" s="16"/>
      <c r="AL41" s="16"/>
      <c r="AM41" s="16"/>
    </row>
    <row r="42" spans="1:39" s="6" customFormat="1" ht="15" customHeight="1" x14ac:dyDescent="0.3">
      <c r="A42" s="5" t="s">
        <v>44</v>
      </c>
      <c r="B42" s="19">
        <f>SUMPRODUCT((raw!$A$2:$A$3691='(2020-21)'!$A$2)*(raw!$B$2:$B$3691='(2020-21)'!$A42)*(raw!$E$2:$E$3691='(2020-21)'!$B$6:$E$6)*(raw!$F$2:$F$3691='(2020-21)'!B$7)*(raw!$G$2:$G$3691))</f>
        <v>11</v>
      </c>
      <c r="C42" s="19">
        <f>SUMPRODUCT((raw!$A$2:$A$3691='(2020-21)'!$A$2)*(raw!$B$2:$B$3691='(2020-21)'!$A42)*(raw!$E$2:$E$3691='(2020-21)'!$B$6:$E$6)*(raw!$F$2:$F$3691='(2020-21)'!C$7)*(raw!$G$2:$G$3691))</f>
        <v>0</v>
      </c>
      <c r="D42" s="19">
        <f>SUMPRODUCT((raw!$A$2:$A$3691='(2020-21)'!$A$2)*(raw!$B$2:$B$3691='(2020-21)'!$A42)*(raw!$E$2:$E$3691='(2020-21)'!$B$6:$E$6)*(raw!$F$2:$F$3691='(2020-21)'!D$7)*(raw!$G$2:$G$3691))</f>
        <v>0</v>
      </c>
      <c r="E42" s="15">
        <f t="shared" si="0"/>
        <v>0</v>
      </c>
      <c r="F42" s="19"/>
      <c r="G42" s="19">
        <f>SUMPRODUCT((raw!$A$2:$A$3691='(2020-21)'!$A$2)*(raw!$B$2:$B$3691='(2020-21)'!$A42)*(raw!$E$2:$E$3691='(2020-21)'!$G$6)*(raw!$F$2:$F$3691='(2020-21)'!G$7)*(raw!$G$2:$G$3691))</f>
        <v>21</v>
      </c>
      <c r="H42" s="19">
        <f>SUMPRODUCT((raw!$A$2:$A$3691='(2020-21)'!$A$2)*(raw!$B$2:$B$3691='(2020-21)'!$A42)*(raw!$E$2:$E$3691='(2020-21)'!$G$6)*(raw!$F$2:$F$3691='(2020-21)'!H$7)*(raw!$G$2:$G$3691))</f>
        <v>1</v>
      </c>
      <c r="I42" s="19">
        <f>SUMPRODUCT((raw!$A$2:$A$3691='(2020-21)'!$A$2)*(raw!$B$2:$B$3691='(2020-21)'!$A42)*(raw!$E$2:$E$3691='(2020-21)'!$G$6)*(raw!$F$2:$F$3691='(2020-21)'!I$7)*(raw!$G$2:$G$3691))</f>
        <v>0</v>
      </c>
      <c r="J42" s="15">
        <f t="shared" si="1"/>
        <v>4.5454545454545456E-2</v>
      </c>
      <c r="K42" s="19"/>
      <c r="L42" s="14">
        <f t="shared" si="6"/>
        <v>32</v>
      </c>
      <c r="M42" s="14">
        <f t="shared" si="7"/>
        <v>1</v>
      </c>
      <c r="N42" s="14">
        <f t="shared" si="8"/>
        <v>0</v>
      </c>
      <c r="O42" s="15">
        <f t="shared" si="2"/>
        <v>3.0303030303030304E-2</v>
      </c>
      <c r="P42" s="19"/>
      <c r="Q42" s="19">
        <f>SUMPRODUCT((raw!$A$2:$A$3691='(2020-21)'!$A$2)*(raw!$B$2:$B$3691='(2020-21)'!$A42)*(raw!$E$2:$E$3691='(2020-21)'!$Q$6)*(raw!$F$2:$F$3691='(2020-21)'!Q$7)*(raw!$G$2:$G$3691))</f>
        <v>0</v>
      </c>
      <c r="R42" s="19">
        <f>SUMPRODUCT((raw!$A$2:$A$3691='(2020-21)'!$A$2)*(raw!$B$2:$B$3691='(2020-21)'!$A42)*(raw!$E$2:$E$3691='(2020-21)'!$Q$6)*(raw!$F$2:$F$3691='(2020-21)'!R$7)*(raw!$G$2:$G$3691))</f>
        <v>0</v>
      </c>
      <c r="S42" s="19">
        <f>SUMPRODUCT((raw!$A$2:$A$3691='(2020-21)'!$A$2)*(raw!$B$2:$B$3691='(2020-21)'!$A42)*(raw!$E$2:$E$3691='(2020-21)'!$Q$6)*(raw!$F$2:$F$3691='(2020-21)'!S$7)*(raw!$G$2:$G$3691))</f>
        <v>0</v>
      </c>
      <c r="T42" s="15" t="str">
        <f t="shared" si="3"/>
        <v>-</v>
      </c>
      <c r="U42" s="19"/>
      <c r="V42" s="19">
        <f>SUMPRODUCT((raw!$A$2:$A$3691='(2020-21)'!$A$2)*(raw!$B$2:$B$3691='(2020-21)'!$A42)*(raw!$E$2:$E$3691='(2020-21)'!$V$6)*(raw!$F$2:$F$3691='(2020-21)'!V$7)*(raw!$G$2:$G$3691))</f>
        <v>3</v>
      </c>
      <c r="W42" s="19">
        <f>SUMPRODUCT((raw!$A$2:$A$3691='(2020-21)'!$A$2)*(raw!$B$2:$B$3691='(2020-21)'!$A42)*(raw!$E$2:$E$3691='(2020-21)'!$V$6)*(raw!$F$2:$F$3691='(2020-21)'!W$7)*(raw!$G$2:$G$3691))</f>
        <v>2</v>
      </c>
      <c r="X42" s="19">
        <f>SUMPRODUCT((raw!$A$2:$A$3691='(2020-21)'!$A$2)*(raw!$B$2:$B$3691='(2020-21)'!$A42)*(raw!$E$2:$E$3691='(2020-21)'!$V$6)*(raw!$F$2:$F$3691='(2020-21)'!X$7)*(raw!$G$2:$G$3691))</f>
        <v>0</v>
      </c>
      <c r="Y42" s="15">
        <f t="shared" si="4"/>
        <v>0.4</v>
      </c>
      <c r="Z42" s="19"/>
      <c r="AA42" s="14">
        <f t="shared" si="9"/>
        <v>35</v>
      </c>
      <c r="AB42" s="14">
        <f t="shared" si="10"/>
        <v>3</v>
      </c>
      <c r="AC42" s="14">
        <f t="shared" si="11"/>
        <v>0</v>
      </c>
      <c r="AD42" s="15">
        <f t="shared" si="5"/>
        <v>7.8947368421052627E-2</v>
      </c>
      <c r="AE42" s="16"/>
      <c r="AF42" s="16"/>
      <c r="AG42" s="16"/>
      <c r="AH42" s="16"/>
      <c r="AI42" s="16"/>
      <c r="AJ42" s="16"/>
      <c r="AK42" s="16"/>
      <c r="AL42" s="16"/>
      <c r="AM42" s="16"/>
    </row>
    <row r="43" spans="1:39" s="6" customFormat="1" ht="15" customHeight="1" x14ac:dyDescent="0.3">
      <c r="A43" s="5" t="s">
        <v>45</v>
      </c>
      <c r="B43" s="19">
        <f>SUMPRODUCT((raw!$A$2:$A$3691='(2020-21)'!$A$2)*(raw!$B$2:$B$3691='(2020-21)'!$A43)*(raw!$E$2:$E$3691='(2020-21)'!$B$6:$E$6)*(raw!$F$2:$F$3691='(2020-21)'!B$7)*(raw!$G$2:$G$3691))</f>
        <v>17</v>
      </c>
      <c r="C43" s="19">
        <f>SUMPRODUCT((raw!$A$2:$A$3691='(2020-21)'!$A$2)*(raw!$B$2:$B$3691='(2020-21)'!$A43)*(raw!$E$2:$E$3691='(2020-21)'!$B$6:$E$6)*(raw!$F$2:$F$3691='(2020-21)'!C$7)*(raw!$G$2:$G$3691))</f>
        <v>1</v>
      </c>
      <c r="D43" s="19">
        <f>SUMPRODUCT((raw!$A$2:$A$3691='(2020-21)'!$A$2)*(raw!$B$2:$B$3691='(2020-21)'!$A43)*(raw!$E$2:$E$3691='(2020-21)'!$B$6:$E$6)*(raw!$F$2:$F$3691='(2020-21)'!D$7)*(raw!$G$2:$G$3691))</f>
        <v>0</v>
      </c>
      <c r="E43" s="15">
        <f t="shared" si="0"/>
        <v>5.5555555555555552E-2</v>
      </c>
      <c r="F43" s="19"/>
      <c r="G43" s="19">
        <f>SUMPRODUCT((raw!$A$2:$A$3691='(2020-21)'!$A$2)*(raw!$B$2:$B$3691='(2020-21)'!$A43)*(raw!$E$2:$E$3691='(2020-21)'!$G$6)*(raw!$F$2:$F$3691='(2020-21)'!G$7)*(raw!$G$2:$G$3691))</f>
        <v>30</v>
      </c>
      <c r="H43" s="19">
        <f>SUMPRODUCT((raw!$A$2:$A$3691='(2020-21)'!$A$2)*(raw!$B$2:$B$3691='(2020-21)'!$A43)*(raw!$E$2:$E$3691='(2020-21)'!$G$6)*(raw!$F$2:$F$3691='(2020-21)'!H$7)*(raw!$G$2:$G$3691))</f>
        <v>2</v>
      </c>
      <c r="I43" s="19">
        <f>SUMPRODUCT((raw!$A$2:$A$3691='(2020-21)'!$A$2)*(raw!$B$2:$B$3691='(2020-21)'!$A43)*(raw!$E$2:$E$3691='(2020-21)'!$G$6)*(raw!$F$2:$F$3691='(2020-21)'!I$7)*(raw!$G$2:$G$3691))</f>
        <v>2</v>
      </c>
      <c r="J43" s="15">
        <f t="shared" si="1"/>
        <v>5.8823529411764705E-2</v>
      </c>
      <c r="K43" s="19"/>
      <c r="L43" s="14">
        <f t="shared" si="6"/>
        <v>47</v>
      </c>
      <c r="M43" s="14">
        <f t="shared" si="7"/>
        <v>3</v>
      </c>
      <c r="N43" s="14">
        <f t="shared" si="8"/>
        <v>2</v>
      </c>
      <c r="O43" s="15">
        <f t="shared" si="2"/>
        <v>5.7692307692307696E-2</v>
      </c>
      <c r="P43" s="19"/>
      <c r="Q43" s="19">
        <f>SUMPRODUCT((raw!$A$2:$A$3691='(2020-21)'!$A$2)*(raw!$B$2:$B$3691='(2020-21)'!$A43)*(raw!$E$2:$E$3691='(2020-21)'!$Q$6)*(raw!$F$2:$F$3691='(2020-21)'!Q$7)*(raw!$G$2:$G$3691))</f>
        <v>0</v>
      </c>
      <c r="R43" s="19">
        <f>SUMPRODUCT((raw!$A$2:$A$3691='(2020-21)'!$A$2)*(raw!$B$2:$B$3691='(2020-21)'!$A43)*(raw!$E$2:$E$3691='(2020-21)'!$Q$6)*(raw!$F$2:$F$3691='(2020-21)'!R$7)*(raw!$G$2:$G$3691))</f>
        <v>0</v>
      </c>
      <c r="S43" s="19">
        <f>SUMPRODUCT((raw!$A$2:$A$3691='(2020-21)'!$A$2)*(raw!$B$2:$B$3691='(2020-21)'!$A43)*(raw!$E$2:$E$3691='(2020-21)'!$Q$6)*(raw!$F$2:$F$3691='(2020-21)'!S$7)*(raw!$G$2:$G$3691))</f>
        <v>0</v>
      </c>
      <c r="T43" s="15" t="str">
        <f t="shared" si="3"/>
        <v>-</v>
      </c>
      <c r="U43" s="19"/>
      <c r="V43" s="19">
        <f>SUMPRODUCT((raw!$A$2:$A$3691='(2020-21)'!$A$2)*(raw!$B$2:$B$3691='(2020-21)'!$A43)*(raw!$E$2:$E$3691='(2020-21)'!$V$6)*(raw!$F$2:$F$3691='(2020-21)'!V$7)*(raw!$G$2:$G$3691))</f>
        <v>0</v>
      </c>
      <c r="W43" s="19">
        <f>SUMPRODUCT((raw!$A$2:$A$3691='(2020-21)'!$A$2)*(raw!$B$2:$B$3691='(2020-21)'!$A43)*(raw!$E$2:$E$3691='(2020-21)'!$V$6)*(raw!$F$2:$F$3691='(2020-21)'!W$7)*(raw!$G$2:$G$3691))</f>
        <v>7</v>
      </c>
      <c r="X43" s="19">
        <f>SUMPRODUCT((raw!$A$2:$A$3691='(2020-21)'!$A$2)*(raw!$B$2:$B$3691='(2020-21)'!$A43)*(raw!$E$2:$E$3691='(2020-21)'!$V$6)*(raw!$F$2:$F$3691='(2020-21)'!X$7)*(raw!$G$2:$G$3691))</f>
        <v>0</v>
      </c>
      <c r="Y43" s="15">
        <f t="shared" si="4"/>
        <v>1</v>
      </c>
      <c r="Z43" s="19"/>
      <c r="AA43" s="14">
        <f t="shared" si="9"/>
        <v>47</v>
      </c>
      <c r="AB43" s="14">
        <f t="shared" si="10"/>
        <v>10</v>
      </c>
      <c r="AC43" s="14">
        <f t="shared" si="11"/>
        <v>2</v>
      </c>
      <c r="AD43" s="15">
        <f t="shared" si="5"/>
        <v>0.16949152542372881</v>
      </c>
      <c r="AE43" s="16"/>
      <c r="AF43" s="16"/>
      <c r="AG43" s="16"/>
      <c r="AH43" s="16"/>
      <c r="AI43" s="16"/>
      <c r="AJ43" s="16"/>
      <c r="AK43" s="16"/>
      <c r="AL43" s="16"/>
      <c r="AM43" s="16"/>
    </row>
    <row r="44" spans="1:39" s="6" customFormat="1" ht="15" customHeight="1" x14ac:dyDescent="0.3">
      <c r="A44" s="5" t="s">
        <v>46</v>
      </c>
      <c r="B44" s="19">
        <f>SUMPRODUCT((raw!$A$2:$A$3691='(2020-21)'!$A$2)*(raw!$B$2:$B$3691='(2020-21)'!$A44)*(raw!$E$2:$E$3691='(2020-21)'!$B$6:$E$6)*(raw!$F$2:$F$3691='(2020-21)'!B$7)*(raw!$G$2:$G$3691))</f>
        <v>8</v>
      </c>
      <c r="C44" s="19">
        <f>SUMPRODUCT((raw!$A$2:$A$3691='(2020-21)'!$A$2)*(raw!$B$2:$B$3691='(2020-21)'!$A44)*(raw!$E$2:$E$3691='(2020-21)'!$B$6:$E$6)*(raw!$F$2:$F$3691='(2020-21)'!C$7)*(raw!$G$2:$G$3691))</f>
        <v>0</v>
      </c>
      <c r="D44" s="19">
        <f>SUMPRODUCT((raw!$A$2:$A$3691='(2020-21)'!$A$2)*(raw!$B$2:$B$3691='(2020-21)'!$A44)*(raw!$E$2:$E$3691='(2020-21)'!$B$6:$E$6)*(raw!$F$2:$F$3691='(2020-21)'!D$7)*(raw!$G$2:$G$3691))</f>
        <v>0</v>
      </c>
      <c r="E44" s="15">
        <f t="shared" si="0"/>
        <v>0</v>
      </c>
      <c r="F44" s="19"/>
      <c r="G44" s="19">
        <f>SUMPRODUCT((raw!$A$2:$A$3691='(2020-21)'!$A$2)*(raw!$B$2:$B$3691='(2020-21)'!$A44)*(raw!$E$2:$E$3691='(2020-21)'!$G$6)*(raw!$F$2:$F$3691='(2020-21)'!G$7)*(raw!$G$2:$G$3691))</f>
        <v>38</v>
      </c>
      <c r="H44" s="19">
        <f>SUMPRODUCT((raw!$A$2:$A$3691='(2020-21)'!$A$2)*(raw!$B$2:$B$3691='(2020-21)'!$A44)*(raw!$E$2:$E$3691='(2020-21)'!$G$6)*(raw!$F$2:$F$3691='(2020-21)'!H$7)*(raw!$G$2:$G$3691))</f>
        <v>4</v>
      </c>
      <c r="I44" s="19">
        <f>SUMPRODUCT((raw!$A$2:$A$3691='(2020-21)'!$A$2)*(raw!$B$2:$B$3691='(2020-21)'!$A44)*(raw!$E$2:$E$3691='(2020-21)'!$G$6)*(raw!$F$2:$F$3691='(2020-21)'!I$7)*(raw!$G$2:$G$3691))</f>
        <v>0</v>
      </c>
      <c r="J44" s="15">
        <f t="shared" si="1"/>
        <v>9.5238095238095233E-2</v>
      </c>
      <c r="K44" s="19"/>
      <c r="L44" s="14">
        <f t="shared" si="6"/>
        <v>46</v>
      </c>
      <c r="M44" s="14">
        <f t="shared" si="7"/>
        <v>4</v>
      </c>
      <c r="N44" s="14">
        <f t="shared" si="8"/>
        <v>0</v>
      </c>
      <c r="O44" s="15">
        <f t="shared" si="2"/>
        <v>0.08</v>
      </c>
      <c r="P44" s="19"/>
      <c r="Q44" s="19">
        <f>SUMPRODUCT((raw!$A$2:$A$3691='(2020-21)'!$A$2)*(raw!$B$2:$B$3691='(2020-21)'!$A44)*(raw!$E$2:$E$3691='(2020-21)'!$Q$6)*(raw!$F$2:$F$3691='(2020-21)'!Q$7)*(raw!$G$2:$G$3691))</f>
        <v>0</v>
      </c>
      <c r="R44" s="19">
        <f>SUMPRODUCT((raw!$A$2:$A$3691='(2020-21)'!$A$2)*(raw!$B$2:$B$3691='(2020-21)'!$A44)*(raw!$E$2:$E$3691='(2020-21)'!$Q$6)*(raw!$F$2:$F$3691='(2020-21)'!R$7)*(raw!$G$2:$G$3691))</f>
        <v>0</v>
      </c>
      <c r="S44" s="19">
        <f>SUMPRODUCT((raw!$A$2:$A$3691='(2020-21)'!$A$2)*(raw!$B$2:$B$3691='(2020-21)'!$A44)*(raw!$E$2:$E$3691='(2020-21)'!$Q$6)*(raw!$F$2:$F$3691='(2020-21)'!S$7)*(raw!$G$2:$G$3691))</f>
        <v>0</v>
      </c>
      <c r="T44" s="15" t="str">
        <f t="shared" si="3"/>
        <v>-</v>
      </c>
      <c r="U44" s="19"/>
      <c r="V44" s="19">
        <f>SUMPRODUCT((raw!$A$2:$A$3691='(2020-21)'!$A$2)*(raw!$B$2:$B$3691='(2020-21)'!$A44)*(raw!$E$2:$E$3691='(2020-21)'!$V$6)*(raw!$F$2:$F$3691='(2020-21)'!V$7)*(raw!$G$2:$G$3691))</f>
        <v>8</v>
      </c>
      <c r="W44" s="19">
        <f>SUMPRODUCT((raw!$A$2:$A$3691='(2020-21)'!$A$2)*(raw!$B$2:$B$3691='(2020-21)'!$A44)*(raw!$E$2:$E$3691='(2020-21)'!$V$6)*(raw!$F$2:$F$3691='(2020-21)'!W$7)*(raw!$G$2:$G$3691))</f>
        <v>9</v>
      </c>
      <c r="X44" s="19">
        <f>SUMPRODUCT((raw!$A$2:$A$3691='(2020-21)'!$A$2)*(raw!$B$2:$B$3691='(2020-21)'!$A44)*(raw!$E$2:$E$3691='(2020-21)'!$V$6)*(raw!$F$2:$F$3691='(2020-21)'!X$7)*(raw!$G$2:$G$3691))</f>
        <v>0</v>
      </c>
      <c r="Y44" s="15">
        <f t="shared" si="4"/>
        <v>0.52941176470588236</v>
      </c>
      <c r="Z44" s="19"/>
      <c r="AA44" s="14">
        <f t="shared" si="9"/>
        <v>54</v>
      </c>
      <c r="AB44" s="14">
        <f t="shared" si="10"/>
        <v>13</v>
      </c>
      <c r="AC44" s="14">
        <f t="shared" si="11"/>
        <v>0</v>
      </c>
      <c r="AD44" s="15">
        <f t="shared" si="5"/>
        <v>0.19402985074626866</v>
      </c>
      <c r="AE44" s="16"/>
      <c r="AF44" s="16"/>
      <c r="AG44" s="16"/>
      <c r="AH44" s="16"/>
      <c r="AI44" s="16"/>
      <c r="AJ44" s="16"/>
      <c r="AK44" s="16"/>
      <c r="AL44" s="16"/>
      <c r="AM44" s="16"/>
    </row>
    <row r="45" spans="1:39" s="6" customFormat="1" ht="15" customHeight="1" x14ac:dyDescent="0.3">
      <c r="A45" s="5" t="s">
        <v>47</v>
      </c>
      <c r="B45" s="19">
        <f>SUMPRODUCT((raw!$A$2:$A$3691='(2020-21)'!$A$2)*(raw!$B$2:$B$3691='(2020-21)'!$A45)*(raw!$E$2:$E$3691='(2020-21)'!$B$6:$E$6)*(raw!$F$2:$F$3691='(2020-21)'!B$7)*(raw!$G$2:$G$3691))</f>
        <v>21</v>
      </c>
      <c r="C45" s="19">
        <f>SUMPRODUCT((raw!$A$2:$A$3691='(2020-21)'!$A$2)*(raw!$B$2:$B$3691='(2020-21)'!$A45)*(raw!$E$2:$E$3691='(2020-21)'!$B$6:$E$6)*(raw!$F$2:$F$3691='(2020-21)'!C$7)*(raw!$G$2:$G$3691))</f>
        <v>2</v>
      </c>
      <c r="D45" s="19">
        <f>SUMPRODUCT((raw!$A$2:$A$3691='(2020-21)'!$A$2)*(raw!$B$2:$B$3691='(2020-21)'!$A45)*(raw!$E$2:$E$3691='(2020-21)'!$B$6:$E$6)*(raw!$F$2:$F$3691='(2020-21)'!D$7)*(raw!$G$2:$G$3691))</f>
        <v>0</v>
      </c>
      <c r="E45" s="15">
        <f t="shared" si="0"/>
        <v>8.6956521739130432E-2</v>
      </c>
      <c r="F45" s="19"/>
      <c r="G45" s="19">
        <f>SUMPRODUCT((raw!$A$2:$A$3691='(2020-21)'!$A$2)*(raw!$B$2:$B$3691='(2020-21)'!$A45)*(raw!$E$2:$E$3691='(2020-21)'!$G$6)*(raw!$F$2:$F$3691='(2020-21)'!G$7)*(raw!$G$2:$G$3691))</f>
        <v>18</v>
      </c>
      <c r="H45" s="19">
        <f>SUMPRODUCT((raw!$A$2:$A$3691='(2020-21)'!$A$2)*(raw!$B$2:$B$3691='(2020-21)'!$A45)*(raw!$E$2:$E$3691='(2020-21)'!$G$6)*(raw!$F$2:$F$3691='(2020-21)'!H$7)*(raw!$G$2:$G$3691))</f>
        <v>0</v>
      </c>
      <c r="I45" s="19">
        <f>SUMPRODUCT((raw!$A$2:$A$3691='(2020-21)'!$A$2)*(raw!$B$2:$B$3691='(2020-21)'!$A45)*(raw!$E$2:$E$3691='(2020-21)'!$G$6)*(raw!$F$2:$F$3691='(2020-21)'!I$7)*(raw!$G$2:$G$3691))</f>
        <v>0</v>
      </c>
      <c r="J45" s="15">
        <f t="shared" si="1"/>
        <v>0</v>
      </c>
      <c r="K45" s="19"/>
      <c r="L45" s="14">
        <f t="shared" si="6"/>
        <v>39</v>
      </c>
      <c r="M45" s="14">
        <f t="shared" si="7"/>
        <v>2</v>
      </c>
      <c r="N45" s="14">
        <f t="shared" si="8"/>
        <v>0</v>
      </c>
      <c r="O45" s="15">
        <f t="shared" si="2"/>
        <v>4.878048780487805E-2</v>
      </c>
      <c r="P45" s="19"/>
      <c r="Q45" s="19">
        <f>SUMPRODUCT((raw!$A$2:$A$3691='(2020-21)'!$A$2)*(raw!$B$2:$B$3691='(2020-21)'!$A45)*(raw!$E$2:$E$3691='(2020-21)'!$Q$6)*(raw!$F$2:$F$3691='(2020-21)'!Q$7)*(raw!$G$2:$G$3691))</f>
        <v>4</v>
      </c>
      <c r="R45" s="19">
        <f>SUMPRODUCT((raw!$A$2:$A$3691='(2020-21)'!$A$2)*(raw!$B$2:$B$3691='(2020-21)'!$A45)*(raw!$E$2:$E$3691='(2020-21)'!$Q$6)*(raw!$F$2:$F$3691='(2020-21)'!R$7)*(raw!$G$2:$G$3691))</f>
        <v>5</v>
      </c>
      <c r="S45" s="19">
        <f>SUMPRODUCT((raw!$A$2:$A$3691='(2020-21)'!$A$2)*(raw!$B$2:$B$3691='(2020-21)'!$A45)*(raw!$E$2:$E$3691='(2020-21)'!$Q$6)*(raw!$F$2:$F$3691='(2020-21)'!S$7)*(raw!$G$2:$G$3691))</f>
        <v>0</v>
      </c>
      <c r="T45" s="15">
        <f t="shared" si="3"/>
        <v>0.55555555555555558</v>
      </c>
      <c r="U45" s="19"/>
      <c r="V45" s="19">
        <f>SUMPRODUCT((raw!$A$2:$A$3691='(2020-21)'!$A$2)*(raw!$B$2:$B$3691='(2020-21)'!$A45)*(raw!$E$2:$E$3691='(2020-21)'!$V$6)*(raw!$F$2:$F$3691='(2020-21)'!V$7)*(raw!$G$2:$G$3691))</f>
        <v>9</v>
      </c>
      <c r="W45" s="19">
        <f>SUMPRODUCT((raw!$A$2:$A$3691='(2020-21)'!$A$2)*(raw!$B$2:$B$3691='(2020-21)'!$A45)*(raw!$E$2:$E$3691='(2020-21)'!$V$6)*(raw!$F$2:$F$3691='(2020-21)'!W$7)*(raw!$G$2:$G$3691))</f>
        <v>16</v>
      </c>
      <c r="X45" s="19">
        <f>SUMPRODUCT((raw!$A$2:$A$3691='(2020-21)'!$A$2)*(raw!$B$2:$B$3691='(2020-21)'!$A45)*(raw!$E$2:$E$3691='(2020-21)'!$V$6)*(raw!$F$2:$F$3691='(2020-21)'!X$7)*(raw!$G$2:$G$3691))</f>
        <v>0</v>
      </c>
      <c r="Y45" s="15">
        <f t="shared" si="4"/>
        <v>0.64</v>
      </c>
      <c r="Z45" s="19"/>
      <c r="AA45" s="14">
        <f t="shared" si="9"/>
        <v>52</v>
      </c>
      <c r="AB45" s="14">
        <f t="shared" si="10"/>
        <v>23</v>
      </c>
      <c r="AC45" s="14">
        <f t="shared" si="11"/>
        <v>0</v>
      </c>
      <c r="AD45" s="15">
        <f t="shared" si="5"/>
        <v>0.30666666666666664</v>
      </c>
      <c r="AE45" s="16"/>
      <c r="AF45" s="16"/>
      <c r="AG45" s="16"/>
      <c r="AH45" s="16"/>
      <c r="AI45" s="16"/>
      <c r="AJ45" s="16"/>
      <c r="AK45" s="16"/>
      <c r="AL45" s="16"/>
      <c r="AM45" s="16"/>
    </row>
    <row r="46" spans="1:39" s="6" customFormat="1" ht="15" customHeight="1" x14ac:dyDescent="0.3">
      <c r="A46" s="5" t="s">
        <v>48</v>
      </c>
      <c r="B46" s="19">
        <f>SUMPRODUCT((raw!$A$2:$A$3691='(2020-21)'!$A$2)*(raw!$B$2:$B$3691='(2020-21)'!$A46)*(raw!$E$2:$E$3691='(2020-21)'!$B$6:$E$6)*(raw!$F$2:$F$3691='(2020-21)'!B$7)*(raw!$G$2:$G$3691))</f>
        <v>12</v>
      </c>
      <c r="C46" s="19">
        <f>SUMPRODUCT((raw!$A$2:$A$3691='(2020-21)'!$A$2)*(raw!$B$2:$B$3691='(2020-21)'!$A46)*(raw!$E$2:$E$3691='(2020-21)'!$B$6:$E$6)*(raw!$F$2:$F$3691='(2020-21)'!C$7)*(raw!$G$2:$G$3691))</f>
        <v>4</v>
      </c>
      <c r="D46" s="19">
        <f>SUMPRODUCT((raw!$A$2:$A$3691='(2020-21)'!$A$2)*(raw!$B$2:$B$3691='(2020-21)'!$A46)*(raw!$E$2:$E$3691='(2020-21)'!$B$6:$E$6)*(raw!$F$2:$F$3691='(2020-21)'!D$7)*(raw!$G$2:$G$3691))</f>
        <v>0</v>
      </c>
      <c r="E46" s="15">
        <f t="shared" si="0"/>
        <v>0.25</v>
      </c>
      <c r="F46" s="19"/>
      <c r="G46" s="19">
        <f>SUMPRODUCT((raw!$A$2:$A$3691='(2020-21)'!$A$2)*(raw!$B$2:$B$3691='(2020-21)'!$A46)*(raw!$E$2:$E$3691='(2020-21)'!$G$6)*(raw!$F$2:$F$3691='(2020-21)'!G$7)*(raw!$G$2:$G$3691))</f>
        <v>17</v>
      </c>
      <c r="H46" s="19">
        <f>SUMPRODUCT((raw!$A$2:$A$3691='(2020-21)'!$A$2)*(raw!$B$2:$B$3691='(2020-21)'!$A46)*(raw!$E$2:$E$3691='(2020-21)'!$G$6)*(raw!$F$2:$F$3691='(2020-21)'!H$7)*(raw!$G$2:$G$3691))</f>
        <v>1</v>
      </c>
      <c r="I46" s="19">
        <f>SUMPRODUCT((raw!$A$2:$A$3691='(2020-21)'!$A$2)*(raw!$B$2:$B$3691='(2020-21)'!$A46)*(raw!$E$2:$E$3691='(2020-21)'!$G$6)*(raw!$F$2:$F$3691='(2020-21)'!I$7)*(raw!$G$2:$G$3691))</f>
        <v>0</v>
      </c>
      <c r="J46" s="15">
        <f t="shared" si="1"/>
        <v>5.5555555555555552E-2</v>
      </c>
      <c r="K46" s="19"/>
      <c r="L46" s="14">
        <f t="shared" si="6"/>
        <v>29</v>
      </c>
      <c r="M46" s="14">
        <f t="shared" si="7"/>
        <v>5</v>
      </c>
      <c r="N46" s="14">
        <f t="shared" si="8"/>
        <v>0</v>
      </c>
      <c r="O46" s="15">
        <f t="shared" si="2"/>
        <v>0.14705882352941177</v>
      </c>
      <c r="P46" s="19"/>
      <c r="Q46" s="19">
        <f>SUMPRODUCT((raw!$A$2:$A$3691='(2020-21)'!$A$2)*(raw!$B$2:$B$3691='(2020-21)'!$A46)*(raw!$E$2:$E$3691='(2020-21)'!$Q$6)*(raw!$F$2:$F$3691='(2020-21)'!Q$7)*(raw!$G$2:$G$3691))</f>
        <v>2</v>
      </c>
      <c r="R46" s="19">
        <f>SUMPRODUCT((raw!$A$2:$A$3691='(2020-21)'!$A$2)*(raw!$B$2:$B$3691='(2020-21)'!$A46)*(raw!$E$2:$E$3691='(2020-21)'!$Q$6)*(raw!$F$2:$F$3691='(2020-21)'!R$7)*(raw!$G$2:$G$3691))</f>
        <v>0</v>
      </c>
      <c r="S46" s="19">
        <f>SUMPRODUCT((raw!$A$2:$A$3691='(2020-21)'!$A$2)*(raw!$B$2:$B$3691='(2020-21)'!$A46)*(raw!$E$2:$E$3691='(2020-21)'!$Q$6)*(raw!$F$2:$F$3691='(2020-21)'!S$7)*(raw!$G$2:$G$3691))</f>
        <v>0</v>
      </c>
      <c r="T46" s="15">
        <f t="shared" si="3"/>
        <v>0</v>
      </c>
      <c r="U46" s="19"/>
      <c r="V46" s="19">
        <f>SUMPRODUCT((raw!$A$2:$A$3691='(2020-21)'!$A$2)*(raw!$B$2:$B$3691='(2020-21)'!$A46)*(raw!$E$2:$E$3691='(2020-21)'!$V$6)*(raw!$F$2:$F$3691='(2020-21)'!V$7)*(raw!$G$2:$G$3691))</f>
        <v>7</v>
      </c>
      <c r="W46" s="19">
        <f>SUMPRODUCT((raw!$A$2:$A$3691='(2020-21)'!$A$2)*(raw!$B$2:$B$3691='(2020-21)'!$A46)*(raw!$E$2:$E$3691='(2020-21)'!$V$6)*(raw!$F$2:$F$3691='(2020-21)'!W$7)*(raw!$G$2:$G$3691))</f>
        <v>8</v>
      </c>
      <c r="X46" s="19">
        <f>SUMPRODUCT((raw!$A$2:$A$3691='(2020-21)'!$A$2)*(raw!$B$2:$B$3691='(2020-21)'!$A46)*(raw!$E$2:$E$3691='(2020-21)'!$V$6)*(raw!$F$2:$F$3691='(2020-21)'!X$7)*(raw!$G$2:$G$3691))</f>
        <v>0</v>
      </c>
      <c r="Y46" s="15">
        <f t="shared" si="4"/>
        <v>0.53333333333333333</v>
      </c>
      <c r="Z46" s="19"/>
      <c r="AA46" s="14">
        <f t="shared" si="9"/>
        <v>38</v>
      </c>
      <c r="AB46" s="14">
        <f t="shared" si="10"/>
        <v>13</v>
      </c>
      <c r="AC46" s="14">
        <f t="shared" si="11"/>
        <v>0</v>
      </c>
      <c r="AD46" s="15">
        <f t="shared" si="5"/>
        <v>0.25490196078431371</v>
      </c>
      <c r="AE46" s="16"/>
      <c r="AF46" s="16"/>
      <c r="AG46" s="16"/>
      <c r="AH46" s="16"/>
      <c r="AI46" s="16"/>
      <c r="AJ46" s="16"/>
      <c r="AK46" s="16"/>
      <c r="AL46" s="16"/>
      <c r="AM46" s="16"/>
    </row>
    <row r="47" spans="1:39" s="6" customFormat="1" ht="15" customHeight="1" x14ac:dyDescent="0.3">
      <c r="A47" s="5" t="s">
        <v>49</v>
      </c>
      <c r="B47" s="19">
        <f>SUMPRODUCT((raw!$A$2:$A$3691='(2020-21)'!$A$2)*(raw!$B$2:$B$3691='(2020-21)'!$A47)*(raw!$E$2:$E$3691='(2020-21)'!$B$6:$E$6)*(raw!$F$2:$F$3691='(2020-21)'!B$7)*(raw!$G$2:$G$3691))</f>
        <v>20</v>
      </c>
      <c r="C47" s="19">
        <f>SUMPRODUCT((raw!$A$2:$A$3691='(2020-21)'!$A$2)*(raw!$B$2:$B$3691='(2020-21)'!$A47)*(raw!$E$2:$E$3691='(2020-21)'!$B$6:$E$6)*(raw!$F$2:$F$3691='(2020-21)'!C$7)*(raw!$G$2:$G$3691))</f>
        <v>2</v>
      </c>
      <c r="D47" s="19">
        <f>SUMPRODUCT((raw!$A$2:$A$3691='(2020-21)'!$A$2)*(raw!$B$2:$B$3691='(2020-21)'!$A47)*(raw!$E$2:$E$3691='(2020-21)'!$B$6:$E$6)*(raw!$F$2:$F$3691='(2020-21)'!D$7)*(raw!$G$2:$G$3691))</f>
        <v>0</v>
      </c>
      <c r="E47" s="15">
        <f t="shared" si="0"/>
        <v>9.0909090909090912E-2</v>
      </c>
      <c r="F47" s="19"/>
      <c r="G47" s="19">
        <f>SUMPRODUCT((raw!$A$2:$A$3691='(2020-21)'!$A$2)*(raw!$B$2:$B$3691='(2020-21)'!$A47)*(raw!$E$2:$E$3691='(2020-21)'!$G$6)*(raw!$F$2:$F$3691='(2020-21)'!G$7)*(raw!$G$2:$G$3691))</f>
        <v>25</v>
      </c>
      <c r="H47" s="19">
        <f>SUMPRODUCT((raw!$A$2:$A$3691='(2020-21)'!$A$2)*(raw!$B$2:$B$3691='(2020-21)'!$A47)*(raw!$E$2:$E$3691='(2020-21)'!$G$6)*(raw!$F$2:$F$3691='(2020-21)'!H$7)*(raw!$G$2:$G$3691))</f>
        <v>2</v>
      </c>
      <c r="I47" s="19">
        <f>SUMPRODUCT((raw!$A$2:$A$3691='(2020-21)'!$A$2)*(raw!$B$2:$B$3691='(2020-21)'!$A47)*(raw!$E$2:$E$3691='(2020-21)'!$G$6)*(raw!$F$2:$F$3691='(2020-21)'!I$7)*(raw!$G$2:$G$3691))</f>
        <v>0</v>
      </c>
      <c r="J47" s="15">
        <f t="shared" si="1"/>
        <v>7.407407407407407E-2</v>
      </c>
      <c r="K47" s="19"/>
      <c r="L47" s="14">
        <f t="shared" si="6"/>
        <v>45</v>
      </c>
      <c r="M47" s="14">
        <f t="shared" si="7"/>
        <v>4</v>
      </c>
      <c r="N47" s="14">
        <f t="shared" si="8"/>
        <v>0</v>
      </c>
      <c r="O47" s="15">
        <f t="shared" si="2"/>
        <v>8.1632653061224483E-2</v>
      </c>
      <c r="P47" s="19"/>
      <c r="Q47" s="19">
        <f>SUMPRODUCT((raw!$A$2:$A$3691='(2020-21)'!$A$2)*(raw!$B$2:$B$3691='(2020-21)'!$A47)*(raw!$E$2:$E$3691='(2020-21)'!$Q$6)*(raw!$F$2:$F$3691='(2020-21)'!Q$7)*(raw!$G$2:$G$3691))</f>
        <v>0</v>
      </c>
      <c r="R47" s="19">
        <f>SUMPRODUCT((raw!$A$2:$A$3691='(2020-21)'!$A$2)*(raw!$B$2:$B$3691='(2020-21)'!$A47)*(raw!$E$2:$E$3691='(2020-21)'!$Q$6)*(raw!$F$2:$F$3691='(2020-21)'!R$7)*(raw!$G$2:$G$3691))</f>
        <v>0</v>
      </c>
      <c r="S47" s="19">
        <f>SUMPRODUCT((raw!$A$2:$A$3691='(2020-21)'!$A$2)*(raw!$B$2:$B$3691='(2020-21)'!$A47)*(raw!$E$2:$E$3691='(2020-21)'!$Q$6)*(raw!$F$2:$F$3691='(2020-21)'!S$7)*(raw!$G$2:$G$3691))</f>
        <v>0</v>
      </c>
      <c r="T47" s="15" t="str">
        <f t="shared" si="3"/>
        <v>-</v>
      </c>
      <c r="U47" s="19"/>
      <c r="V47" s="19">
        <f>SUMPRODUCT((raw!$A$2:$A$3691='(2020-21)'!$A$2)*(raw!$B$2:$B$3691='(2020-21)'!$A47)*(raw!$E$2:$E$3691='(2020-21)'!$V$6)*(raw!$F$2:$F$3691='(2020-21)'!V$7)*(raw!$G$2:$G$3691))</f>
        <v>16</v>
      </c>
      <c r="W47" s="19">
        <f>SUMPRODUCT((raw!$A$2:$A$3691='(2020-21)'!$A$2)*(raw!$B$2:$B$3691='(2020-21)'!$A47)*(raw!$E$2:$E$3691='(2020-21)'!$V$6)*(raw!$F$2:$F$3691='(2020-21)'!W$7)*(raw!$G$2:$G$3691))</f>
        <v>11</v>
      </c>
      <c r="X47" s="19">
        <f>SUMPRODUCT((raw!$A$2:$A$3691='(2020-21)'!$A$2)*(raw!$B$2:$B$3691='(2020-21)'!$A47)*(raw!$E$2:$E$3691='(2020-21)'!$V$6)*(raw!$F$2:$F$3691='(2020-21)'!X$7)*(raw!$G$2:$G$3691))</f>
        <v>0</v>
      </c>
      <c r="Y47" s="15">
        <f t="shared" si="4"/>
        <v>0.40740740740740738</v>
      </c>
      <c r="Z47" s="19"/>
      <c r="AA47" s="14">
        <f t="shared" si="9"/>
        <v>61</v>
      </c>
      <c r="AB47" s="14">
        <f t="shared" si="10"/>
        <v>15</v>
      </c>
      <c r="AC47" s="14">
        <f t="shared" si="11"/>
        <v>0</v>
      </c>
      <c r="AD47" s="15">
        <f t="shared" si="5"/>
        <v>0.19736842105263158</v>
      </c>
      <c r="AE47" s="16"/>
      <c r="AF47" s="16"/>
      <c r="AG47" s="16"/>
      <c r="AH47" s="16"/>
      <c r="AI47" s="16"/>
      <c r="AJ47" s="16"/>
      <c r="AK47" s="16"/>
      <c r="AL47" s="16"/>
      <c r="AM47" s="16"/>
    </row>
    <row r="48" spans="1:39" s="6" customFormat="1" ht="15" customHeight="1" x14ac:dyDescent="0.3">
      <c r="A48" s="5" t="s">
        <v>50</v>
      </c>
      <c r="B48" s="19">
        <f>SUMPRODUCT((raw!$A$2:$A$3691='(2020-21)'!$A$2)*(raw!$B$2:$B$3691='(2020-21)'!$A48)*(raw!$E$2:$E$3691='(2020-21)'!$B$6:$E$6)*(raw!$F$2:$F$3691='(2020-21)'!B$7)*(raw!$G$2:$G$3691))</f>
        <v>0</v>
      </c>
      <c r="C48" s="19">
        <f>SUMPRODUCT((raw!$A$2:$A$3691='(2020-21)'!$A$2)*(raw!$B$2:$B$3691='(2020-21)'!$A48)*(raw!$E$2:$E$3691='(2020-21)'!$B$6:$E$6)*(raw!$F$2:$F$3691='(2020-21)'!C$7)*(raw!$G$2:$G$3691))</f>
        <v>0</v>
      </c>
      <c r="D48" s="19">
        <f>SUMPRODUCT((raw!$A$2:$A$3691='(2020-21)'!$A$2)*(raw!$B$2:$B$3691='(2020-21)'!$A48)*(raw!$E$2:$E$3691='(2020-21)'!$B$6:$E$6)*(raw!$F$2:$F$3691='(2020-21)'!D$7)*(raw!$G$2:$G$3691))</f>
        <v>0</v>
      </c>
      <c r="E48" s="15" t="str">
        <f t="shared" si="0"/>
        <v>-</v>
      </c>
      <c r="F48" s="19"/>
      <c r="G48" s="19">
        <f>SUMPRODUCT((raw!$A$2:$A$3691='(2020-21)'!$A$2)*(raw!$B$2:$B$3691='(2020-21)'!$A48)*(raw!$E$2:$E$3691='(2020-21)'!$G$6)*(raw!$F$2:$F$3691='(2020-21)'!G$7)*(raw!$G$2:$G$3691))</f>
        <v>4</v>
      </c>
      <c r="H48" s="19">
        <f>SUMPRODUCT((raw!$A$2:$A$3691='(2020-21)'!$A$2)*(raw!$B$2:$B$3691='(2020-21)'!$A48)*(raw!$E$2:$E$3691='(2020-21)'!$G$6)*(raw!$F$2:$F$3691='(2020-21)'!H$7)*(raw!$G$2:$G$3691))</f>
        <v>1</v>
      </c>
      <c r="I48" s="19">
        <f>SUMPRODUCT((raw!$A$2:$A$3691='(2020-21)'!$A$2)*(raw!$B$2:$B$3691='(2020-21)'!$A48)*(raw!$E$2:$E$3691='(2020-21)'!$G$6)*(raw!$F$2:$F$3691='(2020-21)'!I$7)*(raw!$G$2:$G$3691))</f>
        <v>0</v>
      </c>
      <c r="J48" s="15">
        <f t="shared" si="1"/>
        <v>0.2</v>
      </c>
      <c r="K48" s="19"/>
      <c r="L48" s="14">
        <f t="shared" si="6"/>
        <v>4</v>
      </c>
      <c r="M48" s="14">
        <f t="shared" si="7"/>
        <v>1</v>
      </c>
      <c r="N48" s="14">
        <f t="shared" si="8"/>
        <v>0</v>
      </c>
      <c r="O48" s="15">
        <f t="shared" si="2"/>
        <v>0.2</v>
      </c>
      <c r="P48" s="19"/>
      <c r="Q48" s="19">
        <f>SUMPRODUCT((raw!$A$2:$A$3691='(2020-21)'!$A$2)*(raw!$B$2:$B$3691='(2020-21)'!$A48)*(raw!$E$2:$E$3691='(2020-21)'!$Q$6)*(raw!$F$2:$F$3691='(2020-21)'!Q$7)*(raw!$G$2:$G$3691))</f>
        <v>0</v>
      </c>
      <c r="R48" s="19">
        <f>SUMPRODUCT((raw!$A$2:$A$3691='(2020-21)'!$A$2)*(raw!$B$2:$B$3691='(2020-21)'!$A48)*(raw!$E$2:$E$3691='(2020-21)'!$Q$6)*(raw!$F$2:$F$3691='(2020-21)'!R$7)*(raw!$G$2:$G$3691))</f>
        <v>0</v>
      </c>
      <c r="S48" s="19">
        <f>SUMPRODUCT((raw!$A$2:$A$3691='(2020-21)'!$A$2)*(raw!$B$2:$B$3691='(2020-21)'!$A48)*(raw!$E$2:$E$3691='(2020-21)'!$Q$6)*(raw!$F$2:$F$3691='(2020-21)'!S$7)*(raw!$G$2:$G$3691))</f>
        <v>0</v>
      </c>
      <c r="T48" s="15" t="str">
        <f t="shared" si="3"/>
        <v>-</v>
      </c>
      <c r="U48" s="19"/>
      <c r="V48" s="19">
        <f>SUMPRODUCT((raw!$A$2:$A$3691='(2020-21)'!$A$2)*(raw!$B$2:$B$3691='(2020-21)'!$A48)*(raw!$E$2:$E$3691='(2020-21)'!$V$6)*(raw!$F$2:$F$3691='(2020-21)'!V$7)*(raw!$G$2:$G$3691))</f>
        <v>0</v>
      </c>
      <c r="W48" s="19">
        <f>SUMPRODUCT((raw!$A$2:$A$3691='(2020-21)'!$A$2)*(raw!$B$2:$B$3691='(2020-21)'!$A48)*(raw!$E$2:$E$3691='(2020-21)'!$V$6)*(raw!$F$2:$F$3691='(2020-21)'!W$7)*(raw!$G$2:$G$3691))</f>
        <v>0</v>
      </c>
      <c r="X48" s="19">
        <f>SUMPRODUCT((raw!$A$2:$A$3691='(2020-21)'!$A$2)*(raw!$B$2:$B$3691='(2020-21)'!$A48)*(raw!$E$2:$E$3691='(2020-21)'!$V$6)*(raw!$F$2:$F$3691='(2020-21)'!X$7)*(raw!$G$2:$G$3691))</f>
        <v>0</v>
      </c>
      <c r="Y48" s="15" t="str">
        <f t="shared" si="4"/>
        <v>-</v>
      </c>
      <c r="Z48" s="19"/>
      <c r="AA48" s="14">
        <f t="shared" si="9"/>
        <v>4</v>
      </c>
      <c r="AB48" s="14">
        <f t="shared" si="10"/>
        <v>1</v>
      </c>
      <c r="AC48" s="14">
        <f t="shared" si="11"/>
        <v>0</v>
      </c>
      <c r="AD48" s="15">
        <f t="shared" si="5"/>
        <v>0.2</v>
      </c>
      <c r="AE48" s="16"/>
      <c r="AF48" s="16"/>
      <c r="AG48" s="16"/>
      <c r="AH48" s="16"/>
      <c r="AI48" s="16"/>
      <c r="AJ48" s="16"/>
      <c r="AK48" s="16"/>
      <c r="AL48" s="16"/>
      <c r="AM48" s="16"/>
    </row>
    <row r="49" spans="1:39" s="6" customFormat="1" ht="15" customHeight="1" x14ac:dyDescent="0.3">
      <c r="A49" s="22" t="s">
        <v>51</v>
      </c>
      <c r="B49" s="14">
        <f>SUM(B50:B56)</f>
        <v>487</v>
      </c>
      <c r="C49" s="14">
        <f>SUM(C50:C56)</f>
        <v>93</v>
      </c>
      <c r="D49" s="19">
        <f>SUMPRODUCT((raw!$A$2:$A$3691='(2020-21)'!$A$2)*(raw!$B$2:$B$3691='(2020-21)'!$A49)*(raw!$E$2:$E$3691='(2020-21)'!$B$6:$E$6)*(raw!$F$2:$F$3691='(2020-21)'!D$7)*(raw!$G$2:$G$3691))</f>
        <v>0</v>
      </c>
      <c r="E49" s="15">
        <f t="shared" si="0"/>
        <v>0.16034482758620688</v>
      </c>
      <c r="F49" s="14"/>
      <c r="G49" s="14">
        <f>SUM(G50:G56)</f>
        <v>69</v>
      </c>
      <c r="H49" s="14">
        <f>SUM(H50:H56)</f>
        <v>10</v>
      </c>
      <c r="I49" s="19">
        <f>SUMPRODUCT((raw!$A$2:$A$3691='(2020-21)'!$A$2)*(raw!$B$2:$B$3691='(2020-21)'!$A49)*(raw!$E$2:$E$3691='(2020-21)'!$G$6)*(raw!$F$2:$F$3691='(2020-21)'!I$7)*(raw!$G$2:$G$3691))</f>
        <v>0</v>
      </c>
      <c r="J49" s="15">
        <f t="shared" si="1"/>
        <v>0.12658227848101267</v>
      </c>
      <c r="K49" s="14"/>
      <c r="L49" s="14">
        <f t="shared" si="6"/>
        <v>556</v>
      </c>
      <c r="M49" s="14">
        <f t="shared" si="7"/>
        <v>103</v>
      </c>
      <c r="N49" s="14">
        <f t="shared" si="8"/>
        <v>0</v>
      </c>
      <c r="O49" s="15">
        <f t="shared" si="2"/>
        <v>0.15629742033383914</v>
      </c>
      <c r="P49" s="14"/>
      <c r="Q49" s="14">
        <f>SUM(Q50:Q56)</f>
        <v>7</v>
      </c>
      <c r="R49" s="14">
        <f>SUM(R50:R56)</f>
        <v>18</v>
      </c>
      <c r="S49" s="19">
        <f>SUMPRODUCT((raw!$A$2:$A$3691='(2020-21)'!$A$2)*(raw!$B$2:$B$3691='(2020-21)'!$A49)*(raw!$E$2:$E$3691='(2020-21)'!$Q$6)*(raw!$F$2:$F$3691='(2020-21)'!S$7)*(raw!$G$2:$G$3691))</f>
        <v>0</v>
      </c>
      <c r="T49" s="15">
        <f t="shared" si="3"/>
        <v>0.72</v>
      </c>
      <c r="U49" s="14"/>
      <c r="V49" s="14">
        <f>SUM(V50:V56)</f>
        <v>111</v>
      </c>
      <c r="W49" s="14">
        <f>SUM(W50:W56)</f>
        <v>99</v>
      </c>
      <c r="X49" s="19">
        <f>SUMPRODUCT((raw!$A$2:$A$3691='(2020-21)'!$A$2)*(raw!$B$2:$B$3691='(2020-21)'!$A49)*(raw!$E$2:$E$3691='(2020-21)'!$V$6)*(raw!$F$2:$F$3691='(2020-21)'!X$7)*(raw!$G$2:$G$3691))</f>
        <v>0</v>
      </c>
      <c r="Y49" s="15">
        <f t="shared" si="4"/>
        <v>0.47142857142857142</v>
      </c>
      <c r="Z49" s="14"/>
      <c r="AA49" s="14">
        <f t="shared" si="9"/>
        <v>674</v>
      </c>
      <c r="AB49" s="14">
        <f t="shared" si="10"/>
        <v>220</v>
      </c>
      <c r="AC49" s="14">
        <f t="shared" si="11"/>
        <v>0</v>
      </c>
      <c r="AD49" s="15">
        <f t="shared" si="5"/>
        <v>0.24608501118568232</v>
      </c>
      <c r="AE49" s="16"/>
      <c r="AF49" s="16"/>
      <c r="AG49" s="16"/>
      <c r="AH49" s="16"/>
      <c r="AI49" s="16"/>
      <c r="AJ49" s="16"/>
      <c r="AK49" s="16"/>
      <c r="AL49" s="16"/>
      <c r="AM49" s="16"/>
    </row>
    <row r="50" spans="1:39" s="6" customFormat="1" ht="15" customHeight="1" x14ac:dyDescent="0.3">
      <c r="A50" s="5" t="s">
        <v>52</v>
      </c>
      <c r="B50" s="19">
        <f>SUMPRODUCT((raw!$A$2:$A$3691='(2020-21)'!$A$2)*(raw!$B$2:$B$3691='(2020-21)'!$A50)*(raw!$E$2:$E$3691='(2020-21)'!$B$6:$E$6)*(raw!$F$2:$F$3691='(2020-21)'!B$7)*(raw!$G$2:$G$3691))</f>
        <v>62</v>
      </c>
      <c r="C50" s="19">
        <f>SUMPRODUCT((raw!$A$2:$A$3691='(2020-21)'!$A$2)*(raw!$B$2:$B$3691='(2020-21)'!$A50)*(raw!$E$2:$E$3691='(2020-21)'!$B$6:$E$6)*(raw!$F$2:$F$3691='(2020-21)'!C$7)*(raw!$G$2:$G$3691))</f>
        <v>10</v>
      </c>
      <c r="D50" s="19">
        <f>SUMPRODUCT((raw!$A$2:$A$3691='(2020-21)'!$A$2)*(raw!$B$2:$B$3691='(2020-21)'!$A50)*(raw!$E$2:$E$3691='(2020-21)'!$B$6:$E$6)*(raw!$F$2:$F$3691='(2020-21)'!D$7)*(raw!$G$2:$G$3691))</f>
        <v>0</v>
      </c>
      <c r="E50" s="15">
        <f t="shared" si="0"/>
        <v>0.1388888888888889</v>
      </c>
      <c r="F50" s="19"/>
      <c r="G50" s="19">
        <f>SUMPRODUCT((raw!$A$2:$A$3691='(2020-21)'!$A$2)*(raw!$B$2:$B$3691='(2020-21)'!$A50)*(raw!$E$2:$E$3691='(2020-21)'!$G$6)*(raw!$F$2:$F$3691='(2020-21)'!G$7)*(raw!$G$2:$G$3691))</f>
        <v>0</v>
      </c>
      <c r="H50" s="19">
        <f>SUMPRODUCT((raw!$A$2:$A$3691='(2020-21)'!$A$2)*(raw!$B$2:$B$3691='(2020-21)'!$A50)*(raw!$E$2:$E$3691='(2020-21)'!$G$6)*(raw!$F$2:$F$3691='(2020-21)'!H$7)*(raw!$G$2:$G$3691))</f>
        <v>0</v>
      </c>
      <c r="I50" s="19">
        <f>SUMPRODUCT((raw!$A$2:$A$3691='(2020-21)'!$A$2)*(raw!$B$2:$B$3691='(2020-21)'!$A50)*(raw!$E$2:$E$3691='(2020-21)'!$G$6)*(raw!$F$2:$F$3691='(2020-21)'!I$7)*(raw!$G$2:$G$3691))</f>
        <v>0</v>
      </c>
      <c r="J50" s="15" t="str">
        <f t="shared" si="1"/>
        <v>-</v>
      </c>
      <c r="K50" s="19"/>
      <c r="L50" s="14">
        <f t="shared" si="6"/>
        <v>62</v>
      </c>
      <c r="M50" s="14">
        <f t="shared" si="7"/>
        <v>10</v>
      </c>
      <c r="N50" s="14">
        <f t="shared" si="8"/>
        <v>0</v>
      </c>
      <c r="O50" s="15">
        <f t="shared" si="2"/>
        <v>0.1388888888888889</v>
      </c>
      <c r="P50" s="19"/>
      <c r="Q50" s="19">
        <f>SUMPRODUCT((raw!$A$2:$A$3691='(2020-21)'!$A$2)*(raw!$B$2:$B$3691='(2020-21)'!$A50)*(raw!$E$2:$E$3691='(2020-21)'!$Q$6)*(raw!$F$2:$F$3691='(2020-21)'!Q$7)*(raw!$G$2:$G$3691))</f>
        <v>0</v>
      </c>
      <c r="R50" s="19">
        <f>SUMPRODUCT((raw!$A$2:$A$3691='(2020-21)'!$A$2)*(raw!$B$2:$B$3691='(2020-21)'!$A50)*(raw!$E$2:$E$3691='(2020-21)'!$Q$6)*(raw!$F$2:$F$3691='(2020-21)'!R$7)*(raw!$G$2:$G$3691))</f>
        <v>0</v>
      </c>
      <c r="S50" s="19">
        <f>SUMPRODUCT((raw!$A$2:$A$3691='(2020-21)'!$A$2)*(raw!$B$2:$B$3691='(2020-21)'!$A50)*(raw!$E$2:$E$3691='(2020-21)'!$Q$6)*(raw!$F$2:$F$3691='(2020-21)'!S$7)*(raw!$G$2:$G$3691))</f>
        <v>0</v>
      </c>
      <c r="T50" s="15" t="str">
        <f t="shared" si="3"/>
        <v>-</v>
      </c>
      <c r="U50" s="19"/>
      <c r="V50" s="19">
        <f>SUMPRODUCT((raw!$A$2:$A$3691='(2020-21)'!$A$2)*(raw!$B$2:$B$3691='(2020-21)'!$A50)*(raw!$E$2:$E$3691='(2020-21)'!$V$6)*(raw!$F$2:$F$3691='(2020-21)'!V$7)*(raw!$G$2:$G$3691))</f>
        <v>5</v>
      </c>
      <c r="W50" s="19">
        <f>SUMPRODUCT((raw!$A$2:$A$3691='(2020-21)'!$A$2)*(raw!$B$2:$B$3691='(2020-21)'!$A50)*(raw!$E$2:$E$3691='(2020-21)'!$V$6)*(raw!$F$2:$F$3691='(2020-21)'!W$7)*(raw!$G$2:$G$3691))</f>
        <v>6</v>
      </c>
      <c r="X50" s="19">
        <f>SUMPRODUCT((raw!$A$2:$A$3691='(2020-21)'!$A$2)*(raw!$B$2:$B$3691='(2020-21)'!$A50)*(raw!$E$2:$E$3691='(2020-21)'!$V$6)*(raw!$F$2:$F$3691='(2020-21)'!X$7)*(raw!$G$2:$G$3691))</f>
        <v>0</v>
      </c>
      <c r="Y50" s="15">
        <f t="shared" si="4"/>
        <v>0.54545454545454541</v>
      </c>
      <c r="Z50" s="19"/>
      <c r="AA50" s="14">
        <f t="shared" si="9"/>
        <v>67</v>
      </c>
      <c r="AB50" s="14">
        <f t="shared" si="10"/>
        <v>16</v>
      </c>
      <c r="AC50" s="14">
        <f t="shared" si="11"/>
        <v>0</v>
      </c>
      <c r="AD50" s="15">
        <f t="shared" si="5"/>
        <v>0.19277108433734941</v>
      </c>
      <c r="AE50" s="16"/>
      <c r="AF50" s="16"/>
      <c r="AG50" s="16"/>
      <c r="AH50" s="16"/>
      <c r="AI50" s="16"/>
      <c r="AJ50" s="16"/>
      <c r="AK50" s="16"/>
      <c r="AL50" s="16"/>
      <c r="AM50" s="16"/>
    </row>
    <row r="51" spans="1:39" s="6" customFormat="1" ht="15" customHeight="1" x14ac:dyDescent="0.3">
      <c r="A51" s="5" t="s">
        <v>53</v>
      </c>
      <c r="B51" s="19">
        <f>SUMPRODUCT((raw!$A$2:$A$3691='(2020-21)'!$A$2)*(raw!$B$2:$B$3691='(2020-21)'!$A51)*(raw!$E$2:$E$3691='(2020-21)'!$B$6:$E$6)*(raw!$F$2:$F$3691='(2020-21)'!B$7)*(raw!$G$2:$G$3691))</f>
        <v>55</v>
      </c>
      <c r="C51" s="19">
        <f>SUMPRODUCT((raw!$A$2:$A$3691='(2020-21)'!$A$2)*(raw!$B$2:$B$3691='(2020-21)'!$A51)*(raw!$E$2:$E$3691='(2020-21)'!$B$6:$E$6)*(raw!$F$2:$F$3691='(2020-21)'!C$7)*(raw!$G$2:$G$3691))</f>
        <v>4</v>
      </c>
      <c r="D51" s="19">
        <f>SUMPRODUCT((raw!$A$2:$A$3691='(2020-21)'!$A$2)*(raw!$B$2:$B$3691='(2020-21)'!$A51)*(raw!$E$2:$E$3691='(2020-21)'!$B$6:$E$6)*(raw!$F$2:$F$3691='(2020-21)'!D$7)*(raw!$G$2:$G$3691))</f>
        <v>0</v>
      </c>
      <c r="E51" s="15">
        <f t="shared" si="0"/>
        <v>6.7796610169491525E-2</v>
      </c>
      <c r="F51" s="19"/>
      <c r="G51" s="19">
        <f>SUMPRODUCT((raw!$A$2:$A$3691='(2020-21)'!$A$2)*(raw!$B$2:$B$3691='(2020-21)'!$A51)*(raw!$E$2:$E$3691='(2020-21)'!$G$6)*(raw!$F$2:$F$3691='(2020-21)'!G$7)*(raw!$G$2:$G$3691))</f>
        <v>34</v>
      </c>
      <c r="H51" s="19">
        <f>SUMPRODUCT((raw!$A$2:$A$3691='(2020-21)'!$A$2)*(raw!$B$2:$B$3691='(2020-21)'!$A51)*(raw!$E$2:$E$3691='(2020-21)'!$G$6)*(raw!$F$2:$F$3691='(2020-21)'!H$7)*(raw!$G$2:$G$3691))</f>
        <v>3</v>
      </c>
      <c r="I51" s="19">
        <f>SUMPRODUCT((raw!$A$2:$A$3691='(2020-21)'!$A$2)*(raw!$B$2:$B$3691='(2020-21)'!$A51)*(raw!$E$2:$E$3691='(2020-21)'!$G$6)*(raw!$F$2:$F$3691='(2020-21)'!I$7)*(raw!$G$2:$G$3691))</f>
        <v>0</v>
      </c>
      <c r="J51" s="15">
        <f t="shared" si="1"/>
        <v>8.1081081081081086E-2</v>
      </c>
      <c r="K51" s="19"/>
      <c r="L51" s="14">
        <f t="shared" si="6"/>
        <v>89</v>
      </c>
      <c r="M51" s="14">
        <f t="shared" si="7"/>
        <v>7</v>
      </c>
      <c r="N51" s="14">
        <f t="shared" si="8"/>
        <v>0</v>
      </c>
      <c r="O51" s="15">
        <f t="shared" si="2"/>
        <v>7.2916666666666671E-2</v>
      </c>
      <c r="P51" s="19"/>
      <c r="Q51" s="19">
        <f>SUMPRODUCT((raw!$A$2:$A$3691='(2020-21)'!$A$2)*(raw!$B$2:$B$3691='(2020-21)'!$A51)*(raw!$E$2:$E$3691='(2020-21)'!$Q$6)*(raw!$F$2:$F$3691='(2020-21)'!Q$7)*(raw!$G$2:$G$3691))</f>
        <v>0</v>
      </c>
      <c r="R51" s="19">
        <f>SUMPRODUCT((raw!$A$2:$A$3691='(2020-21)'!$A$2)*(raw!$B$2:$B$3691='(2020-21)'!$A51)*(raw!$E$2:$E$3691='(2020-21)'!$Q$6)*(raw!$F$2:$F$3691='(2020-21)'!R$7)*(raw!$G$2:$G$3691))</f>
        <v>4</v>
      </c>
      <c r="S51" s="19">
        <f>SUMPRODUCT((raw!$A$2:$A$3691='(2020-21)'!$A$2)*(raw!$B$2:$B$3691='(2020-21)'!$A51)*(raw!$E$2:$E$3691='(2020-21)'!$Q$6)*(raw!$F$2:$F$3691='(2020-21)'!S$7)*(raw!$G$2:$G$3691))</f>
        <v>0</v>
      </c>
      <c r="T51" s="15">
        <f t="shared" si="3"/>
        <v>1</v>
      </c>
      <c r="U51" s="19"/>
      <c r="V51" s="19">
        <f>SUMPRODUCT((raw!$A$2:$A$3691='(2020-21)'!$A$2)*(raw!$B$2:$B$3691='(2020-21)'!$A51)*(raw!$E$2:$E$3691='(2020-21)'!$V$6)*(raw!$F$2:$F$3691='(2020-21)'!V$7)*(raw!$G$2:$G$3691))</f>
        <v>3</v>
      </c>
      <c r="W51" s="19">
        <f>SUMPRODUCT((raw!$A$2:$A$3691='(2020-21)'!$A$2)*(raw!$B$2:$B$3691='(2020-21)'!$A51)*(raw!$E$2:$E$3691='(2020-21)'!$V$6)*(raw!$F$2:$F$3691='(2020-21)'!W$7)*(raw!$G$2:$G$3691))</f>
        <v>5</v>
      </c>
      <c r="X51" s="19">
        <f>SUMPRODUCT((raw!$A$2:$A$3691='(2020-21)'!$A$2)*(raw!$B$2:$B$3691='(2020-21)'!$A51)*(raw!$E$2:$E$3691='(2020-21)'!$V$6)*(raw!$F$2:$F$3691='(2020-21)'!X$7)*(raw!$G$2:$G$3691))</f>
        <v>0</v>
      </c>
      <c r="Y51" s="15">
        <f t="shared" si="4"/>
        <v>0.625</v>
      </c>
      <c r="Z51" s="19"/>
      <c r="AA51" s="14">
        <f t="shared" si="9"/>
        <v>92</v>
      </c>
      <c r="AB51" s="14">
        <f t="shared" si="10"/>
        <v>16</v>
      </c>
      <c r="AC51" s="14">
        <f t="shared" si="11"/>
        <v>0</v>
      </c>
      <c r="AD51" s="15">
        <f t="shared" si="5"/>
        <v>0.14814814814814814</v>
      </c>
      <c r="AE51" s="16"/>
      <c r="AF51" s="16"/>
      <c r="AG51" s="16"/>
      <c r="AH51" s="16"/>
      <c r="AI51" s="16"/>
      <c r="AJ51" s="16"/>
      <c r="AK51" s="16"/>
      <c r="AL51" s="16"/>
      <c r="AM51" s="16"/>
    </row>
    <row r="52" spans="1:39" s="6" customFormat="1" ht="15" customHeight="1" x14ac:dyDescent="0.3">
      <c r="A52" s="5" t="s">
        <v>54</v>
      </c>
      <c r="B52" s="19">
        <f>SUMPRODUCT((raw!$A$2:$A$3691='(2020-21)'!$A$2)*(raw!$B$2:$B$3691='(2020-21)'!$A52)*(raw!$E$2:$E$3691='(2020-21)'!$B$6:$E$6)*(raw!$F$2:$F$3691='(2020-21)'!B$7)*(raw!$G$2:$G$3691))</f>
        <v>38</v>
      </c>
      <c r="C52" s="19">
        <f>SUMPRODUCT((raw!$A$2:$A$3691='(2020-21)'!$A$2)*(raw!$B$2:$B$3691='(2020-21)'!$A52)*(raw!$E$2:$E$3691='(2020-21)'!$B$6:$E$6)*(raw!$F$2:$F$3691='(2020-21)'!C$7)*(raw!$G$2:$G$3691))</f>
        <v>2</v>
      </c>
      <c r="D52" s="19">
        <f>SUMPRODUCT((raw!$A$2:$A$3691='(2020-21)'!$A$2)*(raw!$B$2:$B$3691='(2020-21)'!$A52)*(raw!$E$2:$E$3691='(2020-21)'!$B$6:$E$6)*(raw!$F$2:$F$3691='(2020-21)'!D$7)*(raw!$G$2:$G$3691))</f>
        <v>0</v>
      </c>
      <c r="E52" s="15">
        <f t="shared" si="0"/>
        <v>0.05</v>
      </c>
      <c r="F52" s="19"/>
      <c r="G52" s="19">
        <f>SUMPRODUCT((raw!$A$2:$A$3691='(2020-21)'!$A$2)*(raw!$B$2:$B$3691='(2020-21)'!$A52)*(raw!$E$2:$E$3691='(2020-21)'!$G$6)*(raw!$F$2:$F$3691='(2020-21)'!G$7)*(raw!$G$2:$G$3691))</f>
        <v>16</v>
      </c>
      <c r="H52" s="19">
        <f>SUMPRODUCT((raw!$A$2:$A$3691='(2020-21)'!$A$2)*(raw!$B$2:$B$3691='(2020-21)'!$A52)*(raw!$E$2:$E$3691='(2020-21)'!$G$6)*(raw!$F$2:$F$3691='(2020-21)'!H$7)*(raw!$G$2:$G$3691))</f>
        <v>3</v>
      </c>
      <c r="I52" s="19">
        <f>SUMPRODUCT((raw!$A$2:$A$3691='(2020-21)'!$A$2)*(raw!$B$2:$B$3691='(2020-21)'!$A52)*(raw!$E$2:$E$3691='(2020-21)'!$G$6)*(raw!$F$2:$F$3691='(2020-21)'!I$7)*(raw!$G$2:$G$3691))</f>
        <v>0</v>
      </c>
      <c r="J52" s="15">
        <f t="shared" si="1"/>
        <v>0.15789473684210525</v>
      </c>
      <c r="K52" s="19"/>
      <c r="L52" s="14">
        <f t="shared" si="6"/>
        <v>54</v>
      </c>
      <c r="M52" s="14">
        <f t="shared" si="7"/>
        <v>5</v>
      </c>
      <c r="N52" s="14">
        <f t="shared" si="8"/>
        <v>0</v>
      </c>
      <c r="O52" s="15">
        <f t="shared" si="2"/>
        <v>8.4745762711864403E-2</v>
      </c>
      <c r="P52" s="19"/>
      <c r="Q52" s="19">
        <f>SUMPRODUCT((raw!$A$2:$A$3691='(2020-21)'!$A$2)*(raw!$B$2:$B$3691='(2020-21)'!$A52)*(raw!$E$2:$E$3691='(2020-21)'!$Q$6)*(raw!$F$2:$F$3691='(2020-21)'!Q$7)*(raw!$G$2:$G$3691))</f>
        <v>1</v>
      </c>
      <c r="R52" s="19">
        <f>SUMPRODUCT((raw!$A$2:$A$3691='(2020-21)'!$A$2)*(raw!$B$2:$B$3691='(2020-21)'!$A52)*(raw!$E$2:$E$3691='(2020-21)'!$Q$6)*(raw!$F$2:$F$3691='(2020-21)'!R$7)*(raw!$G$2:$G$3691))</f>
        <v>0</v>
      </c>
      <c r="S52" s="19">
        <f>SUMPRODUCT((raw!$A$2:$A$3691='(2020-21)'!$A$2)*(raw!$B$2:$B$3691='(2020-21)'!$A52)*(raw!$E$2:$E$3691='(2020-21)'!$Q$6)*(raw!$F$2:$F$3691='(2020-21)'!S$7)*(raw!$G$2:$G$3691))</f>
        <v>0</v>
      </c>
      <c r="T52" s="15">
        <f t="shared" si="3"/>
        <v>0</v>
      </c>
      <c r="U52" s="19"/>
      <c r="V52" s="19">
        <f>SUMPRODUCT((raw!$A$2:$A$3691='(2020-21)'!$A$2)*(raw!$B$2:$B$3691='(2020-21)'!$A52)*(raw!$E$2:$E$3691='(2020-21)'!$V$6)*(raw!$F$2:$F$3691='(2020-21)'!V$7)*(raw!$G$2:$G$3691))</f>
        <v>5</v>
      </c>
      <c r="W52" s="19">
        <f>SUMPRODUCT((raw!$A$2:$A$3691='(2020-21)'!$A$2)*(raw!$B$2:$B$3691='(2020-21)'!$A52)*(raw!$E$2:$E$3691='(2020-21)'!$V$6)*(raw!$F$2:$F$3691='(2020-21)'!W$7)*(raw!$G$2:$G$3691))</f>
        <v>5</v>
      </c>
      <c r="X52" s="19">
        <f>SUMPRODUCT((raw!$A$2:$A$3691='(2020-21)'!$A$2)*(raw!$B$2:$B$3691='(2020-21)'!$A52)*(raw!$E$2:$E$3691='(2020-21)'!$V$6)*(raw!$F$2:$F$3691='(2020-21)'!X$7)*(raw!$G$2:$G$3691))</f>
        <v>0</v>
      </c>
      <c r="Y52" s="15">
        <f t="shared" si="4"/>
        <v>0.5</v>
      </c>
      <c r="Z52" s="19"/>
      <c r="AA52" s="14">
        <f t="shared" si="9"/>
        <v>60</v>
      </c>
      <c r="AB52" s="14">
        <f t="shared" si="10"/>
        <v>10</v>
      </c>
      <c r="AC52" s="14">
        <f t="shared" si="11"/>
        <v>0</v>
      </c>
      <c r="AD52" s="15">
        <f t="shared" si="5"/>
        <v>0.14285714285714285</v>
      </c>
      <c r="AE52" s="16"/>
      <c r="AF52" s="16"/>
      <c r="AG52" s="16"/>
      <c r="AH52" s="16"/>
      <c r="AI52" s="16"/>
      <c r="AJ52" s="16"/>
      <c r="AK52" s="16"/>
      <c r="AL52" s="16"/>
      <c r="AM52" s="16"/>
    </row>
    <row r="53" spans="1:39" s="6" customFormat="1" ht="15" customHeight="1" x14ac:dyDescent="0.3">
      <c r="A53" s="2" t="s">
        <v>55</v>
      </c>
      <c r="B53" s="19">
        <f>SUMPRODUCT((raw!$A$2:$A$3691='(2020-21)'!$A$2)*(raw!$B$2:$B$3691='(2020-21)'!$A53)*(raw!$E$2:$E$3691='(2020-21)'!$B$6:$E$6)*(raw!$F$2:$F$3691='(2020-21)'!B$7)*(raw!$G$2:$G$3691))</f>
        <v>41</v>
      </c>
      <c r="C53" s="19">
        <f>SUMPRODUCT((raw!$A$2:$A$3691='(2020-21)'!$A$2)*(raw!$B$2:$B$3691='(2020-21)'!$A53)*(raw!$E$2:$E$3691='(2020-21)'!$B$6:$E$6)*(raw!$F$2:$F$3691='(2020-21)'!C$7)*(raw!$G$2:$G$3691))</f>
        <v>4</v>
      </c>
      <c r="D53" s="19">
        <f>SUMPRODUCT((raw!$A$2:$A$3691='(2020-21)'!$A$2)*(raw!$B$2:$B$3691='(2020-21)'!$A53)*(raw!$E$2:$E$3691='(2020-21)'!$B$6:$E$6)*(raw!$F$2:$F$3691='(2020-21)'!D$7)*(raw!$G$2:$G$3691))</f>
        <v>0</v>
      </c>
      <c r="E53" s="15">
        <f t="shared" si="0"/>
        <v>8.8888888888888892E-2</v>
      </c>
      <c r="F53" s="19"/>
      <c r="G53" s="19">
        <f>SUMPRODUCT((raw!$A$2:$A$3691='(2020-21)'!$A$2)*(raw!$B$2:$B$3691='(2020-21)'!$A53)*(raw!$E$2:$E$3691='(2020-21)'!$G$6)*(raw!$F$2:$F$3691='(2020-21)'!G$7)*(raw!$G$2:$G$3691))</f>
        <v>0</v>
      </c>
      <c r="H53" s="19">
        <f>SUMPRODUCT((raw!$A$2:$A$3691='(2020-21)'!$A$2)*(raw!$B$2:$B$3691='(2020-21)'!$A53)*(raw!$E$2:$E$3691='(2020-21)'!$G$6)*(raw!$F$2:$F$3691='(2020-21)'!H$7)*(raw!$G$2:$G$3691))</f>
        <v>0</v>
      </c>
      <c r="I53" s="19">
        <f>SUMPRODUCT((raw!$A$2:$A$3691='(2020-21)'!$A$2)*(raw!$B$2:$B$3691='(2020-21)'!$A53)*(raw!$E$2:$E$3691='(2020-21)'!$G$6)*(raw!$F$2:$F$3691='(2020-21)'!I$7)*(raw!$G$2:$G$3691))</f>
        <v>0</v>
      </c>
      <c r="J53" s="15" t="str">
        <f t="shared" si="1"/>
        <v>-</v>
      </c>
      <c r="K53" s="19"/>
      <c r="L53" s="14">
        <f t="shared" si="6"/>
        <v>41</v>
      </c>
      <c r="M53" s="14">
        <f t="shared" si="7"/>
        <v>4</v>
      </c>
      <c r="N53" s="14">
        <f t="shared" si="8"/>
        <v>0</v>
      </c>
      <c r="O53" s="15">
        <f t="shared" si="2"/>
        <v>8.8888888888888892E-2</v>
      </c>
      <c r="P53" s="19"/>
      <c r="Q53" s="19">
        <f>SUMPRODUCT((raw!$A$2:$A$3691='(2020-21)'!$A$2)*(raw!$B$2:$B$3691='(2020-21)'!$A53)*(raw!$E$2:$E$3691='(2020-21)'!$Q$6)*(raw!$F$2:$F$3691='(2020-21)'!Q$7)*(raw!$G$2:$G$3691))</f>
        <v>1</v>
      </c>
      <c r="R53" s="19">
        <f>SUMPRODUCT((raw!$A$2:$A$3691='(2020-21)'!$A$2)*(raw!$B$2:$B$3691='(2020-21)'!$A53)*(raw!$E$2:$E$3691='(2020-21)'!$Q$6)*(raw!$F$2:$F$3691='(2020-21)'!R$7)*(raw!$G$2:$G$3691))</f>
        <v>2</v>
      </c>
      <c r="S53" s="19">
        <f>SUMPRODUCT((raw!$A$2:$A$3691='(2020-21)'!$A$2)*(raw!$B$2:$B$3691='(2020-21)'!$A53)*(raw!$E$2:$E$3691='(2020-21)'!$Q$6)*(raw!$F$2:$F$3691='(2020-21)'!S$7)*(raw!$G$2:$G$3691))</f>
        <v>0</v>
      </c>
      <c r="T53" s="15">
        <f t="shared" si="3"/>
        <v>0.66666666666666663</v>
      </c>
      <c r="U53" s="19"/>
      <c r="V53" s="19">
        <f>SUMPRODUCT((raw!$A$2:$A$3691='(2020-21)'!$A$2)*(raw!$B$2:$B$3691='(2020-21)'!$A53)*(raw!$E$2:$E$3691='(2020-21)'!$V$6)*(raw!$F$2:$F$3691='(2020-21)'!V$7)*(raw!$G$2:$G$3691))</f>
        <v>16</v>
      </c>
      <c r="W53" s="19">
        <f>SUMPRODUCT((raw!$A$2:$A$3691='(2020-21)'!$A$2)*(raw!$B$2:$B$3691='(2020-21)'!$A53)*(raw!$E$2:$E$3691='(2020-21)'!$V$6)*(raw!$F$2:$F$3691='(2020-21)'!W$7)*(raw!$G$2:$G$3691))</f>
        <v>7</v>
      </c>
      <c r="X53" s="19">
        <f>SUMPRODUCT((raw!$A$2:$A$3691='(2020-21)'!$A$2)*(raw!$B$2:$B$3691='(2020-21)'!$A53)*(raw!$E$2:$E$3691='(2020-21)'!$V$6)*(raw!$F$2:$F$3691='(2020-21)'!X$7)*(raw!$G$2:$G$3691))</f>
        <v>0</v>
      </c>
      <c r="Y53" s="15">
        <f t="shared" si="4"/>
        <v>0.30434782608695654</v>
      </c>
      <c r="Z53" s="19"/>
      <c r="AA53" s="14">
        <f t="shared" si="9"/>
        <v>58</v>
      </c>
      <c r="AB53" s="14">
        <f t="shared" si="10"/>
        <v>13</v>
      </c>
      <c r="AC53" s="14">
        <f t="shared" si="11"/>
        <v>0</v>
      </c>
      <c r="AD53" s="15">
        <f t="shared" si="5"/>
        <v>0.18309859154929578</v>
      </c>
      <c r="AE53" s="16"/>
      <c r="AF53" s="16"/>
      <c r="AG53" s="16"/>
      <c r="AH53" s="16"/>
      <c r="AI53" s="16"/>
      <c r="AJ53" s="16"/>
      <c r="AK53" s="16"/>
      <c r="AL53" s="16"/>
      <c r="AM53" s="16"/>
    </row>
    <row r="54" spans="1:39" s="6" customFormat="1" ht="15" customHeight="1" x14ac:dyDescent="0.3">
      <c r="A54" s="2" t="s">
        <v>56</v>
      </c>
      <c r="B54" s="19">
        <f>SUMPRODUCT((raw!$A$2:$A$3691='(2020-21)'!$A$2)*(raw!$B$2:$B$3691='(2020-21)'!$A54)*(raw!$E$2:$E$3691='(2020-21)'!$B$6:$E$6)*(raw!$F$2:$F$3691='(2020-21)'!B$7)*(raw!$G$2:$G$3691))</f>
        <v>51</v>
      </c>
      <c r="C54" s="19">
        <f>SUMPRODUCT((raw!$A$2:$A$3691='(2020-21)'!$A$2)*(raw!$B$2:$B$3691='(2020-21)'!$A54)*(raw!$E$2:$E$3691='(2020-21)'!$B$6:$E$6)*(raw!$F$2:$F$3691='(2020-21)'!C$7)*(raw!$G$2:$G$3691))</f>
        <v>17</v>
      </c>
      <c r="D54" s="19">
        <f>SUMPRODUCT((raw!$A$2:$A$3691='(2020-21)'!$A$2)*(raw!$B$2:$B$3691='(2020-21)'!$A54)*(raw!$E$2:$E$3691='(2020-21)'!$B$6:$E$6)*(raw!$F$2:$F$3691='(2020-21)'!D$7)*(raw!$G$2:$G$3691))</f>
        <v>0</v>
      </c>
      <c r="E54" s="15">
        <f t="shared" si="0"/>
        <v>0.25</v>
      </c>
      <c r="F54" s="19"/>
      <c r="G54" s="19">
        <f>SUMPRODUCT((raw!$A$2:$A$3691='(2020-21)'!$A$2)*(raw!$B$2:$B$3691='(2020-21)'!$A54)*(raw!$E$2:$E$3691='(2020-21)'!$G$6)*(raw!$F$2:$F$3691='(2020-21)'!G$7)*(raw!$G$2:$G$3691))</f>
        <v>0</v>
      </c>
      <c r="H54" s="19">
        <f>SUMPRODUCT((raw!$A$2:$A$3691='(2020-21)'!$A$2)*(raw!$B$2:$B$3691='(2020-21)'!$A54)*(raw!$E$2:$E$3691='(2020-21)'!$G$6)*(raw!$F$2:$F$3691='(2020-21)'!H$7)*(raw!$G$2:$G$3691))</f>
        <v>0</v>
      </c>
      <c r="I54" s="19">
        <f>SUMPRODUCT((raw!$A$2:$A$3691='(2020-21)'!$A$2)*(raw!$B$2:$B$3691='(2020-21)'!$A54)*(raw!$E$2:$E$3691='(2020-21)'!$G$6)*(raw!$F$2:$F$3691='(2020-21)'!I$7)*(raw!$G$2:$G$3691))</f>
        <v>0</v>
      </c>
      <c r="J54" s="15" t="str">
        <f t="shared" si="1"/>
        <v>-</v>
      </c>
      <c r="K54" s="19"/>
      <c r="L54" s="14">
        <f t="shared" si="6"/>
        <v>51</v>
      </c>
      <c r="M54" s="14">
        <f t="shared" si="7"/>
        <v>17</v>
      </c>
      <c r="N54" s="14">
        <f t="shared" si="8"/>
        <v>0</v>
      </c>
      <c r="O54" s="15">
        <f t="shared" si="2"/>
        <v>0.25</v>
      </c>
      <c r="P54" s="19"/>
      <c r="Q54" s="19">
        <f>SUMPRODUCT((raw!$A$2:$A$3691='(2020-21)'!$A$2)*(raw!$B$2:$B$3691='(2020-21)'!$A54)*(raw!$E$2:$E$3691='(2020-21)'!$Q$6)*(raw!$F$2:$F$3691='(2020-21)'!Q$7)*(raw!$G$2:$G$3691))</f>
        <v>1</v>
      </c>
      <c r="R54" s="19">
        <f>SUMPRODUCT((raw!$A$2:$A$3691='(2020-21)'!$A$2)*(raw!$B$2:$B$3691='(2020-21)'!$A54)*(raw!$E$2:$E$3691='(2020-21)'!$Q$6)*(raw!$F$2:$F$3691='(2020-21)'!R$7)*(raw!$G$2:$G$3691))</f>
        <v>7</v>
      </c>
      <c r="S54" s="19">
        <f>SUMPRODUCT((raw!$A$2:$A$3691='(2020-21)'!$A$2)*(raw!$B$2:$B$3691='(2020-21)'!$A54)*(raw!$E$2:$E$3691='(2020-21)'!$Q$6)*(raw!$F$2:$F$3691='(2020-21)'!S$7)*(raw!$G$2:$G$3691))</f>
        <v>0</v>
      </c>
      <c r="T54" s="15">
        <f t="shared" si="3"/>
        <v>0.875</v>
      </c>
      <c r="U54" s="19"/>
      <c r="V54" s="19">
        <f>SUMPRODUCT((raw!$A$2:$A$3691='(2020-21)'!$A$2)*(raw!$B$2:$B$3691='(2020-21)'!$A54)*(raw!$E$2:$E$3691='(2020-21)'!$V$6)*(raw!$F$2:$F$3691='(2020-21)'!V$7)*(raw!$G$2:$G$3691))</f>
        <v>16</v>
      </c>
      <c r="W54" s="19">
        <f>SUMPRODUCT((raw!$A$2:$A$3691='(2020-21)'!$A$2)*(raw!$B$2:$B$3691='(2020-21)'!$A54)*(raw!$E$2:$E$3691='(2020-21)'!$V$6)*(raw!$F$2:$F$3691='(2020-21)'!W$7)*(raw!$G$2:$G$3691))</f>
        <v>16</v>
      </c>
      <c r="X54" s="19">
        <f>SUMPRODUCT((raw!$A$2:$A$3691='(2020-21)'!$A$2)*(raw!$B$2:$B$3691='(2020-21)'!$A54)*(raw!$E$2:$E$3691='(2020-21)'!$V$6)*(raw!$F$2:$F$3691='(2020-21)'!X$7)*(raw!$G$2:$G$3691))</f>
        <v>0</v>
      </c>
      <c r="Y54" s="15">
        <f t="shared" si="4"/>
        <v>0.5</v>
      </c>
      <c r="Z54" s="19"/>
      <c r="AA54" s="14">
        <f t="shared" si="9"/>
        <v>68</v>
      </c>
      <c r="AB54" s="14">
        <f t="shared" si="10"/>
        <v>40</v>
      </c>
      <c r="AC54" s="14">
        <f t="shared" si="11"/>
        <v>0</v>
      </c>
      <c r="AD54" s="15">
        <f t="shared" si="5"/>
        <v>0.37037037037037035</v>
      </c>
      <c r="AE54" s="16"/>
      <c r="AF54" s="16"/>
      <c r="AG54" s="16"/>
      <c r="AH54" s="16"/>
      <c r="AI54" s="16"/>
      <c r="AJ54" s="16"/>
      <c r="AK54" s="16"/>
      <c r="AL54" s="16"/>
      <c r="AM54" s="16"/>
    </row>
    <row r="55" spans="1:39" s="6" customFormat="1" ht="15" customHeight="1" x14ac:dyDescent="0.3">
      <c r="A55" s="2" t="s">
        <v>57</v>
      </c>
      <c r="B55" s="19">
        <f>SUMPRODUCT((raw!$A$2:$A$3691='(2020-21)'!$A$2)*(raw!$B$2:$B$3691='(2020-21)'!$A55)*(raw!$E$2:$E$3691='(2020-21)'!$B$6:$E$6)*(raw!$F$2:$F$3691='(2020-21)'!B$7)*(raw!$G$2:$G$3691))</f>
        <v>26</v>
      </c>
      <c r="C55" s="19">
        <f>SUMPRODUCT((raw!$A$2:$A$3691='(2020-21)'!$A$2)*(raw!$B$2:$B$3691='(2020-21)'!$A55)*(raw!$E$2:$E$3691='(2020-21)'!$B$6:$E$6)*(raw!$F$2:$F$3691='(2020-21)'!C$7)*(raw!$G$2:$G$3691))</f>
        <v>1</v>
      </c>
      <c r="D55" s="19">
        <f>SUMPRODUCT((raw!$A$2:$A$3691='(2020-21)'!$A$2)*(raw!$B$2:$B$3691='(2020-21)'!$A55)*(raw!$E$2:$E$3691='(2020-21)'!$B$6:$E$6)*(raw!$F$2:$F$3691='(2020-21)'!D$7)*(raw!$G$2:$G$3691))</f>
        <v>0</v>
      </c>
      <c r="E55" s="15">
        <f t="shared" si="0"/>
        <v>3.7037037037037035E-2</v>
      </c>
      <c r="F55" s="19"/>
      <c r="G55" s="19">
        <f>SUMPRODUCT((raw!$A$2:$A$3691='(2020-21)'!$A$2)*(raw!$B$2:$B$3691='(2020-21)'!$A55)*(raw!$E$2:$E$3691='(2020-21)'!$G$6)*(raw!$F$2:$F$3691='(2020-21)'!G$7)*(raw!$G$2:$G$3691))</f>
        <v>19</v>
      </c>
      <c r="H55" s="19">
        <f>SUMPRODUCT((raw!$A$2:$A$3691='(2020-21)'!$A$2)*(raw!$B$2:$B$3691='(2020-21)'!$A55)*(raw!$E$2:$E$3691='(2020-21)'!$G$6)*(raw!$F$2:$F$3691='(2020-21)'!H$7)*(raw!$G$2:$G$3691))</f>
        <v>4</v>
      </c>
      <c r="I55" s="19">
        <f>SUMPRODUCT((raw!$A$2:$A$3691='(2020-21)'!$A$2)*(raw!$B$2:$B$3691='(2020-21)'!$A55)*(raw!$E$2:$E$3691='(2020-21)'!$G$6)*(raw!$F$2:$F$3691='(2020-21)'!I$7)*(raw!$G$2:$G$3691))</f>
        <v>0</v>
      </c>
      <c r="J55" s="15">
        <f t="shared" si="1"/>
        <v>0.17391304347826086</v>
      </c>
      <c r="K55" s="19"/>
      <c r="L55" s="14">
        <f t="shared" si="6"/>
        <v>45</v>
      </c>
      <c r="M55" s="14">
        <f t="shared" si="7"/>
        <v>5</v>
      </c>
      <c r="N55" s="14">
        <f t="shared" si="8"/>
        <v>0</v>
      </c>
      <c r="O55" s="15">
        <f t="shared" si="2"/>
        <v>0.1</v>
      </c>
      <c r="P55" s="19"/>
      <c r="Q55" s="19">
        <f>SUMPRODUCT((raw!$A$2:$A$3691='(2020-21)'!$A$2)*(raw!$B$2:$B$3691='(2020-21)'!$A55)*(raw!$E$2:$E$3691='(2020-21)'!$Q$6)*(raw!$F$2:$F$3691='(2020-21)'!Q$7)*(raw!$G$2:$G$3691))</f>
        <v>3</v>
      </c>
      <c r="R55" s="19">
        <f>SUMPRODUCT((raw!$A$2:$A$3691='(2020-21)'!$A$2)*(raw!$B$2:$B$3691='(2020-21)'!$A55)*(raw!$E$2:$E$3691='(2020-21)'!$Q$6)*(raw!$F$2:$F$3691='(2020-21)'!R$7)*(raw!$G$2:$G$3691))</f>
        <v>2</v>
      </c>
      <c r="S55" s="19">
        <f>SUMPRODUCT((raw!$A$2:$A$3691='(2020-21)'!$A$2)*(raw!$B$2:$B$3691='(2020-21)'!$A55)*(raw!$E$2:$E$3691='(2020-21)'!$Q$6)*(raw!$F$2:$F$3691='(2020-21)'!S$7)*(raw!$G$2:$G$3691))</f>
        <v>0</v>
      </c>
      <c r="T55" s="15">
        <f t="shared" si="3"/>
        <v>0.4</v>
      </c>
      <c r="U55" s="19"/>
      <c r="V55" s="19">
        <f>SUMPRODUCT((raw!$A$2:$A$3691='(2020-21)'!$A$2)*(raw!$B$2:$B$3691='(2020-21)'!$A55)*(raw!$E$2:$E$3691='(2020-21)'!$V$6)*(raw!$F$2:$F$3691='(2020-21)'!V$7)*(raw!$G$2:$G$3691))</f>
        <v>15</v>
      </c>
      <c r="W55" s="19">
        <f>SUMPRODUCT((raw!$A$2:$A$3691='(2020-21)'!$A$2)*(raw!$B$2:$B$3691='(2020-21)'!$A55)*(raw!$E$2:$E$3691='(2020-21)'!$V$6)*(raw!$F$2:$F$3691='(2020-21)'!W$7)*(raw!$G$2:$G$3691))</f>
        <v>10</v>
      </c>
      <c r="X55" s="19">
        <f>SUMPRODUCT((raw!$A$2:$A$3691='(2020-21)'!$A$2)*(raw!$B$2:$B$3691='(2020-21)'!$A55)*(raw!$E$2:$E$3691='(2020-21)'!$V$6)*(raw!$F$2:$F$3691='(2020-21)'!X$7)*(raw!$G$2:$G$3691))</f>
        <v>0</v>
      </c>
      <c r="Y55" s="15">
        <f t="shared" si="4"/>
        <v>0.4</v>
      </c>
      <c r="Z55" s="19"/>
      <c r="AA55" s="14">
        <f t="shared" si="9"/>
        <v>63</v>
      </c>
      <c r="AB55" s="14">
        <f t="shared" si="10"/>
        <v>17</v>
      </c>
      <c r="AC55" s="14">
        <f t="shared" si="11"/>
        <v>0</v>
      </c>
      <c r="AD55" s="15">
        <f t="shared" si="5"/>
        <v>0.21249999999999999</v>
      </c>
      <c r="AE55" s="16"/>
      <c r="AF55" s="16"/>
      <c r="AG55" s="16"/>
      <c r="AH55" s="16"/>
      <c r="AI55" s="16"/>
      <c r="AJ55" s="16"/>
      <c r="AK55" s="16"/>
      <c r="AL55" s="16"/>
      <c r="AM55" s="16"/>
    </row>
    <row r="56" spans="1:39" s="6" customFormat="1" ht="15" customHeight="1" thickBot="1" x14ac:dyDescent="0.35">
      <c r="A56" s="23" t="s">
        <v>58</v>
      </c>
      <c r="B56" s="24">
        <f>SUMPRODUCT((raw!$A$2:$A$3691='(2020-21)'!$A$2)*(raw!$B$2:$B$3691='(2020-21)'!$A56)*(raw!$E$2:$E$3691='(2020-21)'!$B$6:$E$6)*(raw!$F$2:$F$3691='(2020-21)'!B$7)*(raw!$G$2:$G$3691))</f>
        <v>214</v>
      </c>
      <c r="C56" s="24">
        <f>SUMPRODUCT((raw!$A$2:$A$3691='(2020-21)'!$A$2)*(raw!$B$2:$B$3691='(2020-21)'!$A56)*(raw!$E$2:$E$3691='(2020-21)'!$B$6:$E$6)*(raw!$F$2:$F$3691='(2020-21)'!C$7)*(raw!$G$2:$G$3691))</f>
        <v>55</v>
      </c>
      <c r="D56" s="24">
        <f>SUMPRODUCT((raw!$A$2:$A$3691='(2020-21)'!$A$2)*(raw!$B$2:$B$3691='(2020-21)'!$A56)*(raw!$E$2:$E$3691='(2020-21)'!$B$6:$E$6)*(raw!$F$2:$F$3691='(2020-21)'!D$7)*(raw!$G$2:$G$3691))</f>
        <v>0</v>
      </c>
      <c r="E56" s="26">
        <f t="shared" si="0"/>
        <v>0.20446096654275092</v>
      </c>
      <c r="F56" s="24"/>
      <c r="G56" s="24">
        <f>SUMPRODUCT((raw!$A$2:$A$3691='(2020-21)'!$A$2)*(raw!$B$2:$B$3691='(2020-21)'!$A56)*(raw!$E$2:$E$3691='(2020-21)'!$G$6)*(raw!$F$2:$F$3691='(2020-21)'!G$7)*(raw!$G$2:$G$3691))</f>
        <v>0</v>
      </c>
      <c r="H56" s="24">
        <f>SUMPRODUCT((raw!$A$2:$A$3691='(2020-21)'!$A$2)*(raw!$B$2:$B$3691='(2020-21)'!$A56)*(raw!$E$2:$E$3691='(2020-21)'!$G$6)*(raw!$F$2:$F$3691='(2020-21)'!H$7)*(raw!$G$2:$G$3691))</f>
        <v>0</v>
      </c>
      <c r="I56" s="24">
        <f>SUMPRODUCT((raw!$A$2:$A$3691='(2020-21)'!$A$2)*(raw!$B$2:$B$3691='(2020-21)'!$A56)*(raw!$E$2:$E$3691='(2020-21)'!$G$6)*(raw!$F$2:$F$3691='(2020-21)'!I$7)*(raw!$G$2:$G$3691))</f>
        <v>0</v>
      </c>
      <c r="J56" s="26" t="str">
        <f t="shared" si="1"/>
        <v>-</v>
      </c>
      <c r="K56" s="24"/>
      <c r="L56" s="25">
        <f t="shared" si="6"/>
        <v>214</v>
      </c>
      <c r="M56" s="25">
        <f t="shared" si="7"/>
        <v>55</v>
      </c>
      <c r="N56" s="25">
        <f t="shared" si="8"/>
        <v>0</v>
      </c>
      <c r="O56" s="26">
        <f t="shared" si="2"/>
        <v>0.20446096654275092</v>
      </c>
      <c r="P56" s="24"/>
      <c r="Q56" s="24">
        <f>SUMPRODUCT((raw!$A$2:$A$3691='(2020-21)'!$A$2)*(raw!$B$2:$B$3691='(2020-21)'!$A56)*(raw!$E$2:$E$3691='(2020-21)'!$Q$6)*(raw!$F$2:$F$3691='(2020-21)'!Q$7)*(raw!$G$2:$G$3691))</f>
        <v>1</v>
      </c>
      <c r="R56" s="24">
        <f>SUMPRODUCT((raw!$A$2:$A$3691='(2020-21)'!$A$2)*(raw!$B$2:$B$3691='(2020-21)'!$A56)*(raw!$E$2:$E$3691='(2020-21)'!$Q$6)*(raw!$F$2:$F$3691='(2020-21)'!R$7)*(raw!$G$2:$G$3691))</f>
        <v>3</v>
      </c>
      <c r="S56" s="24">
        <f>SUMPRODUCT((raw!$A$2:$A$3691='(2020-21)'!$A$2)*(raw!$B$2:$B$3691='(2020-21)'!$A56)*(raw!$E$2:$E$3691='(2020-21)'!$Q$6)*(raw!$F$2:$F$3691='(2020-21)'!S$7)*(raw!$G$2:$G$3691))</f>
        <v>0</v>
      </c>
      <c r="T56" s="26">
        <f t="shared" si="3"/>
        <v>0.75</v>
      </c>
      <c r="U56" s="24"/>
      <c r="V56" s="24">
        <f>SUMPRODUCT((raw!$A$2:$A$3691='(2020-21)'!$A$2)*(raw!$B$2:$B$3691='(2020-21)'!$A56)*(raw!$E$2:$E$3691='(2020-21)'!$V$6)*(raw!$F$2:$F$3691='(2020-21)'!V$7)*(raw!$G$2:$G$3691))</f>
        <v>51</v>
      </c>
      <c r="W56" s="24">
        <f>SUMPRODUCT((raw!$A$2:$A$3691='(2020-21)'!$A$2)*(raw!$B$2:$B$3691='(2020-21)'!$A56)*(raw!$E$2:$E$3691='(2020-21)'!$V$6)*(raw!$F$2:$F$3691='(2020-21)'!W$7)*(raw!$G$2:$G$3691))</f>
        <v>50</v>
      </c>
      <c r="X56" s="24">
        <f>SUMPRODUCT((raw!$A$2:$A$3691='(2020-21)'!$A$2)*(raw!$B$2:$B$3691='(2020-21)'!$A56)*(raw!$E$2:$E$3691='(2020-21)'!$V$6)*(raw!$F$2:$F$3691='(2020-21)'!X$7)*(raw!$G$2:$G$3691))</f>
        <v>0</v>
      </c>
      <c r="Y56" s="26">
        <f t="shared" si="4"/>
        <v>0.49504950495049505</v>
      </c>
      <c r="Z56" s="24"/>
      <c r="AA56" s="25">
        <f t="shared" si="9"/>
        <v>266</v>
      </c>
      <c r="AB56" s="25">
        <f t="shared" si="10"/>
        <v>108</v>
      </c>
      <c r="AC56" s="25">
        <f t="shared" si="11"/>
        <v>0</v>
      </c>
      <c r="AD56" s="26">
        <f t="shared" si="5"/>
        <v>0.28877005347593582</v>
      </c>
      <c r="AE56" s="16"/>
      <c r="AF56" s="16"/>
      <c r="AG56" s="16"/>
      <c r="AH56" s="16"/>
      <c r="AI56" s="16"/>
      <c r="AJ56" s="16"/>
      <c r="AK56" s="16"/>
      <c r="AL56" s="16"/>
      <c r="AM56" s="16"/>
    </row>
    <row r="57" spans="1:39" s="6" customFormat="1" ht="1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6"/>
      <c r="AF57" s="16"/>
      <c r="AG57" s="16"/>
      <c r="AH57" s="16"/>
      <c r="AI57" s="16"/>
      <c r="AJ57" s="16"/>
      <c r="AK57" s="16"/>
      <c r="AL57" s="16"/>
      <c r="AM57" s="16"/>
    </row>
    <row r="58" spans="1:39" x14ac:dyDescent="0.3">
      <c r="A58" s="138" t="s">
        <v>59</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1:39" x14ac:dyDescent="0.3">
      <c r="A59" s="119" t="s">
        <v>69</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row>
    <row r="60" spans="1:39" x14ac:dyDescent="0.3">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row>
    <row r="61" spans="1:39" x14ac:dyDescent="0.3">
      <c r="A61" s="28" t="s">
        <v>60</v>
      </c>
    </row>
    <row r="62" spans="1:39" x14ac:dyDescent="0.3">
      <c r="A62" s="137" t="s">
        <v>61</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row>
    <row r="64" spans="1:39" x14ac:dyDescent="0.3">
      <c r="A64" s="5" t="s">
        <v>62</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0" x14ac:dyDescent="0.3">
      <c r="A65" s="30" t="s">
        <v>63</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7" spans="1:30" x14ac:dyDescent="0.3">
      <c r="A67" s="138" t="s">
        <v>64</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row>
    <row r="68" spans="1:30" x14ac:dyDescent="0.3">
      <c r="A68" s="30"/>
      <c r="AD68" s="6"/>
    </row>
    <row r="69" spans="1:30" x14ac:dyDescent="0.3">
      <c r="A69" s="5" t="s">
        <v>65</v>
      </c>
      <c r="AD69" s="37" t="s">
        <v>66</v>
      </c>
    </row>
    <row r="70" spans="1:30" x14ac:dyDescent="0.3">
      <c r="A70" s="30" t="s">
        <v>67</v>
      </c>
      <c r="AD70" s="31" t="s">
        <v>68</v>
      </c>
    </row>
  </sheetData>
  <mergeCells count="11">
    <mergeCell ref="A58:AD58"/>
    <mergeCell ref="A60:AD60"/>
    <mergeCell ref="A62:AD62"/>
    <mergeCell ref="A67:AD67"/>
    <mergeCell ref="A1:AD1"/>
    <mergeCell ref="B6:E6"/>
    <mergeCell ref="G6:J6"/>
    <mergeCell ref="L6:O6"/>
    <mergeCell ref="Q6:T6"/>
    <mergeCell ref="V6:Y6"/>
    <mergeCell ref="AA6:AD6"/>
  </mergeCells>
  <hyperlinks>
    <hyperlink ref="A65" r:id="rId1" xr:uid="{A9234134-E30B-477D-8713-CBFF65C0204A}"/>
    <hyperlink ref="A70" r:id="rId2" xr:uid="{1994D5B1-DBEC-4082-B34D-EF3685171891}"/>
    <hyperlink ref="AD69" r:id="rId3" xr:uid="{DB0A6E2D-6E64-4242-A82D-8AAF316AE798}"/>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70"/>
  <sheetViews>
    <sheetView zoomScale="90" zoomScaleNormal="90" workbookViewId="0">
      <selection activeCell="O8" sqref="O8"/>
    </sheetView>
  </sheetViews>
  <sheetFormatPr defaultColWidth="9.21875" defaultRowHeight="14.4" x14ac:dyDescent="0.3"/>
  <cols>
    <col min="1" max="1" width="50.77734375" style="5" customWidth="1"/>
    <col min="2" max="4" width="8.77734375" style="5" customWidth="1"/>
    <col min="5" max="5" width="12.77734375" style="5" customWidth="1"/>
    <col min="6" max="6" width="2.77734375" style="5" customWidth="1"/>
    <col min="7" max="9" width="8.77734375" style="5" customWidth="1"/>
    <col min="10" max="10" width="12.77734375" style="5" customWidth="1"/>
    <col min="11" max="11" width="2.77734375" style="5" customWidth="1"/>
    <col min="12" max="14" width="8.77734375" style="5" customWidth="1"/>
    <col min="15" max="15" width="12.77734375" style="5" customWidth="1"/>
    <col min="16" max="16" width="3.77734375" style="5" customWidth="1"/>
    <col min="17" max="19" width="8.77734375" style="5" customWidth="1"/>
    <col min="20" max="20" width="12.77734375" style="5" customWidth="1"/>
    <col min="21" max="21" width="2.77734375" style="5" customWidth="1"/>
    <col min="22" max="24" width="8.77734375" style="5" customWidth="1"/>
    <col min="25" max="25" width="12.77734375" style="5" customWidth="1"/>
    <col min="26" max="26" width="2.77734375" style="5" customWidth="1"/>
    <col min="27" max="29" width="8.77734375" style="5" customWidth="1"/>
    <col min="30" max="30" width="12.77734375" style="5" customWidth="1"/>
    <col min="31" max="16384" width="9.21875" style="5"/>
  </cols>
  <sheetData>
    <row r="1" spans="1:40" s="1" customFormat="1" ht="23.25" customHeight="1" x14ac:dyDescent="0.45">
      <c r="A1" s="139" t="s">
        <v>72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40" s="1" customFormat="1" ht="17.25" customHeight="1" x14ac:dyDescent="0.4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row>
    <row r="3" spans="1:40" s="4" customFormat="1" x14ac:dyDescent="0.3">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40" s="4" customFormat="1" x14ac:dyDescent="0.3">
      <c r="A4" s="142" t="str">
        <f>FIRE1120!A3</f>
        <v>2020-21</v>
      </c>
      <c r="B4" s="142"/>
      <c r="C4" s="142"/>
      <c r="D4" s="142"/>
      <c r="E4" s="142"/>
      <c r="F4" s="142"/>
      <c r="G4" s="142"/>
      <c r="H4" s="142"/>
      <c r="I4" s="142"/>
      <c r="J4" s="142"/>
      <c r="K4" s="142"/>
      <c r="L4" s="142"/>
      <c r="M4" s="142"/>
      <c r="N4" s="142"/>
      <c r="O4" s="142"/>
      <c r="P4" s="3"/>
      <c r="Q4" s="3"/>
      <c r="R4" s="3"/>
      <c r="S4" s="3"/>
      <c r="T4" s="3"/>
      <c r="U4" s="3"/>
      <c r="V4" s="3"/>
      <c r="W4" s="3"/>
      <c r="X4" s="3"/>
      <c r="Y4" s="3"/>
      <c r="Z4" s="3"/>
      <c r="AA4" s="3"/>
      <c r="AB4" s="3"/>
      <c r="AC4" s="3"/>
      <c r="AD4" s="3"/>
    </row>
    <row r="5" spans="1:40" s="4" customFormat="1" x14ac:dyDescent="0.3">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40" s="6" customFormat="1" ht="15.75" customHeight="1" thickBot="1" x14ac:dyDescent="0.35">
      <c r="A6" s="5"/>
      <c r="B6" s="140" t="s">
        <v>1</v>
      </c>
      <c r="C6" s="140"/>
      <c r="D6" s="140"/>
      <c r="E6" s="140"/>
      <c r="F6" s="3"/>
      <c r="G6" s="140" t="s">
        <v>70</v>
      </c>
      <c r="H6" s="140"/>
      <c r="I6" s="140"/>
      <c r="J6" s="140"/>
      <c r="K6" s="3"/>
      <c r="L6" s="141" t="s">
        <v>2</v>
      </c>
      <c r="M6" s="141"/>
      <c r="N6" s="141"/>
      <c r="O6" s="141"/>
      <c r="P6" s="3"/>
      <c r="Q6" s="140" t="s">
        <v>3</v>
      </c>
      <c r="R6" s="140"/>
      <c r="S6" s="140"/>
      <c r="T6" s="140"/>
      <c r="U6" s="3"/>
      <c r="V6" s="140" t="s">
        <v>4</v>
      </c>
      <c r="W6" s="140"/>
      <c r="X6" s="140"/>
      <c r="Y6" s="140"/>
      <c r="Z6" s="3"/>
      <c r="AA6" s="141" t="s">
        <v>5</v>
      </c>
      <c r="AB6" s="141"/>
      <c r="AC6" s="141"/>
      <c r="AD6" s="141"/>
    </row>
    <row r="7" spans="1:40" s="12" customFormat="1" ht="43.8" thickBot="1" x14ac:dyDescent="0.35">
      <c r="A7" s="7" t="s">
        <v>6</v>
      </c>
      <c r="B7" s="35" t="s">
        <v>7</v>
      </c>
      <c r="C7" s="35" t="s">
        <v>8</v>
      </c>
      <c r="D7" s="120" t="s">
        <v>182</v>
      </c>
      <c r="E7" s="9" t="s">
        <v>9</v>
      </c>
      <c r="F7" s="35"/>
      <c r="G7" s="35" t="s">
        <v>7</v>
      </c>
      <c r="H7" s="35" t="s">
        <v>8</v>
      </c>
      <c r="I7" s="120" t="s">
        <v>182</v>
      </c>
      <c r="J7" s="9" t="s">
        <v>9</v>
      </c>
      <c r="K7" s="35"/>
      <c r="L7" s="36" t="s">
        <v>7</v>
      </c>
      <c r="M7" s="36" t="s">
        <v>8</v>
      </c>
      <c r="N7" s="121" t="s">
        <v>182</v>
      </c>
      <c r="O7" s="11" t="s">
        <v>9</v>
      </c>
      <c r="P7" s="35"/>
      <c r="Q7" s="35" t="s">
        <v>7</v>
      </c>
      <c r="R7" s="35" t="s">
        <v>8</v>
      </c>
      <c r="S7" s="120" t="s">
        <v>182</v>
      </c>
      <c r="T7" s="9" t="s">
        <v>9</v>
      </c>
      <c r="U7" s="35"/>
      <c r="V7" s="35" t="s">
        <v>7</v>
      </c>
      <c r="W7" s="35" t="s">
        <v>8</v>
      </c>
      <c r="X7" s="120" t="s">
        <v>182</v>
      </c>
      <c r="Y7" s="9" t="s">
        <v>9</v>
      </c>
      <c r="Z7" s="35"/>
      <c r="AA7" s="36" t="s">
        <v>7</v>
      </c>
      <c r="AB7" s="36" t="s">
        <v>8</v>
      </c>
      <c r="AC7" s="121" t="s">
        <v>182</v>
      </c>
      <c r="AD7" s="11" t="s">
        <v>9</v>
      </c>
    </row>
    <row r="8" spans="1:40" s="6" customFormat="1" ht="15" customHeight="1" x14ac:dyDescent="0.3">
      <c r="A8" s="13" t="s">
        <v>10</v>
      </c>
      <c r="B8" s="14">
        <f ca="1">B9+B49</f>
        <v>1059</v>
      </c>
      <c r="C8" s="14">
        <f ca="1">C9+C49</f>
        <v>184</v>
      </c>
      <c r="D8" s="14">
        <f ca="1">D9+D49</f>
        <v>2</v>
      </c>
      <c r="E8" s="15">
        <f t="shared" ref="E8:E9" ca="1" si="0">IF(D8="..", (IF(B8+C8=0,"-",(C8/(B8+C8)))),(IF(B8+C8+D8=0,"-",(C8/(B8+C8+D8)))))</f>
        <v>0.14779116465863454</v>
      </c>
      <c r="F8" s="14"/>
      <c r="G8" s="14">
        <f ca="1">G9+G49</f>
        <v>1044</v>
      </c>
      <c r="H8" s="14">
        <f ca="1">H9+H49</f>
        <v>144</v>
      </c>
      <c r="I8" s="14">
        <f ca="1">I9+I49</f>
        <v>6</v>
      </c>
      <c r="J8" s="15">
        <f t="shared" ref="J8:J56" ca="1" si="1">IF(I8="..", (IF(G8+H8=0,"-",(H8/(G8+H8)))),(IF(G8+H8+I8=0,"-",(H8/(G8+H8+I8)))))</f>
        <v>0.12060301507537688</v>
      </c>
      <c r="K8" s="14"/>
      <c r="L8" s="14">
        <f ca="1">L9+L49</f>
        <v>2103</v>
      </c>
      <c r="M8" s="14">
        <f ca="1">M9+M49</f>
        <v>328</v>
      </c>
      <c r="N8" s="14">
        <f ca="1">N9+N49</f>
        <v>8</v>
      </c>
      <c r="O8" s="15">
        <f t="shared" ref="O8:O56" ca="1" si="2">IF(N8="..", (IF(L8+M8=0,"-",(M8/(L8+M8)))),(IF(L8+M8+N8=0,"-",(M8/(L8+M8+N8)))))</f>
        <v>0.13448134481344814</v>
      </c>
      <c r="P8" s="14"/>
      <c r="Q8" s="14">
        <f ca="1">Q9+Q49</f>
        <v>28</v>
      </c>
      <c r="R8" s="14">
        <f ca="1">R9+R49</f>
        <v>50</v>
      </c>
      <c r="S8" s="14">
        <f ca="1">S9+S49</f>
        <v>0</v>
      </c>
      <c r="T8" s="15">
        <f t="shared" ref="T8:T56" ca="1" si="3">IF(S8="..", (IF(Q8+R8=0,"-",(R8/(Q8+R8)))),(IF(Q8+R8+S8=0,"-",(R8/(Q8+R8+S8)))))</f>
        <v>0.64102564102564108</v>
      </c>
      <c r="U8" s="14"/>
      <c r="V8" s="14">
        <f ca="1">V9+V49</f>
        <v>450</v>
      </c>
      <c r="W8" s="14">
        <f ca="1">W9+W49</f>
        <v>483</v>
      </c>
      <c r="X8" s="14">
        <f ca="1">X9+X49</f>
        <v>2</v>
      </c>
      <c r="Y8" s="15">
        <f t="shared" ref="Y8:Y56" ca="1" si="4">IF(X8="..", (IF(V8+W8=0,"-",(W8/(V8+W8)))),(IF(V8+W8+X8=0,"-",(W8/(V8+W8+X8)))))</f>
        <v>0.51657754010695189</v>
      </c>
      <c r="Z8" s="14"/>
      <c r="AA8" s="14">
        <f ca="1">AA9+AA49</f>
        <v>2581</v>
      </c>
      <c r="AB8" s="14">
        <f ca="1">AB9+AB49</f>
        <v>861</v>
      </c>
      <c r="AC8" s="14">
        <f ca="1">AC9+AC49</f>
        <v>10</v>
      </c>
      <c r="AD8" s="15">
        <f t="shared" ref="AD8:AD56" ca="1" si="5">IF(AC8="..", (IF(AA8+AB8=0,"-",(AB8/(AA8+AB8)))),(IF(AA8+AB8+AC8=0,"-",(AB8/(AA8+AB8+AC8)))))</f>
        <v>0.24942062572421783</v>
      </c>
      <c r="AE8" s="16"/>
      <c r="AF8" s="16"/>
      <c r="AG8" s="16"/>
      <c r="AH8" s="16"/>
      <c r="AI8" s="16"/>
      <c r="AJ8" s="16"/>
      <c r="AK8" s="16"/>
      <c r="AL8" s="16"/>
      <c r="AM8" s="16"/>
      <c r="AN8" s="17"/>
    </row>
    <row r="9" spans="1:40" s="6" customFormat="1" ht="15" customHeight="1" x14ac:dyDescent="0.3">
      <c r="A9" s="18" t="s">
        <v>11</v>
      </c>
      <c r="B9" s="14">
        <f ca="1">SUM(B10:B48)</f>
        <v>572</v>
      </c>
      <c r="C9" s="14">
        <f ca="1">SUM(C10:C48)</f>
        <v>91</v>
      </c>
      <c r="D9" s="14">
        <f ca="1">SUM(D10:D48)</f>
        <v>2</v>
      </c>
      <c r="E9" s="15">
        <f t="shared" ca="1" si="0"/>
        <v>0.1368421052631579</v>
      </c>
      <c r="F9" s="14"/>
      <c r="G9" s="14">
        <f ca="1">SUM(G10:G48)</f>
        <v>975</v>
      </c>
      <c r="H9" s="14">
        <f ca="1">SUM(H10:H48)</f>
        <v>134</v>
      </c>
      <c r="I9" s="14">
        <f ca="1">SUM(I10:I48)</f>
        <v>6</v>
      </c>
      <c r="J9" s="15">
        <f t="shared" ca="1" si="1"/>
        <v>0.12017937219730941</v>
      </c>
      <c r="K9" s="14"/>
      <c r="L9" s="14">
        <f ca="1">SUM(L10:L48)</f>
        <v>1547</v>
      </c>
      <c r="M9" s="14">
        <f ca="1">SUM(M10:M48)</f>
        <v>225</v>
      </c>
      <c r="N9" s="14">
        <f ca="1">SUM(N10:N48)</f>
        <v>8</v>
      </c>
      <c r="O9" s="15">
        <f t="shared" ca="1" si="2"/>
        <v>0.12640449438202248</v>
      </c>
      <c r="P9" s="14"/>
      <c r="Q9" s="14">
        <f ca="1">SUM(Q10:Q48)</f>
        <v>21</v>
      </c>
      <c r="R9" s="14">
        <f ca="1">SUM(R10:R48)</f>
        <v>32</v>
      </c>
      <c r="S9" s="14">
        <f ca="1">SUM(S10:S48)</f>
        <v>0</v>
      </c>
      <c r="T9" s="15">
        <f t="shared" ca="1" si="3"/>
        <v>0.60377358490566035</v>
      </c>
      <c r="U9" s="14"/>
      <c r="V9" s="14">
        <f ca="1">SUM(V10:V48)</f>
        <v>339</v>
      </c>
      <c r="W9" s="14">
        <f ca="1">SUM(W10:W48)</f>
        <v>384</v>
      </c>
      <c r="X9" s="14">
        <f ca="1">SUM(X10:X48)</f>
        <v>2</v>
      </c>
      <c r="Y9" s="15">
        <f t="shared" ca="1" si="4"/>
        <v>0.52965517241379312</v>
      </c>
      <c r="Z9" s="14"/>
      <c r="AA9" s="14">
        <f ca="1">SUM(AA10:AA48)</f>
        <v>1907</v>
      </c>
      <c r="AB9" s="14">
        <f ca="1">SUM(AB10:AB48)</f>
        <v>641</v>
      </c>
      <c r="AC9" s="14">
        <f ca="1">SUM(AC10:AC48)</f>
        <v>10</v>
      </c>
      <c r="AD9" s="15">
        <f t="shared" ca="1" si="5"/>
        <v>0.25058639562157936</v>
      </c>
      <c r="AE9" s="16"/>
      <c r="AF9" s="16"/>
      <c r="AG9" s="16"/>
      <c r="AH9" s="16"/>
      <c r="AI9" s="16"/>
      <c r="AJ9" s="16"/>
      <c r="AK9" s="16"/>
      <c r="AL9" s="16"/>
      <c r="AM9" s="16"/>
    </row>
    <row r="10" spans="1:40" s="6" customFormat="1" ht="15" customHeight="1" x14ac:dyDescent="0.3">
      <c r="A10" s="5" t="s">
        <v>12</v>
      </c>
      <c r="B10" s="19">
        <f ca="1">INDIRECT("'("&amp;$A$4&amp;")'!b10")</f>
        <v>17</v>
      </c>
      <c r="C10" s="19">
        <f ca="1">INDIRECT("'("&amp;$A$4&amp;")'!c10")</f>
        <v>3</v>
      </c>
      <c r="D10" s="19">
        <f ca="1">INDIRECT("'("&amp;$A$4&amp;")'!D10")</f>
        <v>0</v>
      </c>
      <c r="E10" s="15">
        <f ca="1">IF(D10="..", (IF(B10+C10=0,"-",(C10/(B10+C10)))),(IF(B10+C10+D10=0,"-",(C10/(B10+C10+D10)))))</f>
        <v>0.15</v>
      </c>
      <c r="F10" s="19"/>
      <c r="G10" s="19">
        <f ca="1">INDIRECT("'("&amp;$A$4&amp;")'!G10")</f>
        <v>11</v>
      </c>
      <c r="H10" s="19">
        <f ca="1">INDIRECT("'("&amp;$A$4&amp;")'!H10")</f>
        <v>1</v>
      </c>
      <c r="I10" s="19">
        <f ca="1">INDIRECT("'("&amp;$A$4&amp;")'!I10")</f>
        <v>0</v>
      </c>
      <c r="J10" s="15">
        <f t="shared" ca="1" si="1"/>
        <v>8.3333333333333329E-2</v>
      </c>
      <c r="K10" s="19"/>
      <c r="L10" s="14">
        <f ca="1">B10+G10</f>
        <v>28</v>
      </c>
      <c r="M10" s="14">
        <f ca="1">C10+H10</f>
        <v>4</v>
      </c>
      <c r="N10" s="14">
        <f ca="1">INDIRECT("'("&amp;$A$4&amp;")'!N10")</f>
        <v>0</v>
      </c>
      <c r="O10" s="15">
        <f t="shared" ca="1" si="2"/>
        <v>0.125</v>
      </c>
      <c r="P10" s="19"/>
      <c r="Q10" s="19">
        <f ca="1">INDIRECT("'("&amp;$A$4&amp;")'!Q10")</f>
        <v>1</v>
      </c>
      <c r="R10" s="19">
        <f ca="1">INDIRECT("'("&amp;$A$4&amp;")'!R10")</f>
        <v>1</v>
      </c>
      <c r="S10" s="19">
        <f ca="1">INDIRECT("'("&amp;$A$4&amp;")'!S10")</f>
        <v>0</v>
      </c>
      <c r="T10" s="15">
        <f t="shared" ca="1" si="3"/>
        <v>0.5</v>
      </c>
      <c r="U10" s="19"/>
      <c r="V10" s="19">
        <f ca="1">INDIRECT("'("&amp;$A$4&amp;")'!V10")</f>
        <v>10</v>
      </c>
      <c r="W10" s="19">
        <f ca="1">INDIRECT("'("&amp;$A$4&amp;")'!W10")</f>
        <v>9</v>
      </c>
      <c r="X10" s="19">
        <f ca="1">INDIRECT("'("&amp;$A$4&amp;")'!X10")</f>
        <v>0</v>
      </c>
      <c r="Y10" s="15">
        <f t="shared" ca="1" si="4"/>
        <v>0.47368421052631576</v>
      </c>
      <c r="Z10" s="19"/>
      <c r="AA10" s="14">
        <f t="shared" ref="AA10:AA47" ca="1" si="6">L10+Q10+V10</f>
        <v>39</v>
      </c>
      <c r="AB10" s="14">
        <f t="shared" ref="AB10:AB47" ca="1" si="7">M10+R10+W10</f>
        <v>14</v>
      </c>
      <c r="AC10" s="14">
        <f ca="1">INDIRECT("'("&amp;$A$4&amp;")'!AC10")</f>
        <v>0</v>
      </c>
      <c r="AD10" s="15">
        <f t="shared" ca="1" si="5"/>
        <v>0.26415094339622641</v>
      </c>
      <c r="AE10" s="16"/>
      <c r="AF10" s="16"/>
      <c r="AG10" s="16"/>
      <c r="AH10" s="16"/>
      <c r="AI10" s="16"/>
      <c r="AJ10" s="16"/>
      <c r="AK10" s="16"/>
      <c r="AL10" s="16"/>
      <c r="AM10" s="16"/>
    </row>
    <row r="11" spans="1:40" s="6" customFormat="1" ht="15" customHeight="1" x14ac:dyDescent="0.3">
      <c r="A11" s="5" t="s">
        <v>13</v>
      </c>
      <c r="B11" s="19">
        <f ca="1">INDIRECT("'("&amp;$A$4&amp;")'!b11")</f>
        <v>24</v>
      </c>
      <c r="C11" s="19">
        <f ca="1">INDIRECT("'("&amp;$A$4&amp;")'!c11")</f>
        <v>2</v>
      </c>
      <c r="D11" s="19">
        <f ca="1">INDIRECT("'("&amp;$A$4&amp;")'!D11")</f>
        <v>0</v>
      </c>
      <c r="E11" s="15">
        <f t="shared" ref="E11:E56" ca="1" si="8">IF(D11="..", (IF(B11+C11=0,"-",(C11/(B11+C11)))),(IF(B11+C11+D11=0,"-",(C11/(B11+C11+D11)))))</f>
        <v>7.6923076923076927E-2</v>
      </c>
      <c r="F11" s="19"/>
      <c r="G11" s="19">
        <f ca="1">INDIRECT("'("&amp;$A$4&amp;")'!G11")</f>
        <v>13</v>
      </c>
      <c r="H11" s="19">
        <f ca="1">INDIRECT("'("&amp;$A$4&amp;")'!H11")</f>
        <v>1</v>
      </c>
      <c r="I11" s="19">
        <f ca="1">INDIRECT("'("&amp;$A$4&amp;")'!I11")</f>
        <v>0</v>
      </c>
      <c r="J11" s="15">
        <f t="shared" ca="1" si="1"/>
        <v>7.1428571428571425E-2</v>
      </c>
      <c r="K11" s="19"/>
      <c r="L11" s="14">
        <f t="shared" ref="L11:L47" ca="1" si="9">B11+G11</f>
        <v>37</v>
      </c>
      <c r="M11" s="14">
        <f t="shared" ref="M11:M47" ca="1" si="10">C11+H11</f>
        <v>3</v>
      </c>
      <c r="N11" s="14">
        <f ca="1">INDIRECT("'("&amp;$A$4&amp;")'!N11")</f>
        <v>0</v>
      </c>
      <c r="O11" s="15">
        <f t="shared" ca="1" si="2"/>
        <v>7.4999999999999997E-2</v>
      </c>
      <c r="P11" s="19"/>
      <c r="Q11" s="19">
        <f ca="1">INDIRECT("'("&amp;$A$4&amp;")'!Q11")</f>
        <v>1</v>
      </c>
      <c r="R11" s="19">
        <f ca="1">INDIRECT("'("&amp;$A$4&amp;")'!R11")</f>
        <v>1</v>
      </c>
      <c r="S11" s="19">
        <f ca="1">INDIRECT("'("&amp;$A$4&amp;")'!S11")</f>
        <v>0</v>
      </c>
      <c r="T11" s="15">
        <f t="shared" ca="1" si="3"/>
        <v>0.5</v>
      </c>
      <c r="U11" s="19"/>
      <c r="V11" s="19">
        <f ca="1">INDIRECT("'("&amp;$A$4&amp;")'!V11")</f>
        <v>9</v>
      </c>
      <c r="W11" s="19">
        <f ca="1">INDIRECT("'("&amp;$A$4&amp;")'!W11")</f>
        <v>10</v>
      </c>
      <c r="X11" s="19">
        <f ca="1">INDIRECT("'("&amp;$A$4&amp;")'!X11")</f>
        <v>0</v>
      </c>
      <c r="Y11" s="15">
        <f t="shared" ca="1" si="4"/>
        <v>0.52631578947368418</v>
      </c>
      <c r="Z11" s="19"/>
      <c r="AA11" s="14">
        <f t="shared" ca="1" si="6"/>
        <v>47</v>
      </c>
      <c r="AB11" s="14">
        <f t="shared" ca="1" si="7"/>
        <v>14</v>
      </c>
      <c r="AC11" s="14">
        <f ca="1">INDIRECT("'("&amp;$A$4&amp;")'!AC11")</f>
        <v>0</v>
      </c>
      <c r="AD11" s="15">
        <f t="shared" ca="1" si="5"/>
        <v>0.22950819672131148</v>
      </c>
      <c r="AE11" s="16"/>
      <c r="AF11" s="16"/>
      <c r="AG11" s="16"/>
      <c r="AH11" s="16"/>
      <c r="AI11" s="16"/>
      <c r="AJ11" s="16"/>
      <c r="AK11" s="16"/>
      <c r="AL11" s="16"/>
      <c r="AM11" s="16"/>
    </row>
    <row r="12" spans="1:40" s="6" customFormat="1" ht="15" customHeight="1" x14ac:dyDescent="0.3">
      <c r="A12" s="5" t="s">
        <v>14</v>
      </c>
      <c r="B12" s="19">
        <f ca="1">INDIRECT("'("&amp;$A$4&amp;")'!b12")</f>
        <v>5</v>
      </c>
      <c r="C12" s="19">
        <f ca="1">INDIRECT("'("&amp;$A$4&amp;")'!c12")</f>
        <v>0</v>
      </c>
      <c r="D12" s="19">
        <f ca="1">INDIRECT("'("&amp;$A$4&amp;")'!D12")</f>
        <v>0</v>
      </c>
      <c r="E12" s="15">
        <f t="shared" ca="1" si="8"/>
        <v>0</v>
      </c>
      <c r="F12" s="19"/>
      <c r="G12" s="19">
        <f ca="1">INDIRECT("'("&amp;$A$4&amp;")'!G12")</f>
        <v>2</v>
      </c>
      <c r="H12" s="19">
        <f ca="1">INDIRECT("'("&amp;$A$4&amp;")'!H12")</f>
        <v>0</v>
      </c>
      <c r="I12" s="19">
        <f ca="1">INDIRECT("'("&amp;$A$4&amp;")'!I12")</f>
        <v>0</v>
      </c>
      <c r="J12" s="15">
        <f t="shared" ca="1" si="1"/>
        <v>0</v>
      </c>
      <c r="K12" s="19"/>
      <c r="L12" s="14">
        <f t="shared" ca="1" si="9"/>
        <v>7</v>
      </c>
      <c r="M12" s="14">
        <f t="shared" ca="1" si="10"/>
        <v>0</v>
      </c>
      <c r="N12" s="14">
        <f ca="1">INDIRECT("'("&amp;$A$4&amp;")'!N12")</f>
        <v>0</v>
      </c>
      <c r="O12" s="15">
        <f t="shared" ca="1" si="2"/>
        <v>0</v>
      </c>
      <c r="P12" s="19"/>
      <c r="Q12" s="19">
        <f ca="1">INDIRECT("'("&amp;$A$4&amp;")'!Q12")</f>
        <v>3</v>
      </c>
      <c r="R12" s="19">
        <f ca="1">INDIRECT("'("&amp;$A$4&amp;")'!R12")</f>
        <v>1</v>
      </c>
      <c r="S12" s="19">
        <f ca="1">INDIRECT("'("&amp;$A$4&amp;")'!S12")</f>
        <v>0</v>
      </c>
      <c r="T12" s="15">
        <f t="shared" ca="1" si="3"/>
        <v>0.25</v>
      </c>
      <c r="U12" s="19"/>
      <c r="V12" s="19">
        <f ca="1">INDIRECT("'("&amp;$A$4&amp;")'!V12")</f>
        <v>6</v>
      </c>
      <c r="W12" s="19">
        <f ca="1">INDIRECT("'("&amp;$A$4&amp;")'!W12")</f>
        <v>15</v>
      </c>
      <c r="X12" s="19">
        <f ca="1">INDIRECT("'("&amp;$A$4&amp;")'!X12")</f>
        <v>1</v>
      </c>
      <c r="Y12" s="15">
        <f t="shared" ca="1" si="4"/>
        <v>0.68181818181818177</v>
      </c>
      <c r="Z12" s="19"/>
      <c r="AA12" s="14">
        <f t="shared" ca="1" si="6"/>
        <v>16</v>
      </c>
      <c r="AB12" s="14">
        <f t="shared" ca="1" si="7"/>
        <v>16</v>
      </c>
      <c r="AC12" s="14">
        <f ca="1">INDIRECT("'("&amp;$A$4&amp;")'!AC12")</f>
        <v>1</v>
      </c>
      <c r="AD12" s="15">
        <f t="shared" ca="1" si="5"/>
        <v>0.48484848484848486</v>
      </c>
      <c r="AE12" s="16"/>
      <c r="AF12" s="16"/>
      <c r="AG12" s="16"/>
      <c r="AH12" s="16"/>
      <c r="AI12" s="16"/>
      <c r="AJ12" s="16"/>
      <c r="AK12" s="16"/>
      <c r="AL12" s="16"/>
      <c r="AM12" s="16"/>
    </row>
    <row r="13" spans="1:40" s="6" customFormat="1" ht="15" customHeight="1" x14ac:dyDescent="0.3">
      <c r="A13" s="5" t="s">
        <v>15</v>
      </c>
      <c r="B13" s="19">
        <f ca="1">INDIRECT("'("&amp;$A$4&amp;")'!b13")</f>
        <v>23</v>
      </c>
      <c r="C13" s="19">
        <f ca="1">INDIRECT("'("&amp;$A$4&amp;")'!c13")</f>
        <v>2</v>
      </c>
      <c r="D13" s="19">
        <f ca="1">INDIRECT("'("&amp;$A$4&amp;")'!D13")</f>
        <v>0</v>
      </c>
      <c r="E13" s="15">
        <f t="shared" ca="1" si="8"/>
        <v>0.08</v>
      </c>
      <c r="F13" s="19"/>
      <c r="G13" s="19">
        <f ca="1">INDIRECT("'("&amp;$A$4&amp;")'!G13")</f>
        <v>19</v>
      </c>
      <c r="H13" s="19">
        <f ca="1">INDIRECT("'("&amp;$A$4&amp;")'!H13")</f>
        <v>1</v>
      </c>
      <c r="I13" s="19">
        <f ca="1">INDIRECT("'("&amp;$A$4&amp;")'!I13")</f>
        <v>0</v>
      </c>
      <c r="J13" s="15">
        <f t="shared" ca="1" si="1"/>
        <v>0.05</v>
      </c>
      <c r="K13" s="19"/>
      <c r="L13" s="14">
        <f t="shared" ca="1" si="9"/>
        <v>42</v>
      </c>
      <c r="M13" s="14">
        <f t="shared" ca="1" si="10"/>
        <v>3</v>
      </c>
      <c r="N13" s="14">
        <f ca="1">INDIRECT("'("&amp;$A$4&amp;")'!N13")</f>
        <v>0</v>
      </c>
      <c r="O13" s="15">
        <f t="shared" ca="1" si="2"/>
        <v>6.6666666666666666E-2</v>
      </c>
      <c r="P13" s="19"/>
      <c r="Q13" s="19">
        <f ca="1">INDIRECT("'("&amp;$A$4&amp;")'!Q13")</f>
        <v>0</v>
      </c>
      <c r="R13" s="19">
        <f ca="1">INDIRECT("'("&amp;$A$4&amp;")'!R13")</f>
        <v>0</v>
      </c>
      <c r="S13" s="19">
        <f ca="1">INDIRECT("'("&amp;$A$4&amp;")'!S13")</f>
        <v>0</v>
      </c>
      <c r="T13" s="15" t="str">
        <f t="shared" ca="1" si="3"/>
        <v>-</v>
      </c>
      <c r="U13" s="19"/>
      <c r="V13" s="19">
        <f ca="1">INDIRECT("'("&amp;$A$4&amp;")'!V13")</f>
        <v>4</v>
      </c>
      <c r="W13" s="19">
        <f ca="1">INDIRECT("'("&amp;$A$4&amp;")'!W13")</f>
        <v>9</v>
      </c>
      <c r="X13" s="19">
        <f ca="1">INDIRECT("'("&amp;$A$4&amp;")'!X13")</f>
        <v>0</v>
      </c>
      <c r="Y13" s="15">
        <f t="shared" ca="1" si="4"/>
        <v>0.69230769230769229</v>
      </c>
      <c r="Z13" s="19"/>
      <c r="AA13" s="14">
        <f t="shared" ca="1" si="6"/>
        <v>46</v>
      </c>
      <c r="AB13" s="14">
        <f t="shared" ca="1" si="7"/>
        <v>12</v>
      </c>
      <c r="AC13" s="14">
        <f ca="1">INDIRECT("'("&amp;$A$4&amp;")'!AC13")</f>
        <v>0</v>
      </c>
      <c r="AD13" s="15">
        <f t="shared" ca="1" si="5"/>
        <v>0.20689655172413793</v>
      </c>
      <c r="AE13" s="16"/>
      <c r="AF13" s="16"/>
      <c r="AG13" s="16"/>
      <c r="AH13" s="16"/>
      <c r="AI13" s="16"/>
      <c r="AJ13" s="16"/>
      <c r="AK13" s="16"/>
      <c r="AL13" s="16"/>
      <c r="AM13" s="16"/>
    </row>
    <row r="14" spans="1:40" s="6" customFormat="1" ht="15" customHeight="1" x14ac:dyDescent="0.3">
      <c r="A14" s="5" t="s">
        <v>16</v>
      </c>
      <c r="B14" s="19">
        <f ca="1">INDIRECT("'("&amp;$A$4&amp;")'!b14")</f>
        <v>20</v>
      </c>
      <c r="C14" s="19">
        <f ca="1">INDIRECT("'("&amp;$A$4&amp;")'!c14")</f>
        <v>4</v>
      </c>
      <c r="D14" s="19">
        <f ca="1">INDIRECT("'("&amp;$A$4&amp;")'!D14")</f>
        <v>0</v>
      </c>
      <c r="E14" s="15">
        <f t="shared" ca="1" si="8"/>
        <v>0.16666666666666666</v>
      </c>
      <c r="F14" s="19"/>
      <c r="G14" s="19">
        <f ca="1">INDIRECT("'("&amp;$A$4&amp;")'!G14")</f>
        <v>17</v>
      </c>
      <c r="H14" s="19">
        <f ca="1">INDIRECT("'("&amp;$A$4&amp;")'!H14")</f>
        <v>2</v>
      </c>
      <c r="I14" s="19">
        <f ca="1">INDIRECT("'("&amp;$A$4&amp;")'!I14")</f>
        <v>0</v>
      </c>
      <c r="J14" s="15">
        <f t="shared" ca="1" si="1"/>
        <v>0.10526315789473684</v>
      </c>
      <c r="K14" s="19"/>
      <c r="L14" s="14">
        <f t="shared" ca="1" si="9"/>
        <v>37</v>
      </c>
      <c r="M14" s="14">
        <f t="shared" ca="1" si="10"/>
        <v>6</v>
      </c>
      <c r="N14" s="14">
        <f ca="1">INDIRECT("'("&amp;$A$4&amp;")'!N14")</f>
        <v>0</v>
      </c>
      <c r="O14" s="15">
        <f t="shared" ca="1" si="2"/>
        <v>0.13953488372093023</v>
      </c>
      <c r="P14" s="19"/>
      <c r="Q14" s="19">
        <f ca="1">INDIRECT("'("&amp;$A$4&amp;")'!Q14")</f>
        <v>1</v>
      </c>
      <c r="R14" s="19">
        <f ca="1">INDIRECT("'("&amp;$A$4&amp;")'!R14")</f>
        <v>4</v>
      </c>
      <c r="S14" s="19">
        <f ca="1">INDIRECT("'("&amp;$A$4&amp;")'!S14")</f>
        <v>0</v>
      </c>
      <c r="T14" s="15">
        <f t="shared" ca="1" si="3"/>
        <v>0.8</v>
      </c>
      <c r="U14" s="19"/>
      <c r="V14" s="19">
        <f ca="1">INDIRECT("'("&amp;$A$4&amp;")'!V14")</f>
        <v>6</v>
      </c>
      <c r="W14" s="19">
        <f ca="1">INDIRECT("'("&amp;$A$4&amp;")'!W14")</f>
        <v>16</v>
      </c>
      <c r="X14" s="19">
        <f ca="1">INDIRECT("'("&amp;$A$4&amp;")'!X14")</f>
        <v>0</v>
      </c>
      <c r="Y14" s="15">
        <f t="shared" ca="1" si="4"/>
        <v>0.72727272727272729</v>
      </c>
      <c r="Z14" s="19"/>
      <c r="AA14" s="14">
        <f t="shared" ca="1" si="6"/>
        <v>44</v>
      </c>
      <c r="AB14" s="14">
        <f t="shared" ca="1" si="7"/>
        <v>26</v>
      </c>
      <c r="AC14" s="14">
        <f ca="1">INDIRECT("'("&amp;$A$4&amp;")'!AC14")</f>
        <v>0</v>
      </c>
      <c r="AD14" s="15">
        <f t="shared" ca="1" si="5"/>
        <v>0.37142857142857144</v>
      </c>
      <c r="AE14" s="16"/>
      <c r="AF14" s="16"/>
      <c r="AG14" s="16"/>
      <c r="AH14" s="16"/>
      <c r="AI14" s="16"/>
      <c r="AJ14" s="16"/>
      <c r="AK14" s="16"/>
      <c r="AL14" s="16"/>
      <c r="AM14" s="16"/>
    </row>
    <row r="15" spans="1:40" s="6" customFormat="1" ht="15" customHeight="1" x14ac:dyDescent="0.3">
      <c r="A15" s="5" t="s">
        <v>17</v>
      </c>
      <c r="B15" s="19">
        <f ca="1">INDIRECT("'("&amp;$A$4&amp;")'!b15")</f>
        <v>8</v>
      </c>
      <c r="C15" s="19">
        <f ca="1">INDIRECT("'("&amp;$A$4&amp;")'!c15")</f>
        <v>5</v>
      </c>
      <c r="D15" s="19">
        <f ca="1">INDIRECT("'("&amp;$A$4&amp;")'!D15")</f>
        <v>0</v>
      </c>
      <c r="E15" s="15">
        <f t="shared" ca="1" si="8"/>
        <v>0.38461538461538464</v>
      </c>
      <c r="F15" s="19"/>
      <c r="G15" s="19">
        <f ca="1">INDIRECT("'("&amp;$A$4&amp;")'!G15")</f>
        <v>15</v>
      </c>
      <c r="H15" s="19">
        <f ca="1">INDIRECT("'("&amp;$A$4&amp;")'!H15")</f>
        <v>4</v>
      </c>
      <c r="I15" s="19">
        <f ca="1">INDIRECT("'("&amp;$A$4&amp;")'!I15")</f>
        <v>0</v>
      </c>
      <c r="J15" s="15">
        <f t="shared" ca="1" si="1"/>
        <v>0.21052631578947367</v>
      </c>
      <c r="K15" s="19"/>
      <c r="L15" s="14">
        <f t="shared" ca="1" si="9"/>
        <v>23</v>
      </c>
      <c r="M15" s="14">
        <f t="shared" ca="1" si="10"/>
        <v>9</v>
      </c>
      <c r="N15" s="14">
        <f ca="1">INDIRECT("'("&amp;$A$4&amp;")'!N15")</f>
        <v>0</v>
      </c>
      <c r="O15" s="15">
        <f t="shared" ca="1" si="2"/>
        <v>0.28125</v>
      </c>
      <c r="P15" s="19"/>
      <c r="Q15" s="19">
        <f ca="1">INDIRECT("'("&amp;$A$4&amp;")'!Q15")</f>
        <v>0</v>
      </c>
      <c r="R15" s="19">
        <f ca="1">INDIRECT("'("&amp;$A$4&amp;")'!R15")</f>
        <v>0</v>
      </c>
      <c r="S15" s="19">
        <f ca="1">INDIRECT("'("&amp;$A$4&amp;")'!S15")</f>
        <v>0</v>
      </c>
      <c r="T15" s="15" t="str">
        <f t="shared" ca="1" si="3"/>
        <v>-</v>
      </c>
      <c r="U15" s="19"/>
      <c r="V15" s="19">
        <f ca="1">INDIRECT("'("&amp;$A$4&amp;")'!V15")</f>
        <v>1</v>
      </c>
      <c r="W15" s="19">
        <f ca="1">INDIRECT("'("&amp;$A$4&amp;")'!W15")</f>
        <v>3</v>
      </c>
      <c r="X15" s="19">
        <f ca="1">INDIRECT("'("&amp;$A$4&amp;")'!X15")</f>
        <v>0</v>
      </c>
      <c r="Y15" s="15">
        <f t="shared" ca="1" si="4"/>
        <v>0.75</v>
      </c>
      <c r="Z15" s="19"/>
      <c r="AA15" s="14">
        <f t="shared" ca="1" si="6"/>
        <v>24</v>
      </c>
      <c r="AB15" s="14">
        <f t="shared" ca="1" si="7"/>
        <v>12</v>
      </c>
      <c r="AC15" s="14">
        <f ca="1">INDIRECT("'("&amp;$A$4&amp;")'!AC15")</f>
        <v>0</v>
      </c>
      <c r="AD15" s="15">
        <f t="shared" ca="1" si="5"/>
        <v>0.33333333333333331</v>
      </c>
      <c r="AE15" s="16"/>
      <c r="AF15" s="16"/>
      <c r="AG15" s="16"/>
      <c r="AH15" s="16"/>
      <c r="AI15" s="16"/>
      <c r="AJ15" s="16"/>
      <c r="AK15" s="16"/>
      <c r="AL15" s="16"/>
      <c r="AM15" s="16"/>
    </row>
    <row r="16" spans="1:40" s="6" customFormat="1" ht="15" customHeight="1" x14ac:dyDescent="0.3">
      <c r="A16" s="5" t="s">
        <v>18</v>
      </c>
      <c r="B16" s="19">
        <f ca="1">INDIRECT("'("&amp;$A$4&amp;")'!b16")</f>
        <v>0</v>
      </c>
      <c r="C16" s="19">
        <f ca="1">INDIRECT("'("&amp;$A$4&amp;")'!c16")</f>
        <v>0</v>
      </c>
      <c r="D16" s="19">
        <f ca="1">INDIRECT("'("&amp;$A$4&amp;")'!D16")</f>
        <v>0</v>
      </c>
      <c r="E16" s="15" t="str">
        <f t="shared" ca="1" si="8"/>
        <v>-</v>
      </c>
      <c r="F16" s="19"/>
      <c r="G16" s="19">
        <f ca="1">INDIRECT("'("&amp;$A$4&amp;")'!G16")</f>
        <v>7</v>
      </c>
      <c r="H16" s="19">
        <f ca="1">INDIRECT("'("&amp;$A$4&amp;")'!H16")</f>
        <v>3</v>
      </c>
      <c r="I16" s="19">
        <f ca="1">INDIRECT("'("&amp;$A$4&amp;")'!I16")</f>
        <v>0</v>
      </c>
      <c r="J16" s="15">
        <f t="shared" ca="1" si="1"/>
        <v>0.3</v>
      </c>
      <c r="K16" s="19"/>
      <c r="L16" s="14">
        <f t="shared" ca="1" si="9"/>
        <v>7</v>
      </c>
      <c r="M16" s="14">
        <f t="shared" ca="1" si="10"/>
        <v>3</v>
      </c>
      <c r="N16" s="14">
        <f ca="1">INDIRECT("'("&amp;$A$4&amp;")'!N16")</f>
        <v>0</v>
      </c>
      <c r="O16" s="15">
        <f t="shared" ca="1" si="2"/>
        <v>0.3</v>
      </c>
      <c r="P16" s="19"/>
      <c r="Q16" s="19">
        <f ca="1">INDIRECT("'("&amp;$A$4&amp;")'!Q16")</f>
        <v>0</v>
      </c>
      <c r="R16" s="19">
        <f ca="1">INDIRECT("'("&amp;$A$4&amp;")'!R16")</f>
        <v>1</v>
      </c>
      <c r="S16" s="19">
        <f ca="1">INDIRECT("'("&amp;$A$4&amp;")'!S16")</f>
        <v>0</v>
      </c>
      <c r="T16" s="15">
        <f t="shared" ca="1" si="3"/>
        <v>1</v>
      </c>
      <c r="U16" s="19"/>
      <c r="V16" s="19">
        <f ca="1">INDIRECT("'("&amp;$A$4&amp;")'!V16")</f>
        <v>5</v>
      </c>
      <c r="W16" s="19">
        <f ca="1">INDIRECT("'("&amp;$A$4&amp;")'!W16")</f>
        <v>7</v>
      </c>
      <c r="X16" s="19">
        <f ca="1">INDIRECT("'("&amp;$A$4&amp;")'!X16")</f>
        <v>0</v>
      </c>
      <c r="Y16" s="15">
        <f t="shared" ca="1" si="4"/>
        <v>0.58333333333333337</v>
      </c>
      <c r="Z16" s="19"/>
      <c r="AA16" s="14">
        <f t="shared" ca="1" si="6"/>
        <v>12</v>
      </c>
      <c r="AB16" s="14">
        <f t="shared" ca="1" si="7"/>
        <v>11</v>
      </c>
      <c r="AC16" s="14">
        <f ca="1">INDIRECT("'("&amp;$A$4&amp;")'!AC16")</f>
        <v>0</v>
      </c>
      <c r="AD16" s="15">
        <f t="shared" ca="1" si="5"/>
        <v>0.47826086956521741</v>
      </c>
      <c r="AE16" s="16"/>
      <c r="AF16" s="16"/>
      <c r="AG16" s="16"/>
      <c r="AH16" s="16"/>
      <c r="AI16" s="16"/>
      <c r="AJ16" s="16"/>
      <c r="AK16" s="16"/>
      <c r="AL16" s="16"/>
      <c r="AM16" s="16"/>
    </row>
    <row r="17" spans="1:39" s="6" customFormat="1" ht="15" customHeight="1" x14ac:dyDescent="0.3">
      <c r="A17" s="5" t="s">
        <v>19</v>
      </c>
      <c r="B17" s="19">
        <f ca="1">INDIRECT("'("&amp;$A$4&amp;")'!b17")</f>
        <v>2</v>
      </c>
      <c r="C17" s="19">
        <f ca="1">INDIRECT("'("&amp;$A$4&amp;")'!c17")</f>
        <v>0</v>
      </c>
      <c r="D17" s="19">
        <f ca="1">INDIRECT("'("&amp;$A$4&amp;")'!D17")</f>
        <v>0</v>
      </c>
      <c r="E17" s="15">
        <f t="shared" ca="1" si="8"/>
        <v>0</v>
      </c>
      <c r="F17" s="19"/>
      <c r="G17" s="19">
        <f ca="1">INDIRECT("'("&amp;$A$4&amp;")'!G17")</f>
        <v>21</v>
      </c>
      <c r="H17" s="19">
        <f ca="1">INDIRECT("'("&amp;$A$4&amp;")'!H17")</f>
        <v>4</v>
      </c>
      <c r="I17" s="19">
        <f ca="1">INDIRECT("'("&amp;$A$4&amp;")'!I17")</f>
        <v>0</v>
      </c>
      <c r="J17" s="15">
        <f t="shared" ca="1" si="1"/>
        <v>0.16</v>
      </c>
      <c r="K17" s="19"/>
      <c r="L17" s="14">
        <f t="shared" ca="1" si="9"/>
        <v>23</v>
      </c>
      <c r="M17" s="14">
        <f t="shared" ca="1" si="10"/>
        <v>4</v>
      </c>
      <c r="N17" s="14">
        <f ca="1">INDIRECT("'("&amp;$A$4&amp;")'!N17")</f>
        <v>0</v>
      </c>
      <c r="O17" s="15">
        <f t="shared" ca="1" si="2"/>
        <v>0.14814814814814814</v>
      </c>
      <c r="P17" s="19"/>
      <c r="Q17" s="19">
        <f ca="1">INDIRECT("'("&amp;$A$4&amp;")'!Q17")</f>
        <v>0</v>
      </c>
      <c r="R17" s="19">
        <f ca="1">INDIRECT("'("&amp;$A$4&amp;")'!R17")</f>
        <v>0</v>
      </c>
      <c r="S17" s="19">
        <f ca="1">INDIRECT("'("&amp;$A$4&amp;")'!S17")</f>
        <v>0</v>
      </c>
      <c r="T17" s="15" t="str">
        <f t="shared" ca="1" si="3"/>
        <v>-</v>
      </c>
      <c r="U17" s="19"/>
      <c r="V17" s="19">
        <f ca="1">INDIRECT("'("&amp;$A$4&amp;")'!V17")</f>
        <v>2</v>
      </c>
      <c r="W17" s="19">
        <f ca="1">INDIRECT("'("&amp;$A$4&amp;")'!W17")</f>
        <v>0</v>
      </c>
      <c r="X17" s="19">
        <f ca="1">INDIRECT("'("&amp;$A$4&amp;")'!X17")</f>
        <v>0</v>
      </c>
      <c r="Y17" s="15">
        <f t="shared" ca="1" si="4"/>
        <v>0</v>
      </c>
      <c r="Z17" s="19"/>
      <c r="AA17" s="14">
        <f t="shared" ca="1" si="6"/>
        <v>25</v>
      </c>
      <c r="AB17" s="14">
        <f t="shared" ca="1" si="7"/>
        <v>4</v>
      </c>
      <c r="AC17" s="14">
        <f ca="1">INDIRECT("'("&amp;$A$4&amp;")'!AC17")</f>
        <v>0</v>
      </c>
      <c r="AD17" s="15">
        <f t="shared" ca="1" si="5"/>
        <v>0.13793103448275862</v>
      </c>
      <c r="AE17" s="16"/>
      <c r="AF17" s="16"/>
      <c r="AG17" s="16"/>
      <c r="AH17" s="16"/>
      <c r="AI17" s="16"/>
      <c r="AJ17" s="16"/>
      <c r="AK17" s="16"/>
      <c r="AL17" s="16"/>
      <c r="AM17" s="16"/>
    </row>
    <row r="18" spans="1:39" s="6" customFormat="1" ht="15" customHeight="1" x14ac:dyDescent="0.3">
      <c r="A18" s="5" t="s">
        <v>20</v>
      </c>
      <c r="B18" s="19">
        <f ca="1">INDIRECT("'("&amp;$A$4&amp;")'!b18")</f>
        <v>9</v>
      </c>
      <c r="C18" s="19">
        <f ca="1">INDIRECT("'("&amp;$A$4&amp;")'!c18")</f>
        <v>12</v>
      </c>
      <c r="D18" s="19">
        <f ca="1">INDIRECT("'("&amp;$A$4&amp;")'!D18")</f>
        <v>1</v>
      </c>
      <c r="E18" s="15">
        <f t="shared" ca="1" si="8"/>
        <v>0.54545454545454541</v>
      </c>
      <c r="F18" s="19"/>
      <c r="G18" s="19">
        <f ca="1">INDIRECT("'("&amp;$A$4&amp;")'!G18")</f>
        <v>31</v>
      </c>
      <c r="H18" s="19">
        <f ca="1">INDIRECT("'("&amp;$A$4&amp;")'!H18")</f>
        <v>10</v>
      </c>
      <c r="I18" s="19">
        <f ca="1">INDIRECT("'("&amp;$A$4&amp;")'!I18")</f>
        <v>0</v>
      </c>
      <c r="J18" s="15">
        <f t="shared" ca="1" si="1"/>
        <v>0.24390243902439024</v>
      </c>
      <c r="K18" s="19"/>
      <c r="L18" s="14">
        <f t="shared" ca="1" si="9"/>
        <v>40</v>
      </c>
      <c r="M18" s="14">
        <f t="shared" ca="1" si="10"/>
        <v>22</v>
      </c>
      <c r="N18" s="14">
        <f ca="1">INDIRECT("'("&amp;$A$4&amp;")'!N18")</f>
        <v>1</v>
      </c>
      <c r="O18" s="15">
        <f t="shared" ca="1" si="2"/>
        <v>0.34920634920634919</v>
      </c>
      <c r="P18" s="19"/>
      <c r="Q18" s="19">
        <f ca="1">INDIRECT("'("&amp;$A$4&amp;")'!Q18")</f>
        <v>0</v>
      </c>
      <c r="R18" s="19">
        <f ca="1">INDIRECT("'("&amp;$A$4&amp;")'!R18")</f>
        <v>0</v>
      </c>
      <c r="S18" s="19">
        <f ca="1">INDIRECT("'("&amp;$A$4&amp;")'!S18")</f>
        <v>0</v>
      </c>
      <c r="T18" s="15" t="str">
        <f t="shared" ca="1" si="3"/>
        <v>-</v>
      </c>
      <c r="U18" s="19"/>
      <c r="V18" s="19">
        <f ca="1">INDIRECT("'("&amp;$A$4&amp;")'!V18")</f>
        <v>4</v>
      </c>
      <c r="W18" s="19">
        <f ca="1">INDIRECT("'("&amp;$A$4&amp;")'!W18")</f>
        <v>0</v>
      </c>
      <c r="X18" s="19">
        <f ca="1">INDIRECT("'("&amp;$A$4&amp;")'!X18")</f>
        <v>0</v>
      </c>
      <c r="Y18" s="15">
        <f t="shared" ca="1" si="4"/>
        <v>0</v>
      </c>
      <c r="Z18" s="19"/>
      <c r="AA18" s="14">
        <f t="shared" ca="1" si="6"/>
        <v>44</v>
      </c>
      <c r="AB18" s="14">
        <f t="shared" ca="1" si="7"/>
        <v>22</v>
      </c>
      <c r="AC18" s="14">
        <f ca="1">INDIRECT("'("&amp;$A$4&amp;")'!AC18")</f>
        <v>1</v>
      </c>
      <c r="AD18" s="15">
        <f t="shared" ca="1" si="5"/>
        <v>0.32835820895522388</v>
      </c>
      <c r="AE18" s="16"/>
      <c r="AF18" s="16"/>
      <c r="AG18" s="16"/>
      <c r="AH18" s="16"/>
      <c r="AI18" s="16"/>
      <c r="AJ18" s="16"/>
      <c r="AK18" s="16"/>
      <c r="AL18" s="16"/>
      <c r="AM18" s="16"/>
    </row>
    <row r="19" spans="1:39" s="6" customFormat="1" ht="15" customHeight="1" x14ac:dyDescent="0.3">
      <c r="A19" s="21" t="s">
        <v>21</v>
      </c>
      <c r="B19" s="19">
        <f ca="1">INDIRECT("'("&amp;$A$4&amp;")'!b19")</f>
        <v>25</v>
      </c>
      <c r="C19" s="19">
        <f ca="1">INDIRECT("'("&amp;$A$4&amp;")'!c19")</f>
        <v>9</v>
      </c>
      <c r="D19" s="19">
        <f ca="1">INDIRECT("'("&amp;$A$4&amp;")'!D19")</f>
        <v>0</v>
      </c>
      <c r="E19" s="15">
        <f t="shared" ca="1" si="8"/>
        <v>0.26470588235294118</v>
      </c>
      <c r="F19" s="19"/>
      <c r="G19" s="19">
        <f ca="1">INDIRECT("'("&amp;$A$4&amp;")'!G19")</f>
        <v>49</v>
      </c>
      <c r="H19" s="19">
        <f ca="1">INDIRECT("'("&amp;$A$4&amp;")'!H19")</f>
        <v>7</v>
      </c>
      <c r="I19" s="19">
        <f ca="1">INDIRECT("'("&amp;$A$4&amp;")'!I19")</f>
        <v>0</v>
      </c>
      <c r="J19" s="15">
        <f t="shared" ca="1" si="1"/>
        <v>0.125</v>
      </c>
      <c r="K19" s="19"/>
      <c r="L19" s="14">
        <f t="shared" ca="1" si="9"/>
        <v>74</v>
      </c>
      <c r="M19" s="14">
        <f t="shared" ca="1" si="10"/>
        <v>16</v>
      </c>
      <c r="N19" s="14">
        <f ca="1">INDIRECT("'("&amp;$A$4&amp;")'!N19")</f>
        <v>0</v>
      </c>
      <c r="O19" s="15">
        <f t="shared" ca="1" si="2"/>
        <v>0.17777777777777778</v>
      </c>
      <c r="P19" s="19"/>
      <c r="Q19" s="19">
        <f ca="1">INDIRECT("'("&amp;$A$4&amp;")'!Q19")</f>
        <v>0</v>
      </c>
      <c r="R19" s="19">
        <f ca="1">INDIRECT("'("&amp;$A$4&amp;")'!R19")</f>
        <v>0</v>
      </c>
      <c r="S19" s="19">
        <f ca="1">INDIRECT("'("&amp;$A$4&amp;")'!S19")</f>
        <v>0</v>
      </c>
      <c r="T19" s="15" t="str">
        <f t="shared" ca="1" si="3"/>
        <v>-</v>
      </c>
      <c r="U19" s="19"/>
      <c r="V19" s="19">
        <f ca="1">INDIRECT("'("&amp;$A$4&amp;")'!V19")</f>
        <v>7</v>
      </c>
      <c r="W19" s="19">
        <f ca="1">INDIRECT("'("&amp;$A$4&amp;")'!W19")</f>
        <v>15</v>
      </c>
      <c r="X19" s="19">
        <f ca="1">INDIRECT("'("&amp;$A$4&amp;")'!X19")</f>
        <v>0</v>
      </c>
      <c r="Y19" s="15">
        <f t="shared" ca="1" si="4"/>
        <v>0.68181818181818177</v>
      </c>
      <c r="Z19" s="19"/>
      <c r="AA19" s="14">
        <f t="shared" ca="1" si="6"/>
        <v>81</v>
      </c>
      <c r="AB19" s="14">
        <f t="shared" ca="1" si="7"/>
        <v>31</v>
      </c>
      <c r="AC19" s="14">
        <f ca="1">INDIRECT("'("&amp;$A$4&amp;")'!AC19")</f>
        <v>0</v>
      </c>
      <c r="AD19" s="15">
        <f t="shared" ca="1" si="5"/>
        <v>0.2767857142857143</v>
      </c>
      <c r="AE19" s="16"/>
      <c r="AF19" s="16"/>
      <c r="AG19" s="16"/>
      <c r="AH19" s="16"/>
      <c r="AI19" s="16"/>
      <c r="AJ19" s="16"/>
      <c r="AK19" s="16"/>
      <c r="AL19" s="16"/>
      <c r="AM19" s="16"/>
    </row>
    <row r="20" spans="1:39" s="6" customFormat="1" ht="15" customHeight="1" x14ac:dyDescent="0.3">
      <c r="A20" s="21" t="s">
        <v>22</v>
      </c>
      <c r="B20" s="19">
        <f ca="1">INDIRECT("'("&amp;$A$4&amp;")'!b20")</f>
        <v>35</v>
      </c>
      <c r="C20" s="19">
        <f ca="1">INDIRECT("'("&amp;$A$4&amp;")'!c20")</f>
        <v>2</v>
      </c>
      <c r="D20" s="19">
        <f ca="1">INDIRECT("'("&amp;$A$4&amp;")'!D20")</f>
        <v>0</v>
      </c>
      <c r="E20" s="15">
        <f t="shared" ca="1" si="8"/>
        <v>5.4054054054054057E-2</v>
      </c>
      <c r="F20" s="19"/>
      <c r="G20" s="19">
        <f ca="1">INDIRECT("'("&amp;$A$4&amp;")'!G20")</f>
        <v>57</v>
      </c>
      <c r="H20" s="19">
        <f ca="1">INDIRECT("'("&amp;$A$4&amp;")'!H20")</f>
        <v>13</v>
      </c>
      <c r="I20" s="19">
        <f ca="1">INDIRECT("'("&amp;$A$4&amp;")'!I20")</f>
        <v>1</v>
      </c>
      <c r="J20" s="15">
        <f t="shared" ca="1" si="1"/>
        <v>0.18309859154929578</v>
      </c>
      <c r="K20" s="19"/>
      <c r="L20" s="14">
        <f t="shared" ca="1" si="9"/>
        <v>92</v>
      </c>
      <c r="M20" s="14">
        <f t="shared" ca="1" si="10"/>
        <v>15</v>
      </c>
      <c r="N20" s="14">
        <f ca="1">INDIRECT("'("&amp;$A$4&amp;")'!N20")</f>
        <v>1</v>
      </c>
      <c r="O20" s="15">
        <f t="shared" ca="1" si="2"/>
        <v>0.1388888888888889</v>
      </c>
      <c r="P20" s="19"/>
      <c r="Q20" s="19">
        <f ca="1">INDIRECT("'("&amp;$A$4&amp;")'!Q20")</f>
        <v>0</v>
      </c>
      <c r="R20" s="19">
        <f ca="1">INDIRECT("'("&amp;$A$4&amp;")'!R20")</f>
        <v>1</v>
      </c>
      <c r="S20" s="19">
        <f ca="1">INDIRECT("'("&amp;$A$4&amp;")'!S20")</f>
        <v>0</v>
      </c>
      <c r="T20" s="15">
        <f t="shared" ca="1" si="3"/>
        <v>1</v>
      </c>
      <c r="U20" s="19"/>
      <c r="V20" s="19">
        <f ca="1">INDIRECT("'("&amp;$A$4&amp;")'!V20")</f>
        <v>13</v>
      </c>
      <c r="W20" s="19">
        <f ca="1">INDIRECT("'("&amp;$A$4&amp;")'!W20")</f>
        <v>5</v>
      </c>
      <c r="X20" s="19">
        <f ca="1">INDIRECT("'("&amp;$A$4&amp;")'!X20")</f>
        <v>0</v>
      </c>
      <c r="Y20" s="15">
        <f t="shared" ca="1" si="4"/>
        <v>0.27777777777777779</v>
      </c>
      <c r="Z20" s="19"/>
      <c r="AA20" s="14">
        <f t="shared" ca="1" si="6"/>
        <v>105</v>
      </c>
      <c r="AB20" s="14">
        <f t="shared" ca="1" si="7"/>
        <v>21</v>
      </c>
      <c r="AC20" s="14">
        <f ca="1">INDIRECT("'("&amp;$A$4&amp;")'!AC20")</f>
        <v>1</v>
      </c>
      <c r="AD20" s="15">
        <f t="shared" ca="1" si="5"/>
        <v>0.16535433070866143</v>
      </c>
      <c r="AE20" s="16"/>
      <c r="AF20" s="16"/>
      <c r="AG20" s="16"/>
      <c r="AH20" s="16"/>
      <c r="AI20" s="16"/>
      <c r="AJ20" s="16"/>
      <c r="AK20" s="16"/>
      <c r="AL20" s="16"/>
      <c r="AM20" s="16"/>
    </row>
    <row r="21" spans="1:39" s="6" customFormat="1" ht="15" customHeight="1" x14ac:dyDescent="0.3">
      <c r="A21" s="5" t="s">
        <v>23</v>
      </c>
      <c r="B21" s="19">
        <f ca="1">INDIRECT("'("&amp;$A$4&amp;")'!b21")</f>
        <v>12</v>
      </c>
      <c r="C21" s="19">
        <f ca="1">INDIRECT("'("&amp;$A$4&amp;")'!c21")</f>
        <v>0</v>
      </c>
      <c r="D21" s="19">
        <f ca="1">INDIRECT("'("&amp;$A$4&amp;")'!D21")</f>
        <v>0</v>
      </c>
      <c r="E21" s="15">
        <f t="shared" ca="1" si="8"/>
        <v>0</v>
      </c>
      <c r="F21" s="19"/>
      <c r="G21" s="19">
        <f ca="1">INDIRECT("'("&amp;$A$4&amp;")'!G21")</f>
        <v>44</v>
      </c>
      <c r="H21" s="19">
        <f ca="1">INDIRECT("'("&amp;$A$4&amp;")'!H21")</f>
        <v>5</v>
      </c>
      <c r="I21" s="19">
        <f ca="1">INDIRECT("'("&amp;$A$4&amp;")'!I21")</f>
        <v>0</v>
      </c>
      <c r="J21" s="15">
        <f t="shared" ca="1" si="1"/>
        <v>0.10204081632653061</v>
      </c>
      <c r="K21" s="19"/>
      <c r="L21" s="14">
        <f t="shared" ca="1" si="9"/>
        <v>56</v>
      </c>
      <c r="M21" s="14">
        <f t="shared" ca="1" si="10"/>
        <v>5</v>
      </c>
      <c r="N21" s="14">
        <f ca="1">INDIRECT("'("&amp;$A$4&amp;")'!N21")</f>
        <v>0</v>
      </c>
      <c r="O21" s="15">
        <f t="shared" ca="1" si="2"/>
        <v>8.1967213114754092E-2</v>
      </c>
      <c r="P21" s="19"/>
      <c r="Q21" s="19">
        <f ca="1">INDIRECT("'("&amp;$A$4&amp;")'!Q21")</f>
        <v>3</v>
      </c>
      <c r="R21" s="19">
        <f ca="1">INDIRECT("'("&amp;$A$4&amp;")'!R21")</f>
        <v>2</v>
      </c>
      <c r="S21" s="19">
        <f ca="1">INDIRECT("'("&amp;$A$4&amp;")'!S21")</f>
        <v>0</v>
      </c>
      <c r="T21" s="15">
        <f t="shared" ca="1" si="3"/>
        <v>0.4</v>
      </c>
      <c r="U21" s="19"/>
      <c r="V21" s="19">
        <f ca="1">INDIRECT("'("&amp;$A$4&amp;")'!V21")</f>
        <v>34</v>
      </c>
      <c r="W21" s="19">
        <f ca="1">INDIRECT("'("&amp;$A$4&amp;")'!W21")</f>
        <v>33</v>
      </c>
      <c r="X21" s="19">
        <f ca="1">INDIRECT("'("&amp;$A$4&amp;")'!X21")</f>
        <v>0</v>
      </c>
      <c r="Y21" s="15">
        <f t="shared" ca="1" si="4"/>
        <v>0.4925373134328358</v>
      </c>
      <c r="Z21" s="19"/>
      <c r="AA21" s="14">
        <f t="shared" ca="1" si="6"/>
        <v>93</v>
      </c>
      <c r="AB21" s="14">
        <f t="shared" ca="1" si="7"/>
        <v>40</v>
      </c>
      <c r="AC21" s="14">
        <f ca="1">INDIRECT("'("&amp;$A$4&amp;")'!AC21")</f>
        <v>0</v>
      </c>
      <c r="AD21" s="15">
        <f t="shared" ca="1" si="5"/>
        <v>0.3007518796992481</v>
      </c>
      <c r="AE21" s="16"/>
      <c r="AF21" s="16"/>
      <c r="AG21" s="16"/>
      <c r="AH21" s="16"/>
      <c r="AI21" s="16"/>
      <c r="AJ21" s="16"/>
      <c r="AK21" s="16"/>
      <c r="AL21" s="16"/>
      <c r="AM21" s="16"/>
    </row>
    <row r="22" spans="1:39" s="6" customFormat="1" ht="15" customHeight="1" x14ac:dyDescent="0.3">
      <c r="A22" s="5" t="s">
        <v>24</v>
      </c>
      <c r="B22" s="19">
        <f ca="1">INDIRECT("'("&amp;$A$4&amp;")'!b22")</f>
        <v>1</v>
      </c>
      <c r="C22" s="19">
        <f ca="1">INDIRECT("'("&amp;$A$4&amp;")'!c22")</f>
        <v>0</v>
      </c>
      <c r="D22" s="19">
        <f ca="1">INDIRECT("'("&amp;$A$4&amp;")'!D22")</f>
        <v>0</v>
      </c>
      <c r="E22" s="15">
        <f t="shared" ca="1" si="8"/>
        <v>0</v>
      </c>
      <c r="F22" s="19"/>
      <c r="G22" s="19">
        <f ca="1">INDIRECT("'("&amp;$A$4&amp;")'!G22")</f>
        <v>28</v>
      </c>
      <c r="H22" s="19">
        <f ca="1">INDIRECT("'("&amp;$A$4&amp;")'!H22")</f>
        <v>5</v>
      </c>
      <c r="I22" s="19">
        <f ca="1">INDIRECT("'("&amp;$A$4&amp;")'!I22")</f>
        <v>0</v>
      </c>
      <c r="J22" s="15">
        <f t="shared" ca="1" si="1"/>
        <v>0.15151515151515152</v>
      </c>
      <c r="K22" s="19"/>
      <c r="L22" s="14">
        <f t="shared" ca="1" si="9"/>
        <v>29</v>
      </c>
      <c r="M22" s="14">
        <f t="shared" ca="1" si="10"/>
        <v>5</v>
      </c>
      <c r="N22" s="14">
        <f ca="1">INDIRECT("'("&amp;$A$4&amp;")'!N22")</f>
        <v>0</v>
      </c>
      <c r="O22" s="15">
        <f t="shared" ca="1" si="2"/>
        <v>0.14705882352941177</v>
      </c>
      <c r="P22" s="19"/>
      <c r="Q22" s="19">
        <f ca="1">INDIRECT("'("&amp;$A$4&amp;")'!Q22")</f>
        <v>0</v>
      </c>
      <c r="R22" s="19">
        <f ca="1">INDIRECT("'("&amp;$A$4&amp;")'!R22")</f>
        <v>2</v>
      </c>
      <c r="S22" s="19">
        <f ca="1">INDIRECT("'("&amp;$A$4&amp;")'!S22")</f>
        <v>0</v>
      </c>
      <c r="T22" s="15">
        <f t="shared" ca="1" si="3"/>
        <v>1</v>
      </c>
      <c r="U22" s="19"/>
      <c r="V22" s="19">
        <f ca="1">INDIRECT("'("&amp;$A$4&amp;")'!V22")</f>
        <v>9</v>
      </c>
      <c r="W22" s="19">
        <f ca="1">INDIRECT("'("&amp;$A$4&amp;")'!W22")</f>
        <v>7</v>
      </c>
      <c r="X22" s="19">
        <f ca="1">INDIRECT("'("&amp;$A$4&amp;")'!X22")</f>
        <v>0</v>
      </c>
      <c r="Y22" s="15">
        <f t="shared" ca="1" si="4"/>
        <v>0.4375</v>
      </c>
      <c r="Z22" s="19"/>
      <c r="AA22" s="14">
        <f t="shared" ca="1" si="6"/>
        <v>38</v>
      </c>
      <c r="AB22" s="14">
        <f t="shared" ca="1" si="7"/>
        <v>14</v>
      </c>
      <c r="AC22" s="14">
        <f ca="1">INDIRECT("'("&amp;$A$4&amp;")'!AC22")</f>
        <v>0</v>
      </c>
      <c r="AD22" s="15">
        <f t="shared" ca="1" si="5"/>
        <v>0.26923076923076922</v>
      </c>
      <c r="AE22" s="16"/>
      <c r="AF22" s="16"/>
      <c r="AG22" s="16"/>
      <c r="AH22" s="16"/>
      <c r="AI22" s="16"/>
      <c r="AJ22" s="16"/>
      <c r="AK22" s="16"/>
      <c r="AL22" s="16"/>
      <c r="AM22" s="16"/>
    </row>
    <row r="23" spans="1:39" s="6" customFormat="1" ht="15" customHeight="1" x14ac:dyDescent="0.3">
      <c r="A23" s="5" t="s">
        <v>25</v>
      </c>
      <c r="B23" s="19">
        <f ca="1">INDIRECT("'("&amp;$A$4&amp;")'!b23")</f>
        <v>2</v>
      </c>
      <c r="C23" s="19">
        <f ca="1">INDIRECT("'("&amp;$A$4&amp;")'!c23")</f>
        <v>0</v>
      </c>
      <c r="D23" s="19">
        <f ca="1">INDIRECT("'("&amp;$A$4&amp;")'!D23")</f>
        <v>0</v>
      </c>
      <c r="E23" s="15">
        <f t="shared" ca="1" si="8"/>
        <v>0</v>
      </c>
      <c r="F23" s="19"/>
      <c r="G23" s="19">
        <f ca="1">INDIRECT("'("&amp;$A$4&amp;")'!G23")</f>
        <v>3</v>
      </c>
      <c r="H23" s="19">
        <f ca="1">INDIRECT("'("&amp;$A$4&amp;")'!H23")</f>
        <v>2</v>
      </c>
      <c r="I23" s="19">
        <f ca="1">INDIRECT("'("&amp;$A$4&amp;")'!I23")</f>
        <v>0</v>
      </c>
      <c r="J23" s="15">
        <f t="shared" ca="1" si="1"/>
        <v>0.4</v>
      </c>
      <c r="K23" s="19"/>
      <c r="L23" s="14">
        <f t="shared" ca="1" si="9"/>
        <v>5</v>
      </c>
      <c r="M23" s="14">
        <f t="shared" ca="1" si="10"/>
        <v>2</v>
      </c>
      <c r="N23" s="14">
        <f ca="1">INDIRECT("'("&amp;$A$4&amp;")'!N23")</f>
        <v>0</v>
      </c>
      <c r="O23" s="15">
        <f t="shared" ca="1" si="2"/>
        <v>0.2857142857142857</v>
      </c>
      <c r="P23" s="19"/>
      <c r="Q23" s="19">
        <f ca="1">INDIRECT("'("&amp;$A$4&amp;")'!Q23")</f>
        <v>2</v>
      </c>
      <c r="R23" s="19">
        <f ca="1">INDIRECT("'("&amp;$A$4&amp;")'!R23")</f>
        <v>0</v>
      </c>
      <c r="S23" s="19">
        <f ca="1">INDIRECT("'("&amp;$A$4&amp;")'!S23")</f>
        <v>0</v>
      </c>
      <c r="T23" s="15">
        <f t="shared" ca="1" si="3"/>
        <v>0</v>
      </c>
      <c r="U23" s="19"/>
      <c r="V23" s="19">
        <f ca="1">INDIRECT("'("&amp;$A$4&amp;")'!V23")</f>
        <v>4</v>
      </c>
      <c r="W23" s="19">
        <f ca="1">INDIRECT("'("&amp;$A$4&amp;")'!W23")</f>
        <v>7</v>
      </c>
      <c r="X23" s="19">
        <f ca="1">INDIRECT("'("&amp;$A$4&amp;")'!X23")</f>
        <v>0</v>
      </c>
      <c r="Y23" s="15">
        <f t="shared" ca="1" si="4"/>
        <v>0.63636363636363635</v>
      </c>
      <c r="Z23" s="19"/>
      <c r="AA23" s="14">
        <f t="shared" ca="1" si="6"/>
        <v>11</v>
      </c>
      <c r="AB23" s="14">
        <f t="shared" ca="1" si="7"/>
        <v>9</v>
      </c>
      <c r="AC23" s="14">
        <f ca="1">INDIRECT("'("&amp;$A$4&amp;")'!AC23")</f>
        <v>0</v>
      </c>
      <c r="AD23" s="15">
        <f t="shared" ca="1" si="5"/>
        <v>0.45</v>
      </c>
      <c r="AE23" s="16"/>
      <c r="AF23" s="16"/>
      <c r="AG23" s="16"/>
      <c r="AH23" s="16"/>
      <c r="AI23" s="16"/>
      <c r="AJ23" s="16"/>
      <c r="AK23" s="16"/>
      <c r="AL23" s="16"/>
      <c r="AM23" s="16"/>
    </row>
    <row r="24" spans="1:39" s="6" customFormat="1" ht="15" customHeight="1" x14ac:dyDescent="0.3">
      <c r="A24" s="5" t="s">
        <v>26</v>
      </c>
      <c r="B24" s="19">
        <f ca="1">INDIRECT("'("&amp;$A$4&amp;")'!b24")</f>
        <v>35</v>
      </c>
      <c r="C24" s="19">
        <f ca="1">INDIRECT("'("&amp;$A$4&amp;")'!c24")</f>
        <v>4</v>
      </c>
      <c r="D24" s="19">
        <f ca="1">INDIRECT("'("&amp;$A$4&amp;")'!D24")</f>
        <v>1</v>
      </c>
      <c r="E24" s="15">
        <f t="shared" ca="1" si="8"/>
        <v>0.1</v>
      </c>
      <c r="F24" s="19"/>
      <c r="G24" s="19">
        <f ca="1">INDIRECT("'("&amp;$A$4&amp;")'!G24")</f>
        <v>56</v>
      </c>
      <c r="H24" s="19">
        <f ca="1">INDIRECT("'("&amp;$A$4&amp;")'!H24")</f>
        <v>7</v>
      </c>
      <c r="I24" s="19">
        <f ca="1">INDIRECT("'("&amp;$A$4&amp;")'!I24")</f>
        <v>3</v>
      </c>
      <c r="J24" s="15">
        <f t="shared" ca="1" si="1"/>
        <v>0.10606060606060606</v>
      </c>
      <c r="K24" s="19"/>
      <c r="L24" s="14">
        <f t="shared" ca="1" si="9"/>
        <v>91</v>
      </c>
      <c r="M24" s="14">
        <f t="shared" ca="1" si="10"/>
        <v>11</v>
      </c>
      <c r="N24" s="14">
        <f ca="1">INDIRECT("'("&amp;$A$4&amp;")'!N24")</f>
        <v>4</v>
      </c>
      <c r="O24" s="15">
        <f t="shared" ca="1" si="2"/>
        <v>0.10377358490566038</v>
      </c>
      <c r="P24" s="19"/>
      <c r="Q24" s="19">
        <f ca="1">INDIRECT("'("&amp;$A$4&amp;")'!Q24")</f>
        <v>0</v>
      </c>
      <c r="R24" s="19">
        <f ca="1">INDIRECT("'("&amp;$A$4&amp;")'!R24")</f>
        <v>2</v>
      </c>
      <c r="S24" s="19">
        <f ca="1">INDIRECT("'("&amp;$A$4&amp;")'!S24")</f>
        <v>0</v>
      </c>
      <c r="T24" s="15">
        <f t="shared" ca="1" si="3"/>
        <v>1</v>
      </c>
      <c r="U24" s="19"/>
      <c r="V24" s="19">
        <f ca="1">INDIRECT("'("&amp;$A$4&amp;")'!V24")</f>
        <v>14</v>
      </c>
      <c r="W24" s="19">
        <f ca="1">INDIRECT("'("&amp;$A$4&amp;")'!W24")</f>
        <v>20</v>
      </c>
      <c r="X24" s="19">
        <f ca="1">INDIRECT("'("&amp;$A$4&amp;")'!X24")</f>
        <v>1</v>
      </c>
      <c r="Y24" s="15">
        <f t="shared" ca="1" si="4"/>
        <v>0.5714285714285714</v>
      </c>
      <c r="Z24" s="19"/>
      <c r="AA24" s="14">
        <f t="shared" ca="1" si="6"/>
        <v>105</v>
      </c>
      <c r="AB24" s="14">
        <f t="shared" ca="1" si="7"/>
        <v>33</v>
      </c>
      <c r="AC24" s="14">
        <f ca="1">INDIRECT("'("&amp;$A$4&amp;")'!AC24")</f>
        <v>5</v>
      </c>
      <c r="AD24" s="15">
        <f t="shared" ca="1" si="5"/>
        <v>0.23076923076923078</v>
      </c>
      <c r="AE24" s="16"/>
      <c r="AF24" s="16"/>
      <c r="AG24" s="16"/>
      <c r="AH24" s="16"/>
      <c r="AI24" s="16"/>
      <c r="AJ24" s="16"/>
      <c r="AK24" s="16"/>
      <c r="AL24" s="16"/>
      <c r="AM24" s="16"/>
    </row>
    <row r="25" spans="1:39" s="6" customFormat="1" ht="15" customHeight="1" x14ac:dyDescent="0.3">
      <c r="A25" s="5" t="s">
        <v>27</v>
      </c>
      <c r="B25" s="19">
        <f ca="1">INDIRECT("'("&amp;$A$4&amp;")'!b25")</f>
        <v>12</v>
      </c>
      <c r="C25" s="19">
        <f ca="1">INDIRECT("'("&amp;$A$4&amp;")'!c25")</f>
        <v>1</v>
      </c>
      <c r="D25" s="19">
        <f ca="1">INDIRECT("'("&amp;$A$4&amp;")'!D25")</f>
        <v>0</v>
      </c>
      <c r="E25" s="15">
        <f t="shared" ca="1" si="8"/>
        <v>7.6923076923076927E-2</v>
      </c>
      <c r="F25" s="19"/>
      <c r="G25" s="19">
        <f ca="1">INDIRECT("'("&amp;$A$4&amp;")'!G25")</f>
        <v>28</v>
      </c>
      <c r="H25" s="19">
        <f ca="1">INDIRECT("'("&amp;$A$4&amp;")'!H25")</f>
        <v>9</v>
      </c>
      <c r="I25" s="19">
        <f ca="1">INDIRECT("'("&amp;$A$4&amp;")'!I25")</f>
        <v>0</v>
      </c>
      <c r="J25" s="15">
        <f t="shared" ca="1" si="1"/>
        <v>0.24324324324324326</v>
      </c>
      <c r="K25" s="19"/>
      <c r="L25" s="14">
        <f t="shared" ca="1" si="9"/>
        <v>40</v>
      </c>
      <c r="M25" s="14">
        <f t="shared" ca="1" si="10"/>
        <v>10</v>
      </c>
      <c r="N25" s="14">
        <f ca="1">INDIRECT("'("&amp;$A$4&amp;")'!N25")</f>
        <v>0</v>
      </c>
      <c r="O25" s="15">
        <f t="shared" ca="1" si="2"/>
        <v>0.2</v>
      </c>
      <c r="P25" s="19"/>
      <c r="Q25" s="19">
        <f ca="1">INDIRECT("'("&amp;$A$4&amp;")'!Q25")</f>
        <v>0</v>
      </c>
      <c r="R25" s="19">
        <f ca="1">INDIRECT("'("&amp;$A$4&amp;")'!R25")</f>
        <v>0</v>
      </c>
      <c r="S25" s="19">
        <f ca="1">INDIRECT("'("&amp;$A$4&amp;")'!S25")</f>
        <v>0</v>
      </c>
      <c r="T25" s="15" t="str">
        <f t="shared" ca="1" si="3"/>
        <v>-</v>
      </c>
      <c r="U25" s="19"/>
      <c r="V25" s="19">
        <f ca="1">INDIRECT("'("&amp;$A$4&amp;")'!V25")</f>
        <v>4</v>
      </c>
      <c r="W25" s="19">
        <f ca="1">INDIRECT("'("&amp;$A$4&amp;")'!W25")</f>
        <v>1</v>
      </c>
      <c r="X25" s="19">
        <f ca="1">INDIRECT("'("&amp;$A$4&amp;")'!X25")</f>
        <v>0</v>
      </c>
      <c r="Y25" s="15">
        <f t="shared" ca="1" si="4"/>
        <v>0.2</v>
      </c>
      <c r="Z25" s="19"/>
      <c r="AA25" s="14">
        <f t="shared" ca="1" si="6"/>
        <v>44</v>
      </c>
      <c r="AB25" s="14">
        <f t="shared" ca="1" si="7"/>
        <v>11</v>
      </c>
      <c r="AC25" s="14">
        <f ca="1">INDIRECT("'("&amp;$A$4&amp;")'!AC25")</f>
        <v>0</v>
      </c>
      <c r="AD25" s="15">
        <f t="shared" ca="1" si="5"/>
        <v>0.2</v>
      </c>
      <c r="AE25" s="16"/>
      <c r="AF25" s="16"/>
      <c r="AG25" s="16"/>
      <c r="AH25" s="16"/>
      <c r="AI25" s="16"/>
      <c r="AJ25" s="16"/>
      <c r="AK25" s="16"/>
      <c r="AL25" s="16"/>
      <c r="AM25" s="16"/>
    </row>
    <row r="26" spans="1:39" s="6" customFormat="1" ht="15" customHeight="1" x14ac:dyDescent="0.3">
      <c r="A26" s="5" t="s">
        <v>28</v>
      </c>
      <c r="B26" s="19">
        <f ca="1">INDIRECT("'("&amp;$A$4&amp;")'!b26")</f>
        <v>86</v>
      </c>
      <c r="C26" s="19">
        <f ca="1">INDIRECT("'("&amp;$A$4&amp;")'!c26")</f>
        <v>9</v>
      </c>
      <c r="D26" s="19">
        <f ca="1">INDIRECT("'("&amp;$A$4&amp;")'!D26")</f>
        <v>0</v>
      </c>
      <c r="E26" s="15">
        <f t="shared" ca="1" si="8"/>
        <v>9.4736842105263161E-2</v>
      </c>
      <c r="F26" s="19"/>
      <c r="G26" s="19">
        <f ca="1">INDIRECT("'("&amp;$A$4&amp;")'!G26")</f>
        <v>82</v>
      </c>
      <c r="H26" s="19">
        <f ca="1">INDIRECT("'("&amp;$A$4&amp;")'!H26")</f>
        <v>9</v>
      </c>
      <c r="I26" s="19">
        <f ca="1">INDIRECT("'("&amp;$A$4&amp;")'!I26")</f>
        <v>0</v>
      </c>
      <c r="J26" s="15">
        <f t="shared" ca="1" si="1"/>
        <v>9.8901098901098897E-2</v>
      </c>
      <c r="K26" s="19"/>
      <c r="L26" s="14">
        <f t="shared" ca="1" si="9"/>
        <v>168</v>
      </c>
      <c r="M26" s="14">
        <f t="shared" ca="1" si="10"/>
        <v>18</v>
      </c>
      <c r="N26" s="14">
        <f ca="1">INDIRECT("'("&amp;$A$4&amp;")'!N26")</f>
        <v>0</v>
      </c>
      <c r="O26" s="15">
        <f t="shared" ca="1" si="2"/>
        <v>9.6774193548387094E-2</v>
      </c>
      <c r="P26" s="19"/>
      <c r="Q26" s="19">
        <f ca="1">INDIRECT("'("&amp;$A$4&amp;")'!Q26")</f>
        <v>1</v>
      </c>
      <c r="R26" s="19">
        <f ca="1">INDIRECT("'("&amp;$A$4&amp;")'!R26")</f>
        <v>1</v>
      </c>
      <c r="S26" s="19">
        <f ca="1">INDIRECT("'("&amp;$A$4&amp;")'!S26")</f>
        <v>0</v>
      </c>
      <c r="T26" s="15">
        <f t="shared" ca="1" si="3"/>
        <v>0.5</v>
      </c>
      <c r="U26" s="19"/>
      <c r="V26" s="19">
        <f ca="1">INDIRECT("'("&amp;$A$4&amp;")'!V26")</f>
        <v>61</v>
      </c>
      <c r="W26" s="19">
        <f ca="1">INDIRECT("'("&amp;$A$4&amp;")'!W26")</f>
        <v>68</v>
      </c>
      <c r="X26" s="19">
        <f ca="1">INDIRECT("'("&amp;$A$4&amp;")'!X26")</f>
        <v>0</v>
      </c>
      <c r="Y26" s="15">
        <f t="shared" ca="1" si="4"/>
        <v>0.52713178294573648</v>
      </c>
      <c r="Z26" s="19"/>
      <c r="AA26" s="14">
        <f t="shared" ca="1" si="6"/>
        <v>230</v>
      </c>
      <c r="AB26" s="14">
        <f t="shared" ca="1" si="7"/>
        <v>87</v>
      </c>
      <c r="AC26" s="14">
        <f ca="1">INDIRECT("'("&amp;$A$4&amp;")'!AC26")</f>
        <v>0</v>
      </c>
      <c r="AD26" s="15">
        <f t="shared" ca="1" si="5"/>
        <v>0.27444794952681389</v>
      </c>
      <c r="AE26" s="16"/>
      <c r="AF26" s="16"/>
      <c r="AG26" s="16"/>
      <c r="AH26" s="16"/>
      <c r="AI26" s="16"/>
      <c r="AJ26" s="16"/>
      <c r="AK26" s="16"/>
      <c r="AL26" s="16"/>
      <c r="AM26" s="16"/>
    </row>
    <row r="27" spans="1:39" s="6" customFormat="1" ht="15" customHeight="1" x14ac:dyDescent="0.3">
      <c r="A27" s="5" t="s">
        <v>29</v>
      </c>
      <c r="B27" s="19">
        <f ca="1">INDIRECT("'("&amp;$A$4&amp;")'!b27")</f>
        <v>25</v>
      </c>
      <c r="C27" s="19">
        <f ca="1">INDIRECT("'("&amp;$A$4&amp;")'!c27")</f>
        <v>7</v>
      </c>
      <c r="D27" s="19">
        <f ca="1">INDIRECT("'("&amp;$A$4&amp;")'!D27")</f>
        <v>0</v>
      </c>
      <c r="E27" s="15">
        <f t="shared" ca="1" si="8"/>
        <v>0.21875</v>
      </c>
      <c r="F27" s="19"/>
      <c r="G27" s="19">
        <f ca="1">INDIRECT("'("&amp;$A$4&amp;")'!G27")</f>
        <v>32</v>
      </c>
      <c r="H27" s="19">
        <f ca="1">INDIRECT("'("&amp;$A$4&amp;")'!H27")</f>
        <v>2</v>
      </c>
      <c r="I27" s="19">
        <f ca="1">INDIRECT("'("&amp;$A$4&amp;")'!I27")</f>
        <v>0</v>
      </c>
      <c r="J27" s="15">
        <f t="shared" ca="1" si="1"/>
        <v>5.8823529411764705E-2</v>
      </c>
      <c r="K27" s="19"/>
      <c r="L27" s="14">
        <f t="shared" ca="1" si="9"/>
        <v>57</v>
      </c>
      <c r="M27" s="14">
        <f t="shared" ca="1" si="10"/>
        <v>9</v>
      </c>
      <c r="N27" s="14">
        <f ca="1">INDIRECT("'("&amp;$A$4&amp;")'!N27")</f>
        <v>0</v>
      </c>
      <c r="O27" s="15">
        <f t="shared" ca="1" si="2"/>
        <v>0.13636363636363635</v>
      </c>
      <c r="P27" s="19"/>
      <c r="Q27" s="19">
        <f ca="1">INDIRECT("'("&amp;$A$4&amp;")'!Q27")</f>
        <v>0</v>
      </c>
      <c r="R27" s="19">
        <f ca="1">INDIRECT("'("&amp;$A$4&amp;")'!R27")</f>
        <v>3</v>
      </c>
      <c r="S27" s="19">
        <f ca="1">INDIRECT("'("&amp;$A$4&amp;")'!S27")</f>
        <v>0</v>
      </c>
      <c r="T27" s="15">
        <f t="shared" ca="1" si="3"/>
        <v>1</v>
      </c>
      <c r="U27" s="19"/>
      <c r="V27" s="19">
        <f ca="1">INDIRECT("'("&amp;$A$4&amp;")'!V27")</f>
        <v>7</v>
      </c>
      <c r="W27" s="19">
        <f ca="1">INDIRECT("'("&amp;$A$4&amp;")'!W27")</f>
        <v>8</v>
      </c>
      <c r="X27" s="19">
        <f ca="1">INDIRECT("'("&amp;$A$4&amp;")'!X27")</f>
        <v>0</v>
      </c>
      <c r="Y27" s="15">
        <f t="shared" ca="1" si="4"/>
        <v>0.53333333333333333</v>
      </c>
      <c r="Z27" s="19"/>
      <c r="AA27" s="14">
        <f t="shared" ca="1" si="6"/>
        <v>64</v>
      </c>
      <c r="AB27" s="14">
        <f t="shared" ca="1" si="7"/>
        <v>20</v>
      </c>
      <c r="AC27" s="14">
        <f ca="1">INDIRECT("'("&amp;$A$4&amp;")'!AC27")</f>
        <v>0</v>
      </c>
      <c r="AD27" s="15">
        <f t="shared" ca="1" si="5"/>
        <v>0.23809523809523808</v>
      </c>
      <c r="AE27" s="16"/>
      <c r="AF27" s="16"/>
      <c r="AG27" s="16"/>
      <c r="AH27" s="16"/>
      <c r="AI27" s="16"/>
      <c r="AJ27" s="16"/>
      <c r="AK27" s="16"/>
      <c r="AL27" s="16"/>
      <c r="AM27" s="16"/>
    </row>
    <row r="28" spans="1:39" s="6" customFormat="1" ht="15" customHeight="1" x14ac:dyDescent="0.3">
      <c r="A28" s="5" t="s">
        <v>30</v>
      </c>
      <c r="B28" s="19">
        <f ca="1">INDIRECT("'("&amp;$A$4&amp;")'!b28")</f>
        <v>22</v>
      </c>
      <c r="C28" s="19">
        <f ca="1">INDIRECT("'("&amp;$A$4&amp;")'!c28")</f>
        <v>1</v>
      </c>
      <c r="D28" s="19">
        <f ca="1">INDIRECT("'("&amp;$A$4&amp;")'!D28")</f>
        <v>0</v>
      </c>
      <c r="E28" s="15">
        <f t="shared" ca="1" si="8"/>
        <v>4.3478260869565216E-2</v>
      </c>
      <c r="F28" s="19"/>
      <c r="G28" s="19">
        <f ca="1">INDIRECT("'("&amp;$A$4&amp;")'!G28")</f>
        <v>24</v>
      </c>
      <c r="H28" s="19">
        <f ca="1">INDIRECT("'("&amp;$A$4&amp;")'!H28")</f>
        <v>1</v>
      </c>
      <c r="I28" s="19">
        <f ca="1">INDIRECT("'("&amp;$A$4&amp;")'!I28")</f>
        <v>0</v>
      </c>
      <c r="J28" s="15">
        <f t="shared" ca="1" si="1"/>
        <v>0.04</v>
      </c>
      <c r="K28" s="19"/>
      <c r="L28" s="14">
        <f t="shared" ca="1" si="9"/>
        <v>46</v>
      </c>
      <c r="M28" s="14">
        <f t="shared" ca="1" si="10"/>
        <v>2</v>
      </c>
      <c r="N28" s="14">
        <f ca="1">INDIRECT("'("&amp;$A$4&amp;")'!N28")</f>
        <v>0</v>
      </c>
      <c r="O28" s="15">
        <f t="shared" ca="1" si="2"/>
        <v>4.1666666666666664E-2</v>
      </c>
      <c r="P28" s="19"/>
      <c r="Q28" s="19">
        <f ca="1">INDIRECT("'("&amp;$A$4&amp;")'!Q28")</f>
        <v>3</v>
      </c>
      <c r="R28" s="19">
        <f ca="1">INDIRECT("'("&amp;$A$4&amp;")'!R28")</f>
        <v>2</v>
      </c>
      <c r="S28" s="19">
        <f ca="1">INDIRECT("'("&amp;$A$4&amp;")'!S28")</f>
        <v>0</v>
      </c>
      <c r="T28" s="15">
        <f t="shared" ca="1" si="3"/>
        <v>0.4</v>
      </c>
      <c r="U28" s="19"/>
      <c r="V28" s="19">
        <f ca="1">INDIRECT("'("&amp;$A$4&amp;")'!V28")</f>
        <v>15</v>
      </c>
      <c r="W28" s="19">
        <f ca="1">INDIRECT("'("&amp;$A$4&amp;")'!W28")</f>
        <v>17</v>
      </c>
      <c r="X28" s="19">
        <f ca="1">INDIRECT("'("&amp;$A$4&amp;")'!X28")</f>
        <v>0</v>
      </c>
      <c r="Y28" s="15">
        <f t="shared" ca="1" si="4"/>
        <v>0.53125</v>
      </c>
      <c r="Z28" s="19"/>
      <c r="AA28" s="14">
        <f t="shared" ca="1" si="6"/>
        <v>64</v>
      </c>
      <c r="AB28" s="14">
        <f t="shared" ca="1" si="7"/>
        <v>21</v>
      </c>
      <c r="AC28" s="14">
        <f ca="1">INDIRECT("'("&amp;$A$4&amp;")'!AC28")</f>
        <v>0</v>
      </c>
      <c r="AD28" s="15">
        <f t="shared" ca="1" si="5"/>
        <v>0.24705882352941178</v>
      </c>
      <c r="AE28" s="16"/>
      <c r="AF28" s="16"/>
      <c r="AG28" s="16"/>
      <c r="AH28" s="16"/>
      <c r="AI28" s="16"/>
      <c r="AJ28" s="16"/>
      <c r="AK28" s="16"/>
      <c r="AL28" s="16"/>
      <c r="AM28" s="16"/>
    </row>
    <row r="29" spans="1:39" s="6" customFormat="1" ht="15" customHeight="1" x14ac:dyDescent="0.3">
      <c r="A29" s="5" t="s">
        <v>31</v>
      </c>
      <c r="B29" s="19">
        <f ca="1">INDIRECT("'("&amp;$A$4&amp;")'!b29")</f>
        <v>0</v>
      </c>
      <c r="C29" s="19">
        <f ca="1">INDIRECT("'("&amp;$A$4&amp;")'!c29")</f>
        <v>0</v>
      </c>
      <c r="D29" s="19">
        <f ca="1">INDIRECT("'("&amp;$A$4&amp;")'!D29")</f>
        <v>0</v>
      </c>
      <c r="E29" s="15" t="str">
        <f t="shared" ca="1" si="8"/>
        <v>-</v>
      </c>
      <c r="F29" s="19"/>
      <c r="G29" s="19">
        <f ca="1">INDIRECT("'("&amp;$A$4&amp;")'!G29")</f>
        <v>21</v>
      </c>
      <c r="H29" s="19">
        <f ca="1">INDIRECT("'("&amp;$A$4&amp;")'!H29")</f>
        <v>0</v>
      </c>
      <c r="I29" s="19">
        <f ca="1">INDIRECT("'("&amp;$A$4&amp;")'!I29")</f>
        <v>0</v>
      </c>
      <c r="J29" s="15">
        <f t="shared" ca="1" si="1"/>
        <v>0</v>
      </c>
      <c r="K29" s="19"/>
      <c r="L29" s="14">
        <f t="shared" ca="1" si="9"/>
        <v>21</v>
      </c>
      <c r="M29" s="14">
        <f t="shared" ca="1" si="10"/>
        <v>0</v>
      </c>
      <c r="N29" s="14">
        <f ca="1">INDIRECT("'("&amp;$A$4&amp;")'!N29")</f>
        <v>0</v>
      </c>
      <c r="O29" s="15">
        <f t="shared" ca="1" si="2"/>
        <v>0</v>
      </c>
      <c r="P29" s="19"/>
      <c r="Q29" s="19">
        <f ca="1">INDIRECT("'("&amp;$A$4&amp;")'!Q29")</f>
        <v>0</v>
      </c>
      <c r="R29" s="19">
        <f ca="1">INDIRECT("'("&amp;$A$4&amp;")'!R29")</f>
        <v>0</v>
      </c>
      <c r="S29" s="19">
        <f ca="1">INDIRECT("'("&amp;$A$4&amp;")'!S29")</f>
        <v>0</v>
      </c>
      <c r="T29" s="15" t="str">
        <f t="shared" ca="1" si="3"/>
        <v>-</v>
      </c>
      <c r="U29" s="19"/>
      <c r="V29" s="19">
        <f ca="1">INDIRECT("'("&amp;$A$4&amp;")'!V29")</f>
        <v>2</v>
      </c>
      <c r="W29" s="19">
        <f ca="1">INDIRECT("'("&amp;$A$4&amp;")'!W29")</f>
        <v>10</v>
      </c>
      <c r="X29" s="19">
        <f ca="1">INDIRECT("'("&amp;$A$4&amp;")'!X29")</f>
        <v>0</v>
      </c>
      <c r="Y29" s="15">
        <f t="shared" ca="1" si="4"/>
        <v>0.83333333333333337</v>
      </c>
      <c r="Z29" s="19"/>
      <c r="AA29" s="14">
        <f t="shared" ca="1" si="6"/>
        <v>23</v>
      </c>
      <c r="AB29" s="14">
        <f t="shared" ca="1" si="7"/>
        <v>10</v>
      </c>
      <c r="AC29" s="14">
        <f ca="1">INDIRECT("'("&amp;$A$4&amp;")'!AC29")</f>
        <v>0</v>
      </c>
      <c r="AD29" s="15">
        <f t="shared" ca="1" si="5"/>
        <v>0.30303030303030304</v>
      </c>
      <c r="AE29" s="16"/>
      <c r="AF29" s="16"/>
      <c r="AG29" s="16"/>
      <c r="AH29" s="16"/>
      <c r="AI29" s="16"/>
      <c r="AJ29" s="16"/>
      <c r="AK29" s="16"/>
      <c r="AL29" s="16"/>
      <c r="AM29" s="16"/>
    </row>
    <row r="30" spans="1:39" s="6" customFormat="1" ht="15" customHeight="1" x14ac:dyDescent="0.3">
      <c r="A30" s="5" t="s">
        <v>32</v>
      </c>
      <c r="B30" s="19">
        <f ca="1">INDIRECT("'("&amp;$A$4&amp;")'!b30")</f>
        <v>1</v>
      </c>
      <c r="C30" s="19">
        <f ca="1">INDIRECT("'("&amp;$A$4&amp;")'!c30")</f>
        <v>0</v>
      </c>
      <c r="D30" s="19">
        <f ca="1">INDIRECT("'("&amp;$A$4&amp;")'!D30")</f>
        <v>0</v>
      </c>
      <c r="E30" s="15">
        <f t="shared" ca="1" si="8"/>
        <v>0</v>
      </c>
      <c r="F30" s="19"/>
      <c r="G30" s="19">
        <f ca="1">INDIRECT("'("&amp;$A$4&amp;")'!G30")</f>
        <v>0</v>
      </c>
      <c r="H30" s="19">
        <f ca="1">INDIRECT("'("&amp;$A$4&amp;")'!H30")</f>
        <v>0</v>
      </c>
      <c r="I30" s="19">
        <f ca="1">INDIRECT("'("&amp;$A$4&amp;")'!I30")</f>
        <v>0</v>
      </c>
      <c r="J30" s="15" t="str">
        <f t="shared" ca="1" si="1"/>
        <v>-</v>
      </c>
      <c r="K30" s="19"/>
      <c r="L30" s="14">
        <f t="shared" ca="1" si="9"/>
        <v>1</v>
      </c>
      <c r="M30" s="14">
        <f t="shared" ca="1" si="10"/>
        <v>0</v>
      </c>
      <c r="N30" s="14">
        <f ca="1">INDIRECT("'("&amp;$A$4&amp;")'!N30")</f>
        <v>0</v>
      </c>
      <c r="O30" s="15">
        <f t="shared" ca="1" si="2"/>
        <v>0</v>
      </c>
      <c r="P30" s="19"/>
      <c r="Q30" s="19">
        <f ca="1">INDIRECT("'("&amp;$A$4&amp;")'!Q30")</f>
        <v>0</v>
      </c>
      <c r="R30" s="19">
        <f ca="1">INDIRECT("'("&amp;$A$4&amp;")'!R30")</f>
        <v>0</v>
      </c>
      <c r="S30" s="19">
        <f ca="1">INDIRECT("'("&amp;$A$4&amp;")'!S30")</f>
        <v>0</v>
      </c>
      <c r="T30" s="15" t="str">
        <f t="shared" ca="1" si="3"/>
        <v>-</v>
      </c>
      <c r="U30" s="19"/>
      <c r="V30" s="19">
        <f ca="1">INDIRECT("'("&amp;$A$4&amp;")'!V30")</f>
        <v>0</v>
      </c>
      <c r="W30" s="19">
        <f ca="1">INDIRECT("'("&amp;$A$4&amp;")'!W30")</f>
        <v>1</v>
      </c>
      <c r="X30" s="19">
        <f ca="1">INDIRECT("'("&amp;$A$4&amp;")'!X30")</f>
        <v>0</v>
      </c>
      <c r="Y30" s="15">
        <f t="shared" ca="1" si="4"/>
        <v>1</v>
      </c>
      <c r="Z30" s="19"/>
      <c r="AA30" s="14">
        <f t="shared" ca="1" si="6"/>
        <v>1</v>
      </c>
      <c r="AB30" s="14">
        <f t="shared" ca="1" si="7"/>
        <v>1</v>
      </c>
      <c r="AC30" s="14">
        <f ca="1">INDIRECT("'("&amp;$A$4&amp;")'!AC30")</f>
        <v>0</v>
      </c>
      <c r="AD30" s="15">
        <f t="shared" ca="1" si="5"/>
        <v>0.5</v>
      </c>
      <c r="AE30" s="16"/>
      <c r="AF30" s="16"/>
      <c r="AG30" s="16"/>
      <c r="AH30" s="16"/>
      <c r="AI30" s="16"/>
      <c r="AJ30" s="16"/>
      <c r="AK30" s="16"/>
      <c r="AL30" s="16"/>
      <c r="AM30" s="16"/>
    </row>
    <row r="31" spans="1:39" s="6" customFormat="1" ht="15" customHeight="1" x14ac:dyDescent="0.3">
      <c r="A31" s="6" t="s">
        <v>33</v>
      </c>
      <c r="B31" s="19">
        <f ca="1">INDIRECT("'("&amp;$A$4&amp;")'!b31")</f>
        <v>12</v>
      </c>
      <c r="C31" s="19">
        <f ca="1">INDIRECT("'("&amp;$A$4&amp;")'!c31")</f>
        <v>2</v>
      </c>
      <c r="D31" s="19">
        <f ca="1">INDIRECT("'("&amp;$A$4&amp;")'!D31")</f>
        <v>0</v>
      </c>
      <c r="E31" s="15">
        <f t="shared" ca="1" si="8"/>
        <v>0.14285714285714285</v>
      </c>
      <c r="F31" s="19"/>
      <c r="G31" s="19">
        <f ca="1">INDIRECT("'("&amp;$A$4&amp;")'!G31")</f>
        <v>17</v>
      </c>
      <c r="H31" s="19">
        <f ca="1">INDIRECT("'("&amp;$A$4&amp;")'!H31")</f>
        <v>3</v>
      </c>
      <c r="I31" s="19">
        <f ca="1">INDIRECT("'("&amp;$A$4&amp;")'!I31")</f>
        <v>0</v>
      </c>
      <c r="J31" s="15">
        <f t="shared" ca="1" si="1"/>
        <v>0.15</v>
      </c>
      <c r="K31" s="19"/>
      <c r="L31" s="14">
        <f t="shared" ca="1" si="9"/>
        <v>29</v>
      </c>
      <c r="M31" s="14">
        <f t="shared" ca="1" si="10"/>
        <v>5</v>
      </c>
      <c r="N31" s="14">
        <f ca="1">INDIRECT("'("&amp;$A$4&amp;")'!N31")</f>
        <v>0</v>
      </c>
      <c r="O31" s="15">
        <f t="shared" ca="1" si="2"/>
        <v>0.14705882352941177</v>
      </c>
      <c r="P31" s="19"/>
      <c r="Q31" s="19">
        <f ca="1">INDIRECT("'("&amp;$A$4&amp;")'!Q31")</f>
        <v>0</v>
      </c>
      <c r="R31" s="19">
        <f ca="1">INDIRECT("'("&amp;$A$4&amp;")'!R31")</f>
        <v>0</v>
      </c>
      <c r="S31" s="19">
        <f ca="1">INDIRECT("'("&amp;$A$4&amp;")'!S31")</f>
        <v>0</v>
      </c>
      <c r="T31" s="15" t="str">
        <f t="shared" ca="1" si="3"/>
        <v>-</v>
      </c>
      <c r="U31" s="19"/>
      <c r="V31" s="19">
        <f ca="1">INDIRECT("'("&amp;$A$4&amp;")'!V31")</f>
        <v>21</v>
      </c>
      <c r="W31" s="19">
        <f ca="1">INDIRECT("'("&amp;$A$4&amp;")'!W31")</f>
        <v>27</v>
      </c>
      <c r="X31" s="19">
        <f ca="1">INDIRECT("'("&amp;$A$4&amp;")'!X31")</f>
        <v>0</v>
      </c>
      <c r="Y31" s="15">
        <f t="shared" ca="1" si="4"/>
        <v>0.5625</v>
      </c>
      <c r="Z31" s="19"/>
      <c r="AA31" s="14">
        <f t="shared" ca="1" si="6"/>
        <v>50</v>
      </c>
      <c r="AB31" s="14">
        <f t="shared" ca="1" si="7"/>
        <v>32</v>
      </c>
      <c r="AC31" s="14">
        <f ca="1">INDIRECT("'("&amp;$A$4&amp;")'!AC31")</f>
        <v>0</v>
      </c>
      <c r="AD31" s="15">
        <f t="shared" ca="1" si="5"/>
        <v>0.3902439024390244</v>
      </c>
      <c r="AE31" s="16"/>
      <c r="AF31" s="16"/>
      <c r="AG31" s="16"/>
      <c r="AH31" s="16"/>
      <c r="AI31" s="16"/>
      <c r="AJ31" s="16"/>
      <c r="AK31" s="16"/>
      <c r="AL31" s="16"/>
      <c r="AM31" s="16"/>
    </row>
    <row r="32" spans="1:39" s="6" customFormat="1" ht="15" customHeight="1" x14ac:dyDescent="0.3">
      <c r="A32" s="6" t="s">
        <v>34</v>
      </c>
      <c r="B32" s="19">
        <f ca="1">INDIRECT("'("&amp;$A$4&amp;")'!b32")</f>
        <v>34</v>
      </c>
      <c r="C32" s="19">
        <f ca="1">INDIRECT("'("&amp;$A$4&amp;")'!c32")</f>
        <v>7</v>
      </c>
      <c r="D32" s="19">
        <f ca="1">INDIRECT("'("&amp;$A$4&amp;")'!D32")</f>
        <v>0</v>
      </c>
      <c r="E32" s="15">
        <f t="shared" ca="1" si="8"/>
        <v>0.17073170731707318</v>
      </c>
      <c r="F32" s="19"/>
      <c r="G32" s="19">
        <f ca="1">INDIRECT("'("&amp;$A$4&amp;")'!G32")</f>
        <v>49</v>
      </c>
      <c r="H32" s="19">
        <f ca="1">INDIRECT("'("&amp;$A$4&amp;")'!H32")</f>
        <v>4</v>
      </c>
      <c r="I32" s="19">
        <f ca="1">INDIRECT("'("&amp;$A$4&amp;")'!I32")</f>
        <v>0</v>
      </c>
      <c r="J32" s="15">
        <f t="shared" ca="1" si="1"/>
        <v>7.5471698113207544E-2</v>
      </c>
      <c r="K32" s="19"/>
      <c r="L32" s="14">
        <f t="shared" ca="1" si="9"/>
        <v>83</v>
      </c>
      <c r="M32" s="14">
        <f t="shared" ca="1" si="10"/>
        <v>11</v>
      </c>
      <c r="N32" s="14">
        <f ca="1">INDIRECT("'("&amp;$A$4&amp;")'!N32")</f>
        <v>0</v>
      </c>
      <c r="O32" s="15">
        <f t="shared" ca="1" si="2"/>
        <v>0.11702127659574468</v>
      </c>
      <c r="P32" s="19"/>
      <c r="Q32" s="19">
        <f ca="1">INDIRECT("'("&amp;$A$4&amp;")'!Q32")</f>
        <v>0</v>
      </c>
      <c r="R32" s="19">
        <f ca="1">INDIRECT("'("&amp;$A$4&amp;")'!R32")</f>
        <v>0</v>
      </c>
      <c r="S32" s="19">
        <f ca="1">INDIRECT("'("&amp;$A$4&amp;")'!S32")</f>
        <v>0</v>
      </c>
      <c r="T32" s="15" t="str">
        <f t="shared" ca="1" si="3"/>
        <v>-</v>
      </c>
      <c r="U32" s="19"/>
      <c r="V32" s="19">
        <f ca="1">INDIRECT("'("&amp;$A$4&amp;")'!V32")</f>
        <v>12</v>
      </c>
      <c r="W32" s="19">
        <f ca="1">INDIRECT("'("&amp;$A$4&amp;")'!W32")</f>
        <v>11</v>
      </c>
      <c r="X32" s="19">
        <f ca="1">INDIRECT("'("&amp;$A$4&amp;")'!X32")</f>
        <v>0</v>
      </c>
      <c r="Y32" s="15">
        <f t="shared" ca="1" si="4"/>
        <v>0.47826086956521741</v>
      </c>
      <c r="Z32" s="19"/>
      <c r="AA32" s="14">
        <f t="shared" ca="1" si="6"/>
        <v>95</v>
      </c>
      <c r="AB32" s="14">
        <f t="shared" ca="1" si="7"/>
        <v>22</v>
      </c>
      <c r="AC32" s="14">
        <f ca="1">INDIRECT("'("&amp;$A$4&amp;")'!AC32")</f>
        <v>0</v>
      </c>
      <c r="AD32" s="15">
        <f t="shared" ca="1" si="5"/>
        <v>0.18803418803418803</v>
      </c>
      <c r="AE32" s="16"/>
      <c r="AF32" s="16"/>
      <c r="AG32" s="16"/>
      <c r="AH32" s="16"/>
      <c r="AI32" s="16"/>
      <c r="AJ32" s="16"/>
      <c r="AK32" s="16"/>
      <c r="AL32" s="16"/>
      <c r="AM32" s="16"/>
    </row>
    <row r="33" spans="1:39" s="6" customFormat="1" ht="15" customHeight="1" x14ac:dyDescent="0.3">
      <c r="A33" s="5" t="s">
        <v>35</v>
      </c>
      <c r="B33" s="19">
        <f ca="1">INDIRECT("'("&amp;$A$4&amp;")'!b33")</f>
        <v>13</v>
      </c>
      <c r="C33" s="19">
        <f ca="1">INDIRECT("'("&amp;$A$4&amp;")'!c33")</f>
        <v>2</v>
      </c>
      <c r="D33" s="19">
        <f ca="1">INDIRECT("'("&amp;$A$4&amp;")'!D33")</f>
        <v>0</v>
      </c>
      <c r="E33" s="15">
        <f t="shared" ca="1" si="8"/>
        <v>0.13333333333333333</v>
      </c>
      <c r="F33" s="19"/>
      <c r="G33" s="19">
        <f ca="1">INDIRECT("'("&amp;$A$4&amp;")'!G33")</f>
        <v>16</v>
      </c>
      <c r="H33" s="19">
        <f ca="1">INDIRECT("'("&amp;$A$4&amp;")'!H33")</f>
        <v>4</v>
      </c>
      <c r="I33" s="19">
        <f ca="1">INDIRECT("'("&amp;$A$4&amp;")'!I33")</f>
        <v>0</v>
      </c>
      <c r="J33" s="15">
        <f t="shared" ca="1" si="1"/>
        <v>0.2</v>
      </c>
      <c r="K33" s="19"/>
      <c r="L33" s="14">
        <f t="shared" ca="1" si="9"/>
        <v>29</v>
      </c>
      <c r="M33" s="14">
        <f t="shared" ca="1" si="10"/>
        <v>6</v>
      </c>
      <c r="N33" s="14">
        <f ca="1">INDIRECT("'("&amp;$A$4&amp;")'!N33")</f>
        <v>0</v>
      </c>
      <c r="O33" s="15">
        <f t="shared" ca="1" si="2"/>
        <v>0.17142857142857143</v>
      </c>
      <c r="P33" s="19"/>
      <c r="Q33" s="19">
        <f ca="1">INDIRECT("'("&amp;$A$4&amp;")'!Q33")</f>
        <v>0</v>
      </c>
      <c r="R33" s="19">
        <f ca="1">INDIRECT("'("&amp;$A$4&amp;")'!R33")</f>
        <v>1</v>
      </c>
      <c r="S33" s="19">
        <f ca="1">INDIRECT("'("&amp;$A$4&amp;")'!S33")</f>
        <v>0</v>
      </c>
      <c r="T33" s="15">
        <f t="shared" ca="1" si="3"/>
        <v>1</v>
      </c>
      <c r="U33" s="19"/>
      <c r="V33" s="19">
        <f ca="1">INDIRECT("'("&amp;$A$4&amp;")'!V33")</f>
        <v>6</v>
      </c>
      <c r="W33" s="19">
        <f ca="1">INDIRECT("'("&amp;$A$4&amp;")'!W33")</f>
        <v>12</v>
      </c>
      <c r="X33" s="19">
        <f ca="1">INDIRECT("'("&amp;$A$4&amp;")'!X33")</f>
        <v>0</v>
      </c>
      <c r="Y33" s="15">
        <f t="shared" ca="1" si="4"/>
        <v>0.66666666666666663</v>
      </c>
      <c r="Z33" s="19"/>
      <c r="AA33" s="14">
        <f t="shared" ca="1" si="6"/>
        <v>35</v>
      </c>
      <c r="AB33" s="14">
        <f t="shared" ca="1" si="7"/>
        <v>19</v>
      </c>
      <c r="AC33" s="14">
        <f ca="1">INDIRECT("'("&amp;$A$4&amp;")'!AC33")</f>
        <v>0</v>
      </c>
      <c r="AD33" s="15">
        <f t="shared" ca="1" si="5"/>
        <v>0.35185185185185186</v>
      </c>
      <c r="AE33" s="16"/>
      <c r="AF33" s="16"/>
      <c r="AG33" s="16"/>
      <c r="AH33" s="16"/>
      <c r="AI33" s="16"/>
      <c r="AJ33" s="16"/>
      <c r="AK33" s="16"/>
      <c r="AL33" s="16"/>
      <c r="AM33" s="16"/>
    </row>
    <row r="34" spans="1:39" s="6" customFormat="1" ht="15" customHeight="1" x14ac:dyDescent="0.3">
      <c r="A34" s="6" t="s">
        <v>36</v>
      </c>
      <c r="B34" s="19">
        <f ca="1">INDIRECT("'("&amp;$A$4&amp;")'!b34")</f>
        <v>14</v>
      </c>
      <c r="C34" s="19">
        <f ca="1">INDIRECT("'("&amp;$A$4&amp;")'!c34")</f>
        <v>0</v>
      </c>
      <c r="D34" s="19">
        <f ca="1">INDIRECT("'("&amp;$A$4&amp;")'!D34")</f>
        <v>0</v>
      </c>
      <c r="E34" s="15">
        <f t="shared" ca="1" si="8"/>
        <v>0</v>
      </c>
      <c r="F34" s="19"/>
      <c r="G34" s="19">
        <f ca="1">INDIRECT("'("&amp;$A$4&amp;")'!G34")</f>
        <v>43</v>
      </c>
      <c r="H34" s="19">
        <f ca="1">INDIRECT("'("&amp;$A$4&amp;")'!H34")</f>
        <v>5</v>
      </c>
      <c r="I34" s="19">
        <f ca="1">INDIRECT("'("&amp;$A$4&amp;")'!I34")</f>
        <v>0</v>
      </c>
      <c r="J34" s="15">
        <f t="shared" ca="1" si="1"/>
        <v>0.10416666666666667</v>
      </c>
      <c r="K34" s="19"/>
      <c r="L34" s="14">
        <f t="shared" ca="1" si="9"/>
        <v>57</v>
      </c>
      <c r="M34" s="14">
        <f t="shared" ca="1" si="10"/>
        <v>5</v>
      </c>
      <c r="N34" s="14">
        <f ca="1">INDIRECT("'("&amp;$A$4&amp;")'!N34")</f>
        <v>0</v>
      </c>
      <c r="O34" s="15">
        <f t="shared" ca="1" si="2"/>
        <v>8.0645161290322578E-2</v>
      </c>
      <c r="P34" s="19"/>
      <c r="Q34" s="19">
        <f ca="1">INDIRECT("'("&amp;$A$4&amp;")'!Q34")</f>
        <v>0</v>
      </c>
      <c r="R34" s="19">
        <f ca="1">INDIRECT("'("&amp;$A$4&amp;")'!R34")</f>
        <v>2</v>
      </c>
      <c r="S34" s="19">
        <f ca="1">INDIRECT("'("&amp;$A$4&amp;")'!S34")</f>
        <v>0</v>
      </c>
      <c r="T34" s="15">
        <f t="shared" ca="1" si="3"/>
        <v>1</v>
      </c>
      <c r="U34" s="19"/>
      <c r="V34" s="19">
        <f ca="1">INDIRECT("'("&amp;$A$4&amp;")'!V34")</f>
        <v>8</v>
      </c>
      <c r="W34" s="19">
        <f ca="1">INDIRECT("'("&amp;$A$4&amp;")'!W34")</f>
        <v>5</v>
      </c>
      <c r="X34" s="19">
        <f ca="1">INDIRECT("'("&amp;$A$4&amp;")'!X34")</f>
        <v>0</v>
      </c>
      <c r="Y34" s="15">
        <f t="shared" ca="1" si="4"/>
        <v>0.38461538461538464</v>
      </c>
      <c r="Z34" s="19"/>
      <c r="AA34" s="14">
        <f t="shared" ca="1" si="6"/>
        <v>65</v>
      </c>
      <c r="AB34" s="14">
        <f t="shared" ca="1" si="7"/>
        <v>12</v>
      </c>
      <c r="AC34" s="14">
        <f ca="1">INDIRECT("'("&amp;$A$4&amp;")'!AC34")</f>
        <v>0</v>
      </c>
      <c r="AD34" s="15">
        <f t="shared" ca="1" si="5"/>
        <v>0.15584415584415584</v>
      </c>
      <c r="AE34" s="16"/>
      <c r="AF34" s="16"/>
      <c r="AG34" s="16"/>
      <c r="AH34" s="16"/>
      <c r="AI34" s="16"/>
      <c r="AJ34" s="16"/>
      <c r="AK34" s="16"/>
      <c r="AL34" s="16"/>
      <c r="AM34" s="16"/>
    </row>
    <row r="35" spans="1:39" s="6" customFormat="1" ht="15" customHeight="1" x14ac:dyDescent="0.3">
      <c r="A35" s="6" t="s">
        <v>37</v>
      </c>
      <c r="B35" s="19">
        <f ca="1">INDIRECT("'("&amp;$A$4&amp;")'!b35")</f>
        <v>8</v>
      </c>
      <c r="C35" s="19">
        <f ca="1">INDIRECT("'("&amp;$A$4&amp;")'!c35")</f>
        <v>4</v>
      </c>
      <c r="D35" s="19">
        <f ca="1">INDIRECT("'("&amp;$A$4&amp;")'!D35")</f>
        <v>0</v>
      </c>
      <c r="E35" s="15">
        <f t="shared" ca="1" si="8"/>
        <v>0.33333333333333331</v>
      </c>
      <c r="F35" s="19"/>
      <c r="G35" s="19">
        <f ca="1">INDIRECT("'("&amp;$A$4&amp;")'!G35")</f>
        <v>28</v>
      </c>
      <c r="H35" s="19">
        <f ca="1">INDIRECT("'("&amp;$A$4&amp;")'!H35")</f>
        <v>3</v>
      </c>
      <c r="I35" s="19">
        <f ca="1">INDIRECT("'("&amp;$A$4&amp;")'!I35")</f>
        <v>0</v>
      </c>
      <c r="J35" s="15">
        <f t="shared" ca="1" si="1"/>
        <v>9.6774193548387094E-2</v>
      </c>
      <c r="K35" s="19"/>
      <c r="L35" s="14">
        <f t="shared" ca="1" si="9"/>
        <v>36</v>
      </c>
      <c r="M35" s="14">
        <f t="shared" ca="1" si="10"/>
        <v>7</v>
      </c>
      <c r="N35" s="14">
        <f ca="1">INDIRECT("'("&amp;$A$4&amp;")'!N35")</f>
        <v>0</v>
      </c>
      <c r="O35" s="15">
        <f t="shared" ca="1" si="2"/>
        <v>0.16279069767441862</v>
      </c>
      <c r="P35" s="19"/>
      <c r="Q35" s="19">
        <f ca="1">INDIRECT("'("&amp;$A$4&amp;")'!Q35")</f>
        <v>0</v>
      </c>
      <c r="R35" s="19">
        <f ca="1">INDIRECT("'("&amp;$A$4&amp;")'!R35")</f>
        <v>0</v>
      </c>
      <c r="S35" s="19">
        <f ca="1">INDIRECT("'("&amp;$A$4&amp;")'!S35")</f>
        <v>0</v>
      </c>
      <c r="T35" s="15" t="str">
        <f t="shared" ca="1" si="3"/>
        <v>-</v>
      </c>
      <c r="U35" s="19"/>
      <c r="V35" s="19">
        <f ca="1">INDIRECT("'("&amp;$A$4&amp;")'!V35")</f>
        <v>1</v>
      </c>
      <c r="W35" s="19">
        <f ca="1">INDIRECT("'("&amp;$A$4&amp;")'!W35")</f>
        <v>1</v>
      </c>
      <c r="X35" s="19">
        <f ca="1">INDIRECT("'("&amp;$A$4&amp;")'!X35")</f>
        <v>0</v>
      </c>
      <c r="Y35" s="15">
        <f t="shared" ca="1" si="4"/>
        <v>0.5</v>
      </c>
      <c r="Z35" s="19"/>
      <c r="AA35" s="14">
        <f t="shared" ca="1" si="6"/>
        <v>37</v>
      </c>
      <c r="AB35" s="14">
        <f t="shared" ca="1" si="7"/>
        <v>8</v>
      </c>
      <c r="AC35" s="14">
        <f ca="1">INDIRECT("'("&amp;$A$4&amp;")'!AC35")</f>
        <v>0</v>
      </c>
      <c r="AD35" s="15">
        <f t="shared" ca="1" si="5"/>
        <v>0.17777777777777778</v>
      </c>
      <c r="AE35" s="16"/>
      <c r="AF35" s="16"/>
      <c r="AG35" s="16"/>
      <c r="AH35" s="16"/>
      <c r="AI35" s="16"/>
      <c r="AJ35" s="16"/>
      <c r="AK35" s="16"/>
      <c r="AL35" s="16"/>
      <c r="AM35" s="16"/>
    </row>
    <row r="36" spans="1:39" s="6" customFormat="1" ht="15" customHeight="1" x14ac:dyDescent="0.3">
      <c r="A36" s="5" t="s">
        <v>38</v>
      </c>
      <c r="B36" s="19">
        <f ca="1">INDIRECT("'("&amp;$A$4&amp;")'!b36")</f>
        <v>0</v>
      </c>
      <c r="C36" s="19">
        <f ca="1">INDIRECT("'("&amp;$A$4&amp;")'!c36")</f>
        <v>0</v>
      </c>
      <c r="D36" s="19">
        <f ca="1">INDIRECT("'("&amp;$A$4&amp;")'!D36")</f>
        <v>0</v>
      </c>
      <c r="E36" s="15" t="str">
        <f t="shared" ca="1" si="8"/>
        <v>-</v>
      </c>
      <c r="F36" s="19"/>
      <c r="G36" s="19">
        <f ca="1">INDIRECT("'("&amp;$A$4&amp;")'!G36")</f>
        <v>0</v>
      </c>
      <c r="H36" s="19">
        <f ca="1">INDIRECT("'("&amp;$A$4&amp;")'!H36")</f>
        <v>0</v>
      </c>
      <c r="I36" s="19">
        <f ca="1">INDIRECT("'("&amp;$A$4&amp;")'!I36")</f>
        <v>0</v>
      </c>
      <c r="J36" s="15" t="str">
        <f t="shared" ca="1" si="1"/>
        <v>-</v>
      </c>
      <c r="K36" s="19"/>
      <c r="L36" s="14">
        <f t="shared" ca="1" si="9"/>
        <v>0</v>
      </c>
      <c r="M36" s="14">
        <f t="shared" ca="1" si="10"/>
        <v>0</v>
      </c>
      <c r="N36" s="14">
        <f ca="1">INDIRECT("'("&amp;$A$4&amp;")'!N36")</f>
        <v>0</v>
      </c>
      <c r="O36" s="15" t="str">
        <f t="shared" ca="1" si="2"/>
        <v>-</v>
      </c>
      <c r="P36" s="19"/>
      <c r="Q36" s="19">
        <f ca="1">INDIRECT("'("&amp;$A$4&amp;")'!Q36")</f>
        <v>0</v>
      </c>
      <c r="R36" s="19">
        <f ca="1">INDIRECT("'("&amp;$A$4&amp;")'!R36")</f>
        <v>0</v>
      </c>
      <c r="S36" s="19">
        <f ca="1">INDIRECT("'("&amp;$A$4&amp;")'!S36")</f>
        <v>0</v>
      </c>
      <c r="T36" s="15" t="str">
        <f t="shared" ca="1" si="3"/>
        <v>-</v>
      </c>
      <c r="U36" s="19"/>
      <c r="V36" s="19">
        <f ca="1">INDIRECT("'("&amp;$A$4&amp;")'!V36")</f>
        <v>0</v>
      </c>
      <c r="W36" s="19">
        <f ca="1">INDIRECT("'("&amp;$A$4&amp;")'!W36")</f>
        <v>0</v>
      </c>
      <c r="X36" s="19">
        <f ca="1">INDIRECT("'("&amp;$A$4&amp;")'!X36")</f>
        <v>0</v>
      </c>
      <c r="Y36" s="15" t="str">
        <f t="shared" ca="1" si="4"/>
        <v>-</v>
      </c>
      <c r="Z36" s="19"/>
      <c r="AA36" s="14">
        <f t="shared" ca="1" si="6"/>
        <v>0</v>
      </c>
      <c r="AB36" s="14">
        <f t="shared" ca="1" si="7"/>
        <v>0</v>
      </c>
      <c r="AC36" s="14">
        <f ca="1">INDIRECT("'("&amp;$A$4&amp;")'!AC36")</f>
        <v>0</v>
      </c>
      <c r="AD36" s="15" t="str">
        <f t="shared" ca="1" si="5"/>
        <v>-</v>
      </c>
      <c r="AE36" s="16"/>
      <c r="AF36" s="16"/>
      <c r="AG36" s="16"/>
      <c r="AH36" s="16"/>
      <c r="AI36" s="16"/>
      <c r="AJ36" s="16"/>
      <c r="AK36" s="16"/>
      <c r="AL36" s="16"/>
      <c r="AM36" s="16"/>
    </row>
    <row r="37" spans="1:39" s="6" customFormat="1" ht="15" customHeight="1" x14ac:dyDescent="0.3">
      <c r="A37" s="6" t="s">
        <v>39</v>
      </c>
      <c r="B37" s="19">
        <f ca="1">INDIRECT("'("&amp;$A$4&amp;")'!b37")</f>
        <v>1</v>
      </c>
      <c r="C37" s="19">
        <f ca="1">INDIRECT("'("&amp;$A$4&amp;")'!c37")</f>
        <v>0</v>
      </c>
      <c r="D37" s="19">
        <f ca="1">INDIRECT("'("&amp;$A$4&amp;")'!D37")</f>
        <v>0</v>
      </c>
      <c r="E37" s="15">
        <f t="shared" ca="1" si="8"/>
        <v>0</v>
      </c>
      <c r="F37" s="19"/>
      <c r="G37" s="19">
        <f ca="1">INDIRECT("'("&amp;$A$4&amp;")'!G37")</f>
        <v>10</v>
      </c>
      <c r="H37" s="19">
        <f ca="1">INDIRECT("'("&amp;$A$4&amp;")'!H37")</f>
        <v>1</v>
      </c>
      <c r="I37" s="19">
        <f ca="1">INDIRECT("'("&amp;$A$4&amp;")'!I37")</f>
        <v>0</v>
      </c>
      <c r="J37" s="15">
        <f t="shared" ca="1" si="1"/>
        <v>9.0909090909090912E-2</v>
      </c>
      <c r="K37" s="19"/>
      <c r="L37" s="14">
        <f t="shared" ca="1" si="9"/>
        <v>11</v>
      </c>
      <c r="M37" s="14">
        <f t="shared" ca="1" si="10"/>
        <v>1</v>
      </c>
      <c r="N37" s="14">
        <f ca="1">INDIRECT("'("&amp;$A$4&amp;")'!N37")</f>
        <v>0</v>
      </c>
      <c r="O37" s="15">
        <f t="shared" ca="1" si="2"/>
        <v>8.3333333333333329E-2</v>
      </c>
      <c r="P37" s="19"/>
      <c r="Q37" s="19">
        <f ca="1">INDIRECT("'("&amp;$A$4&amp;")'!Q37")</f>
        <v>0</v>
      </c>
      <c r="R37" s="19">
        <f ca="1">INDIRECT("'("&amp;$A$4&amp;")'!R37")</f>
        <v>0</v>
      </c>
      <c r="S37" s="19">
        <f ca="1">INDIRECT("'("&amp;$A$4&amp;")'!S37")</f>
        <v>0</v>
      </c>
      <c r="T37" s="15" t="str">
        <f t="shared" ca="1" si="3"/>
        <v>-</v>
      </c>
      <c r="U37" s="19"/>
      <c r="V37" s="19">
        <f ca="1">INDIRECT("'("&amp;$A$4&amp;")'!V37")</f>
        <v>0</v>
      </c>
      <c r="W37" s="19">
        <f ca="1">INDIRECT("'("&amp;$A$4&amp;")'!W37")</f>
        <v>0</v>
      </c>
      <c r="X37" s="19">
        <f ca="1">INDIRECT("'("&amp;$A$4&amp;")'!X37")</f>
        <v>0</v>
      </c>
      <c r="Y37" s="15" t="str">
        <f t="shared" ca="1" si="4"/>
        <v>-</v>
      </c>
      <c r="Z37" s="19"/>
      <c r="AA37" s="14">
        <f t="shared" ca="1" si="6"/>
        <v>11</v>
      </c>
      <c r="AB37" s="14">
        <f t="shared" ca="1" si="7"/>
        <v>1</v>
      </c>
      <c r="AC37" s="14">
        <f ca="1">INDIRECT("'("&amp;$A$4&amp;")'!AC37")</f>
        <v>0</v>
      </c>
      <c r="AD37" s="15">
        <f t="shared" ca="1" si="5"/>
        <v>8.3333333333333329E-2</v>
      </c>
      <c r="AE37" s="16"/>
      <c r="AF37" s="16"/>
      <c r="AG37" s="16"/>
      <c r="AH37" s="16"/>
      <c r="AI37" s="16"/>
      <c r="AJ37" s="16"/>
      <c r="AK37" s="16"/>
      <c r="AL37" s="16"/>
      <c r="AM37" s="16"/>
    </row>
    <row r="38" spans="1:39" s="6" customFormat="1" ht="15" customHeight="1" x14ac:dyDescent="0.3">
      <c r="A38" s="6" t="s">
        <v>40</v>
      </c>
      <c r="B38" s="19">
        <f ca="1">INDIRECT("'("&amp;$A$4&amp;")'!b38")</f>
        <v>4</v>
      </c>
      <c r="C38" s="19">
        <f ca="1">INDIRECT("'("&amp;$A$4&amp;")'!c38")</f>
        <v>0</v>
      </c>
      <c r="D38" s="19">
        <f ca="1">INDIRECT("'("&amp;$A$4&amp;")'!D38")</f>
        <v>0</v>
      </c>
      <c r="E38" s="15">
        <f t="shared" ca="1" si="8"/>
        <v>0</v>
      </c>
      <c r="F38" s="19"/>
      <c r="G38" s="19">
        <f ca="1">INDIRECT("'("&amp;$A$4&amp;")'!G38")</f>
        <v>19</v>
      </c>
      <c r="H38" s="19">
        <f ca="1">INDIRECT("'("&amp;$A$4&amp;")'!H38")</f>
        <v>4</v>
      </c>
      <c r="I38" s="19">
        <f ca="1">INDIRECT("'("&amp;$A$4&amp;")'!I38")</f>
        <v>0</v>
      </c>
      <c r="J38" s="15">
        <f t="shared" ca="1" si="1"/>
        <v>0.17391304347826086</v>
      </c>
      <c r="K38" s="19"/>
      <c r="L38" s="14">
        <f t="shared" ca="1" si="9"/>
        <v>23</v>
      </c>
      <c r="M38" s="14">
        <f t="shared" ca="1" si="10"/>
        <v>4</v>
      </c>
      <c r="N38" s="14">
        <f ca="1">INDIRECT("'("&amp;$A$4&amp;")'!N38")</f>
        <v>0</v>
      </c>
      <c r="O38" s="15">
        <f t="shared" ca="1" si="2"/>
        <v>0.14814814814814814</v>
      </c>
      <c r="P38" s="19"/>
      <c r="Q38" s="19">
        <f ca="1">INDIRECT("'("&amp;$A$4&amp;")'!Q38")</f>
        <v>0</v>
      </c>
      <c r="R38" s="19">
        <f ca="1">INDIRECT("'("&amp;$A$4&amp;")'!R38")</f>
        <v>0</v>
      </c>
      <c r="S38" s="19">
        <f ca="1">INDIRECT("'("&amp;$A$4&amp;")'!S38")</f>
        <v>0</v>
      </c>
      <c r="T38" s="15" t="str">
        <f t="shared" ca="1" si="3"/>
        <v>-</v>
      </c>
      <c r="U38" s="19"/>
      <c r="V38" s="19">
        <f ca="1">INDIRECT("'("&amp;$A$4&amp;")'!V38")</f>
        <v>7</v>
      </c>
      <c r="W38" s="19">
        <f ca="1">INDIRECT("'("&amp;$A$4&amp;")'!W38")</f>
        <v>1</v>
      </c>
      <c r="X38" s="19">
        <f ca="1">INDIRECT("'("&amp;$A$4&amp;")'!X38")</f>
        <v>0</v>
      </c>
      <c r="Y38" s="15">
        <f t="shared" ca="1" si="4"/>
        <v>0.125</v>
      </c>
      <c r="Z38" s="19"/>
      <c r="AA38" s="14">
        <f t="shared" ca="1" si="6"/>
        <v>30</v>
      </c>
      <c r="AB38" s="14">
        <f t="shared" ca="1" si="7"/>
        <v>5</v>
      </c>
      <c r="AC38" s="14">
        <f ca="1">INDIRECT("'("&amp;$A$4&amp;")'!AC38")</f>
        <v>0</v>
      </c>
      <c r="AD38" s="15">
        <f t="shared" ca="1" si="5"/>
        <v>0.14285714285714285</v>
      </c>
      <c r="AE38" s="16"/>
      <c r="AF38" s="16"/>
      <c r="AG38" s="16"/>
      <c r="AH38" s="16"/>
      <c r="AI38" s="16"/>
      <c r="AJ38" s="16"/>
      <c r="AK38" s="16"/>
      <c r="AL38" s="16"/>
      <c r="AM38" s="16"/>
    </row>
    <row r="39" spans="1:39" s="6" customFormat="1" ht="15" customHeight="1" x14ac:dyDescent="0.3">
      <c r="A39" s="6" t="s">
        <v>41</v>
      </c>
      <c r="B39" s="19">
        <f ca="1">INDIRECT("'("&amp;$A$4&amp;")'!b39")</f>
        <v>12</v>
      </c>
      <c r="C39" s="19">
        <f ca="1">INDIRECT("'("&amp;$A$4&amp;")'!c39")</f>
        <v>0</v>
      </c>
      <c r="D39" s="19">
        <f ca="1">INDIRECT("'("&amp;$A$4&amp;")'!D39")</f>
        <v>0</v>
      </c>
      <c r="E39" s="15">
        <f t="shared" ca="1" si="8"/>
        <v>0</v>
      </c>
      <c r="F39" s="19"/>
      <c r="G39" s="19">
        <f ca="1">INDIRECT("'("&amp;$A$4&amp;")'!G39")</f>
        <v>6</v>
      </c>
      <c r="H39" s="19">
        <f ca="1">INDIRECT("'("&amp;$A$4&amp;")'!H39")</f>
        <v>0</v>
      </c>
      <c r="I39" s="19">
        <f ca="1">INDIRECT("'("&amp;$A$4&amp;")'!I39")</f>
        <v>0</v>
      </c>
      <c r="J39" s="15">
        <f t="shared" ca="1" si="1"/>
        <v>0</v>
      </c>
      <c r="K39" s="19"/>
      <c r="L39" s="14">
        <f t="shared" ca="1" si="9"/>
        <v>18</v>
      </c>
      <c r="M39" s="14">
        <f t="shared" ca="1" si="10"/>
        <v>0</v>
      </c>
      <c r="N39" s="14">
        <f ca="1">INDIRECT("'("&amp;$A$4&amp;")'!N39")</f>
        <v>0</v>
      </c>
      <c r="O39" s="15">
        <f t="shared" ca="1" si="2"/>
        <v>0</v>
      </c>
      <c r="P39" s="19"/>
      <c r="Q39" s="19">
        <f ca="1">INDIRECT("'("&amp;$A$4&amp;")'!Q39")</f>
        <v>0</v>
      </c>
      <c r="R39" s="19">
        <f ca="1">INDIRECT("'("&amp;$A$4&amp;")'!R39")</f>
        <v>3</v>
      </c>
      <c r="S39" s="19">
        <f ca="1">INDIRECT("'("&amp;$A$4&amp;")'!S39")</f>
        <v>0</v>
      </c>
      <c r="T39" s="15">
        <f t="shared" ca="1" si="3"/>
        <v>1</v>
      </c>
      <c r="U39" s="19"/>
      <c r="V39" s="19">
        <f ca="1">INDIRECT("'("&amp;$A$4&amp;")'!V39")</f>
        <v>4</v>
      </c>
      <c r="W39" s="19">
        <f ca="1">INDIRECT("'("&amp;$A$4&amp;")'!W39")</f>
        <v>2</v>
      </c>
      <c r="X39" s="19">
        <f ca="1">INDIRECT("'("&amp;$A$4&amp;")'!X39")</f>
        <v>0</v>
      </c>
      <c r="Y39" s="15">
        <f t="shared" ca="1" si="4"/>
        <v>0.33333333333333331</v>
      </c>
      <c r="Z39" s="19"/>
      <c r="AA39" s="14">
        <f t="shared" ca="1" si="6"/>
        <v>22</v>
      </c>
      <c r="AB39" s="14">
        <f t="shared" ca="1" si="7"/>
        <v>5</v>
      </c>
      <c r="AC39" s="14">
        <f ca="1">INDIRECT("'("&amp;$A$4&amp;")'!AC39")</f>
        <v>0</v>
      </c>
      <c r="AD39" s="15">
        <f t="shared" ca="1" si="5"/>
        <v>0.18518518518518517</v>
      </c>
      <c r="AE39" s="16"/>
      <c r="AF39" s="16"/>
      <c r="AG39" s="16"/>
      <c r="AH39" s="16"/>
      <c r="AI39" s="16"/>
      <c r="AJ39" s="16"/>
      <c r="AK39" s="16"/>
      <c r="AL39" s="16"/>
      <c r="AM39" s="16"/>
    </row>
    <row r="40" spans="1:39" s="6" customFormat="1" ht="15" customHeight="1" x14ac:dyDescent="0.3">
      <c r="A40" s="5" t="s">
        <v>42</v>
      </c>
      <c r="B40" s="19">
        <f ca="1">INDIRECT("'("&amp;$A$4&amp;")'!b40")</f>
        <v>1</v>
      </c>
      <c r="C40" s="19">
        <f ca="1">INDIRECT("'("&amp;$A$4&amp;")'!c40")</f>
        <v>2</v>
      </c>
      <c r="D40" s="19">
        <f ca="1">INDIRECT("'("&amp;$A$4&amp;")'!D40")</f>
        <v>0</v>
      </c>
      <c r="E40" s="15">
        <f t="shared" ca="1" si="8"/>
        <v>0.66666666666666663</v>
      </c>
      <c r="F40" s="19"/>
      <c r="G40" s="19">
        <f ca="1">INDIRECT("'("&amp;$A$4&amp;")'!G40")</f>
        <v>15</v>
      </c>
      <c r="H40" s="19">
        <f ca="1">INDIRECT("'("&amp;$A$4&amp;")'!H40")</f>
        <v>3</v>
      </c>
      <c r="I40" s="19">
        <f ca="1">INDIRECT("'("&amp;$A$4&amp;")'!I40")</f>
        <v>0</v>
      </c>
      <c r="J40" s="15">
        <f t="shared" ca="1" si="1"/>
        <v>0.16666666666666666</v>
      </c>
      <c r="K40" s="19"/>
      <c r="L40" s="14">
        <f t="shared" ca="1" si="9"/>
        <v>16</v>
      </c>
      <c r="M40" s="14">
        <f t="shared" ca="1" si="10"/>
        <v>5</v>
      </c>
      <c r="N40" s="14">
        <f ca="1">INDIRECT("'("&amp;$A$4&amp;")'!N40")</f>
        <v>0</v>
      </c>
      <c r="O40" s="15">
        <f t="shared" ca="1" si="2"/>
        <v>0.23809523809523808</v>
      </c>
      <c r="P40" s="19"/>
      <c r="Q40" s="19">
        <f ca="1">INDIRECT("'("&amp;$A$4&amp;")'!Q40")</f>
        <v>0</v>
      </c>
      <c r="R40" s="19">
        <f ca="1">INDIRECT("'("&amp;$A$4&amp;")'!R40")</f>
        <v>0</v>
      </c>
      <c r="S40" s="19">
        <f ca="1">INDIRECT("'("&amp;$A$4&amp;")'!S40")</f>
        <v>0</v>
      </c>
      <c r="T40" s="15" t="str">
        <f t="shared" ca="1" si="3"/>
        <v>-</v>
      </c>
      <c r="U40" s="19"/>
      <c r="V40" s="19">
        <f ca="1">INDIRECT("'("&amp;$A$4&amp;")'!V40")</f>
        <v>14</v>
      </c>
      <c r="W40" s="19">
        <f ca="1">INDIRECT("'("&amp;$A$4&amp;")'!W40")</f>
        <v>10</v>
      </c>
      <c r="X40" s="19">
        <f ca="1">INDIRECT("'("&amp;$A$4&amp;")'!X40")</f>
        <v>0</v>
      </c>
      <c r="Y40" s="15">
        <f t="shared" ca="1" si="4"/>
        <v>0.41666666666666669</v>
      </c>
      <c r="Z40" s="19"/>
      <c r="AA40" s="14">
        <f t="shared" ca="1" si="6"/>
        <v>30</v>
      </c>
      <c r="AB40" s="14">
        <f t="shared" ca="1" si="7"/>
        <v>15</v>
      </c>
      <c r="AC40" s="14">
        <f ca="1">INDIRECT("'("&amp;$A$4&amp;")'!AC40")</f>
        <v>0</v>
      </c>
      <c r="AD40" s="15">
        <f t="shared" ca="1" si="5"/>
        <v>0.33333333333333331</v>
      </c>
      <c r="AE40" s="16"/>
      <c r="AF40" s="16"/>
      <c r="AG40" s="16"/>
      <c r="AH40" s="16"/>
      <c r="AI40" s="16"/>
      <c r="AJ40" s="16"/>
      <c r="AK40" s="16"/>
      <c r="AL40" s="16"/>
      <c r="AM40" s="16"/>
    </row>
    <row r="41" spans="1:39" s="6" customFormat="1" ht="15" customHeight="1" x14ac:dyDescent="0.3">
      <c r="A41" s="5" t="s">
        <v>43</v>
      </c>
      <c r="B41" s="19">
        <f ca="1">INDIRECT("'("&amp;$A$4&amp;")'!b41")</f>
        <v>20</v>
      </c>
      <c r="C41" s="19">
        <f ca="1">INDIRECT("'("&amp;$A$4&amp;")'!c41")</f>
        <v>4</v>
      </c>
      <c r="D41" s="19">
        <f ca="1">INDIRECT("'("&amp;$A$4&amp;")'!D41")</f>
        <v>0</v>
      </c>
      <c r="E41" s="15">
        <f t="shared" ca="1" si="8"/>
        <v>0.16666666666666666</v>
      </c>
      <c r="F41" s="19"/>
      <c r="G41" s="19">
        <f ca="1">INDIRECT("'("&amp;$A$4&amp;")'!G41")</f>
        <v>59</v>
      </c>
      <c r="H41" s="19">
        <f ca="1">INDIRECT("'("&amp;$A$4&amp;")'!H41")</f>
        <v>10</v>
      </c>
      <c r="I41" s="19">
        <f ca="1">INDIRECT("'("&amp;$A$4&amp;")'!I41")</f>
        <v>0</v>
      </c>
      <c r="J41" s="15">
        <f t="shared" ca="1" si="1"/>
        <v>0.14492753623188406</v>
      </c>
      <c r="K41" s="19"/>
      <c r="L41" s="14">
        <f t="shared" ca="1" si="9"/>
        <v>79</v>
      </c>
      <c r="M41" s="14">
        <f t="shared" ca="1" si="10"/>
        <v>14</v>
      </c>
      <c r="N41" s="14">
        <f ca="1">INDIRECT("'("&amp;$A$4&amp;")'!N41")</f>
        <v>0</v>
      </c>
      <c r="O41" s="15">
        <f t="shared" ca="1" si="2"/>
        <v>0.15053763440860216</v>
      </c>
      <c r="P41" s="19"/>
      <c r="Q41" s="19">
        <f ca="1">INDIRECT("'("&amp;$A$4&amp;")'!Q41")</f>
        <v>0</v>
      </c>
      <c r="R41" s="19">
        <f ca="1">INDIRECT("'("&amp;$A$4&amp;")'!R41")</f>
        <v>0</v>
      </c>
      <c r="S41" s="19">
        <f ca="1">INDIRECT("'("&amp;$A$4&amp;")'!S41")</f>
        <v>0</v>
      </c>
      <c r="T41" s="15" t="str">
        <f t="shared" ca="1" si="3"/>
        <v>-</v>
      </c>
      <c r="U41" s="19"/>
      <c r="V41" s="19">
        <f ca="1">INDIRECT("'("&amp;$A$4&amp;")'!V41")</f>
        <v>6</v>
      </c>
      <c r="W41" s="19">
        <f ca="1">INDIRECT("'("&amp;$A$4&amp;")'!W41")</f>
        <v>1</v>
      </c>
      <c r="X41" s="19">
        <f ca="1">INDIRECT("'("&amp;$A$4&amp;")'!X41")</f>
        <v>0</v>
      </c>
      <c r="Y41" s="15">
        <f t="shared" ca="1" si="4"/>
        <v>0.14285714285714285</v>
      </c>
      <c r="Z41" s="19"/>
      <c r="AA41" s="14">
        <f t="shared" ca="1" si="6"/>
        <v>85</v>
      </c>
      <c r="AB41" s="14">
        <f t="shared" ca="1" si="7"/>
        <v>15</v>
      </c>
      <c r="AC41" s="14">
        <f ca="1">INDIRECT("'("&amp;$A$4&amp;")'!AC41")</f>
        <v>0</v>
      </c>
      <c r="AD41" s="15">
        <f t="shared" ca="1" si="5"/>
        <v>0.15</v>
      </c>
      <c r="AE41" s="16"/>
      <c r="AF41" s="16"/>
      <c r="AG41" s="16"/>
      <c r="AH41" s="16"/>
      <c r="AI41" s="16"/>
      <c r="AJ41" s="16"/>
      <c r="AK41" s="16"/>
      <c r="AL41" s="16"/>
      <c r="AM41" s="16"/>
    </row>
    <row r="42" spans="1:39" s="6" customFormat="1" ht="15" customHeight="1" x14ac:dyDescent="0.3">
      <c r="A42" s="5" t="s">
        <v>44</v>
      </c>
      <c r="B42" s="19">
        <f ca="1">INDIRECT("'("&amp;$A$4&amp;")'!b42")</f>
        <v>11</v>
      </c>
      <c r="C42" s="19">
        <f ca="1">INDIRECT("'("&amp;$A$4&amp;")'!c42")</f>
        <v>0</v>
      </c>
      <c r="D42" s="19">
        <f ca="1">INDIRECT("'("&amp;$A$4&amp;")'!D42")</f>
        <v>0</v>
      </c>
      <c r="E42" s="15">
        <f t="shared" ca="1" si="8"/>
        <v>0</v>
      </c>
      <c r="F42" s="19"/>
      <c r="G42" s="19">
        <f ca="1">INDIRECT("'("&amp;$A$4&amp;")'!G42")</f>
        <v>21</v>
      </c>
      <c r="H42" s="19">
        <f ca="1">INDIRECT("'("&amp;$A$4&amp;")'!H42")</f>
        <v>1</v>
      </c>
      <c r="I42" s="19">
        <f ca="1">INDIRECT("'("&amp;$A$4&amp;")'!I42")</f>
        <v>0</v>
      </c>
      <c r="J42" s="15">
        <f t="shared" ca="1" si="1"/>
        <v>4.5454545454545456E-2</v>
      </c>
      <c r="K42" s="19"/>
      <c r="L42" s="14">
        <f t="shared" ca="1" si="9"/>
        <v>32</v>
      </c>
      <c r="M42" s="14">
        <f t="shared" ca="1" si="10"/>
        <v>1</v>
      </c>
      <c r="N42" s="14">
        <f ca="1">INDIRECT("'("&amp;$A$4&amp;")'!N42")</f>
        <v>0</v>
      </c>
      <c r="O42" s="15">
        <f t="shared" ca="1" si="2"/>
        <v>3.0303030303030304E-2</v>
      </c>
      <c r="P42" s="19"/>
      <c r="Q42" s="19">
        <f ca="1">INDIRECT("'("&amp;$A$4&amp;")'!Q42")</f>
        <v>0</v>
      </c>
      <c r="R42" s="19">
        <f ca="1">INDIRECT("'("&amp;$A$4&amp;")'!R42")</f>
        <v>0</v>
      </c>
      <c r="S42" s="19">
        <f ca="1">INDIRECT("'("&amp;$A$4&amp;")'!S42")</f>
        <v>0</v>
      </c>
      <c r="T42" s="15" t="str">
        <f t="shared" ca="1" si="3"/>
        <v>-</v>
      </c>
      <c r="U42" s="19"/>
      <c r="V42" s="19">
        <f ca="1">INDIRECT("'("&amp;$A$4&amp;")'!V42")</f>
        <v>3</v>
      </c>
      <c r="W42" s="19">
        <f ca="1">INDIRECT("'("&amp;$A$4&amp;")'!W42")</f>
        <v>2</v>
      </c>
      <c r="X42" s="19">
        <f ca="1">INDIRECT("'("&amp;$A$4&amp;")'!X42")</f>
        <v>0</v>
      </c>
      <c r="Y42" s="15">
        <f t="shared" ca="1" si="4"/>
        <v>0.4</v>
      </c>
      <c r="Z42" s="19"/>
      <c r="AA42" s="14">
        <f t="shared" ca="1" si="6"/>
        <v>35</v>
      </c>
      <c r="AB42" s="14">
        <f t="shared" ca="1" si="7"/>
        <v>3</v>
      </c>
      <c r="AC42" s="14">
        <f ca="1">INDIRECT("'("&amp;$A$4&amp;")'!AC42")</f>
        <v>0</v>
      </c>
      <c r="AD42" s="15">
        <f t="shared" ca="1" si="5"/>
        <v>7.8947368421052627E-2</v>
      </c>
      <c r="AE42" s="16"/>
      <c r="AF42" s="16"/>
      <c r="AG42" s="16"/>
      <c r="AH42" s="16"/>
      <c r="AI42" s="16"/>
      <c r="AJ42" s="16"/>
      <c r="AK42" s="16"/>
      <c r="AL42" s="16"/>
      <c r="AM42" s="16"/>
    </row>
    <row r="43" spans="1:39" s="6" customFormat="1" ht="15" customHeight="1" x14ac:dyDescent="0.3">
      <c r="A43" s="5" t="s">
        <v>45</v>
      </c>
      <c r="B43" s="19">
        <f ca="1">INDIRECT("'("&amp;$A$4&amp;")'!b43")</f>
        <v>17</v>
      </c>
      <c r="C43" s="19">
        <f ca="1">INDIRECT("'("&amp;$A$4&amp;")'!c43")</f>
        <v>1</v>
      </c>
      <c r="D43" s="19">
        <f ca="1">INDIRECT("'("&amp;$A$4&amp;")'!D43")</f>
        <v>0</v>
      </c>
      <c r="E43" s="15">
        <f t="shared" ca="1" si="8"/>
        <v>5.5555555555555552E-2</v>
      </c>
      <c r="F43" s="19"/>
      <c r="G43" s="19">
        <f ca="1">INDIRECT("'("&amp;$A$4&amp;")'!G43")</f>
        <v>30</v>
      </c>
      <c r="H43" s="19">
        <f ca="1">INDIRECT("'("&amp;$A$4&amp;")'!H43")</f>
        <v>2</v>
      </c>
      <c r="I43" s="19">
        <f ca="1">INDIRECT("'("&amp;$A$4&amp;")'!I43")</f>
        <v>2</v>
      </c>
      <c r="J43" s="15">
        <f t="shared" ca="1" si="1"/>
        <v>5.8823529411764705E-2</v>
      </c>
      <c r="K43" s="19"/>
      <c r="L43" s="14">
        <f t="shared" ca="1" si="9"/>
        <v>47</v>
      </c>
      <c r="M43" s="14">
        <f t="shared" ca="1" si="10"/>
        <v>3</v>
      </c>
      <c r="N43" s="14">
        <f ca="1">INDIRECT("'("&amp;$A$4&amp;")'!N43")</f>
        <v>2</v>
      </c>
      <c r="O43" s="15">
        <f t="shared" ca="1" si="2"/>
        <v>5.7692307692307696E-2</v>
      </c>
      <c r="P43" s="19"/>
      <c r="Q43" s="19">
        <f ca="1">INDIRECT("'("&amp;$A$4&amp;")'!Q43")</f>
        <v>0</v>
      </c>
      <c r="R43" s="19">
        <f ca="1">INDIRECT("'("&amp;$A$4&amp;")'!R43")</f>
        <v>0</v>
      </c>
      <c r="S43" s="19">
        <f ca="1">INDIRECT("'("&amp;$A$4&amp;")'!S43")</f>
        <v>0</v>
      </c>
      <c r="T43" s="15" t="str">
        <f t="shared" ca="1" si="3"/>
        <v>-</v>
      </c>
      <c r="U43" s="19"/>
      <c r="V43" s="19">
        <f ca="1">INDIRECT("'("&amp;$A$4&amp;")'!V43")</f>
        <v>0</v>
      </c>
      <c r="W43" s="19">
        <f ca="1">INDIRECT("'("&amp;$A$4&amp;")'!W43")</f>
        <v>7</v>
      </c>
      <c r="X43" s="19">
        <f ca="1">INDIRECT("'("&amp;$A$4&amp;")'!X43")</f>
        <v>0</v>
      </c>
      <c r="Y43" s="15">
        <f t="shared" ca="1" si="4"/>
        <v>1</v>
      </c>
      <c r="Z43" s="19"/>
      <c r="AA43" s="14">
        <f t="shared" ca="1" si="6"/>
        <v>47</v>
      </c>
      <c r="AB43" s="14">
        <f t="shared" ca="1" si="7"/>
        <v>10</v>
      </c>
      <c r="AC43" s="14">
        <f ca="1">INDIRECT("'("&amp;$A$4&amp;")'!AC43")</f>
        <v>2</v>
      </c>
      <c r="AD43" s="15">
        <f t="shared" ca="1" si="5"/>
        <v>0.16949152542372881</v>
      </c>
      <c r="AE43" s="16"/>
      <c r="AF43" s="16"/>
      <c r="AG43" s="16"/>
      <c r="AH43" s="16"/>
      <c r="AI43" s="16"/>
      <c r="AJ43" s="16"/>
      <c r="AK43" s="16"/>
      <c r="AL43" s="16"/>
      <c r="AM43" s="16"/>
    </row>
    <row r="44" spans="1:39" s="6" customFormat="1" ht="15" customHeight="1" x14ac:dyDescent="0.3">
      <c r="A44" s="5" t="s">
        <v>46</v>
      </c>
      <c r="B44" s="19">
        <f ca="1">INDIRECT("'("&amp;$A$4&amp;")'!b44")</f>
        <v>8</v>
      </c>
      <c r="C44" s="19">
        <f ca="1">INDIRECT("'("&amp;$A$4&amp;")'!c44")</f>
        <v>0</v>
      </c>
      <c r="D44" s="19">
        <f ca="1">INDIRECT("'("&amp;$A$4&amp;")'!D44")</f>
        <v>0</v>
      </c>
      <c r="E44" s="15">
        <f t="shared" ca="1" si="8"/>
        <v>0</v>
      </c>
      <c r="F44" s="19"/>
      <c r="G44" s="19">
        <f ca="1">INDIRECT("'("&amp;$A$4&amp;")'!G44")</f>
        <v>38</v>
      </c>
      <c r="H44" s="19">
        <f ca="1">INDIRECT("'("&amp;$A$4&amp;")'!H44")</f>
        <v>4</v>
      </c>
      <c r="I44" s="19">
        <f ca="1">INDIRECT("'("&amp;$A$4&amp;")'!I44")</f>
        <v>0</v>
      </c>
      <c r="J44" s="15">
        <f t="shared" ca="1" si="1"/>
        <v>9.5238095238095233E-2</v>
      </c>
      <c r="K44" s="19"/>
      <c r="L44" s="14">
        <f t="shared" ca="1" si="9"/>
        <v>46</v>
      </c>
      <c r="M44" s="14">
        <f t="shared" ca="1" si="10"/>
        <v>4</v>
      </c>
      <c r="N44" s="14">
        <f ca="1">INDIRECT("'("&amp;$A$4&amp;")'!N44")</f>
        <v>0</v>
      </c>
      <c r="O44" s="15">
        <f t="shared" ca="1" si="2"/>
        <v>0.08</v>
      </c>
      <c r="P44" s="19"/>
      <c r="Q44" s="19">
        <f ca="1">INDIRECT("'("&amp;$A$4&amp;")'!Q44")</f>
        <v>0</v>
      </c>
      <c r="R44" s="19">
        <f ca="1">INDIRECT("'("&amp;$A$4&amp;")'!R44")</f>
        <v>0</v>
      </c>
      <c r="S44" s="19">
        <f ca="1">INDIRECT("'("&amp;$A$4&amp;")'!S44")</f>
        <v>0</v>
      </c>
      <c r="T44" s="15" t="str">
        <f t="shared" ca="1" si="3"/>
        <v>-</v>
      </c>
      <c r="U44" s="19"/>
      <c r="V44" s="19">
        <f ca="1">INDIRECT("'("&amp;$A$4&amp;")'!V44")</f>
        <v>8</v>
      </c>
      <c r="W44" s="19">
        <f ca="1">INDIRECT("'("&amp;$A$4&amp;")'!W44")</f>
        <v>9</v>
      </c>
      <c r="X44" s="19">
        <f ca="1">INDIRECT("'("&amp;$A$4&amp;")'!X44")</f>
        <v>0</v>
      </c>
      <c r="Y44" s="15">
        <f t="shared" ca="1" si="4"/>
        <v>0.52941176470588236</v>
      </c>
      <c r="Z44" s="19"/>
      <c r="AA44" s="14">
        <f t="shared" ca="1" si="6"/>
        <v>54</v>
      </c>
      <c r="AB44" s="14">
        <f t="shared" ca="1" si="7"/>
        <v>13</v>
      </c>
      <c r="AC44" s="14">
        <f ca="1">INDIRECT("'("&amp;$A$4&amp;")'!AC44")</f>
        <v>0</v>
      </c>
      <c r="AD44" s="15">
        <f t="shared" ca="1" si="5"/>
        <v>0.19402985074626866</v>
      </c>
      <c r="AE44" s="16"/>
      <c r="AF44" s="16"/>
      <c r="AG44" s="16"/>
      <c r="AH44" s="16"/>
      <c r="AI44" s="16"/>
      <c r="AJ44" s="16"/>
      <c r="AK44" s="16"/>
      <c r="AL44" s="16"/>
      <c r="AM44" s="16"/>
    </row>
    <row r="45" spans="1:39" s="6" customFormat="1" ht="15" customHeight="1" x14ac:dyDescent="0.3">
      <c r="A45" s="5" t="s">
        <v>47</v>
      </c>
      <c r="B45" s="19">
        <f ca="1">INDIRECT("'("&amp;$A$4&amp;")'!b45")</f>
        <v>21</v>
      </c>
      <c r="C45" s="19">
        <f ca="1">INDIRECT("'("&amp;$A$4&amp;")'!c45")</f>
        <v>2</v>
      </c>
      <c r="D45" s="19">
        <f ca="1">INDIRECT("'("&amp;$A$4&amp;")'!D45")</f>
        <v>0</v>
      </c>
      <c r="E45" s="15">
        <f t="shared" ca="1" si="8"/>
        <v>8.6956521739130432E-2</v>
      </c>
      <c r="F45" s="19"/>
      <c r="G45" s="19">
        <f ca="1">INDIRECT("'("&amp;$A$4&amp;")'!G45")</f>
        <v>18</v>
      </c>
      <c r="H45" s="19">
        <f ca="1">INDIRECT("'("&amp;$A$4&amp;")'!H45")</f>
        <v>0</v>
      </c>
      <c r="I45" s="19">
        <f ca="1">INDIRECT("'("&amp;$A$4&amp;")'!I45")</f>
        <v>0</v>
      </c>
      <c r="J45" s="15">
        <f t="shared" ca="1" si="1"/>
        <v>0</v>
      </c>
      <c r="K45" s="19"/>
      <c r="L45" s="14">
        <f t="shared" ca="1" si="9"/>
        <v>39</v>
      </c>
      <c r="M45" s="14">
        <f t="shared" ca="1" si="10"/>
        <v>2</v>
      </c>
      <c r="N45" s="14">
        <f ca="1">INDIRECT("'("&amp;$A$4&amp;")'!N45")</f>
        <v>0</v>
      </c>
      <c r="O45" s="15">
        <f t="shared" ca="1" si="2"/>
        <v>4.878048780487805E-2</v>
      </c>
      <c r="P45" s="19"/>
      <c r="Q45" s="19">
        <f ca="1">INDIRECT("'("&amp;$A$4&amp;")'!Q45")</f>
        <v>4</v>
      </c>
      <c r="R45" s="19">
        <f ca="1">INDIRECT("'("&amp;$A$4&amp;")'!R45")</f>
        <v>5</v>
      </c>
      <c r="S45" s="19">
        <f ca="1">INDIRECT("'("&amp;$A$4&amp;")'!S45")</f>
        <v>0</v>
      </c>
      <c r="T45" s="15">
        <f t="shared" ca="1" si="3"/>
        <v>0.55555555555555558</v>
      </c>
      <c r="U45" s="19"/>
      <c r="V45" s="19">
        <f ca="1">INDIRECT("'("&amp;$A$4&amp;")'!V45")</f>
        <v>9</v>
      </c>
      <c r="W45" s="19">
        <f ca="1">INDIRECT("'("&amp;$A$4&amp;")'!W45")</f>
        <v>16</v>
      </c>
      <c r="X45" s="19">
        <f ca="1">INDIRECT("'("&amp;$A$4&amp;")'!X45")</f>
        <v>0</v>
      </c>
      <c r="Y45" s="15">
        <f t="shared" ca="1" si="4"/>
        <v>0.64</v>
      </c>
      <c r="Z45" s="19"/>
      <c r="AA45" s="14">
        <f t="shared" ca="1" si="6"/>
        <v>52</v>
      </c>
      <c r="AB45" s="14">
        <f t="shared" ca="1" si="7"/>
        <v>23</v>
      </c>
      <c r="AC45" s="14">
        <f ca="1">INDIRECT("'("&amp;$A$4&amp;")'!AC45")</f>
        <v>0</v>
      </c>
      <c r="AD45" s="15">
        <f t="shared" ca="1" si="5"/>
        <v>0.30666666666666664</v>
      </c>
      <c r="AE45" s="16"/>
      <c r="AF45" s="16"/>
      <c r="AG45" s="16"/>
      <c r="AH45" s="16"/>
      <c r="AI45" s="16"/>
      <c r="AJ45" s="16"/>
      <c r="AK45" s="16"/>
      <c r="AL45" s="16"/>
      <c r="AM45" s="16"/>
    </row>
    <row r="46" spans="1:39" s="6" customFormat="1" ht="15" customHeight="1" x14ac:dyDescent="0.3">
      <c r="A46" s="5" t="s">
        <v>48</v>
      </c>
      <c r="B46" s="19">
        <f ca="1">INDIRECT("'("&amp;$A$4&amp;")'!b46")</f>
        <v>12</v>
      </c>
      <c r="C46" s="19">
        <f ca="1">INDIRECT("'("&amp;$A$4&amp;")'!c46")</f>
        <v>4</v>
      </c>
      <c r="D46" s="19">
        <f ca="1">INDIRECT("'("&amp;$A$4&amp;")'!D46")</f>
        <v>0</v>
      </c>
      <c r="E46" s="15">
        <f t="shared" ca="1" si="8"/>
        <v>0.25</v>
      </c>
      <c r="F46" s="19"/>
      <c r="G46" s="19">
        <f ca="1">INDIRECT("'("&amp;$A$4&amp;")'!G46")</f>
        <v>17</v>
      </c>
      <c r="H46" s="19">
        <f ca="1">INDIRECT("'("&amp;$A$4&amp;")'!H46")</f>
        <v>1</v>
      </c>
      <c r="I46" s="19">
        <f ca="1">INDIRECT("'("&amp;$A$4&amp;")'!I46")</f>
        <v>0</v>
      </c>
      <c r="J46" s="15">
        <f t="shared" ca="1" si="1"/>
        <v>5.5555555555555552E-2</v>
      </c>
      <c r="K46" s="19"/>
      <c r="L46" s="14">
        <f t="shared" ca="1" si="9"/>
        <v>29</v>
      </c>
      <c r="M46" s="14">
        <f t="shared" ca="1" si="10"/>
        <v>5</v>
      </c>
      <c r="N46" s="14">
        <f ca="1">INDIRECT("'("&amp;$A$4&amp;")'!N46")</f>
        <v>0</v>
      </c>
      <c r="O46" s="15">
        <f t="shared" ca="1" si="2"/>
        <v>0.14705882352941177</v>
      </c>
      <c r="P46" s="19"/>
      <c r="Q46" s="19">
        <f ca="1">INDIRECT("'("&amp;$A$4&amp;")'!Q46")</f>
        <v>2</v>
      </c>
      <c r="R46" s="19">
        <f ca="1">INDIRECT("'("&amp;$A$4&amp;")'!R46")</f>
        <v>0</v>
      </c>
      <c r="S46" s="19">
        <f ca="1">INDIRECT("'("&amp;$A$4&amp;")'!S46")</f>
        <v>0</v>
      </c>
      <c r="T46" s="15">
        <f t="shared" ca="1" si="3"/>
        <v>0</v>
      </c>
      <c r="U46" s="19"/>
      <c r="V46" s="19">
        <f ca="1">INDIRECT("'("&amp;$A$4&amp;")'!V46")</f>
        <v>7</v>
      </c>
      <c r="W46" s="19">
        <f ca="1">INDIRECT("'("&amp;$A$4&amp;")'!W46")</f>
        <v>8</v>
      </c>
      <c r="X46" s="19">
        <f ca="1">INDIRECT("'("&amp;$A$4&amp;")'!X46")</f>
        <v>0</v>
      </c>
      <c r="Y46" s="15">
        <f t="shared" ca="1" si="4"/>
        <v>0.53333333333333333</v>
      </c>
      <c r="Z46" s="19"/>
      <c r="AA46" s="14">
        <f t="shared" ca="1" si="6"/>
        <v>38</v>
      </c>
      <c r="AB46" s="14">
        <f t="shared" ca="1" si="7"/>
        <v>13</v>
      </c>
      <c r="AC46" s="14">
        <f ca="1">INDIRECT("'("&amp;$A$4&amp;")'!AC46")</f>
        <v>0</v>
      </c>
      <c r="AD46" s="15">
        <f t="shared" ca="1" si="5"/>
        <v>0.25490196078431371</v>
      </c>
      <c r="AE46" s="16"/>
      <c r="AF46" s="16"/>
      <c r="AG46" s="16"/>
      <c r="AH46" s="16"/>
      <c r="AI46" s="16"/>
      <c r="AJ46" s="16"/>
      <c r="AK46" s="16"/>
      <c r="AL46" s="16"/>
      <c r="AM46" s="16"/>
    </row>
    <row r="47" spans="1:39" s="6" customFormat="1" ht="15" customHeight="1" x14ac:dyDescent="0.3">
      <c r="A47" s="5" t="s">
        <v>49</v>
      </c>
      <c r="B47" s="19">
        <f ca="1">INDIRECT("'("&amp;$A$4&amp;")'!b47")</f>
        <v>20</v>
      </c>
      <c r="C47" s="19">
        <f ca="1">INDIRECT("'("&amp;$A$4&amp;")'!c47")</f>
        <v>2</v>
      </c>
      <c r="D47" s="19">
        <f ca="1">INDIRECT("'("&amp;$A$4&amp;")'!D47")</f>
        <v>0</v>
      </c>
      <c r="E47" s="15">
        <f t="shared" ca="1" si="8"/>
        <v>9.0909090909090912E-2</v>
      </c>
      <c r="F47" s="19"/>
      <c r="G47" s="19">
        <f ca="1">INDIRECT("'("&amp;$A$4&amp;")'!G47")</f>
        <v>25</v>
      </c>
      <c r="H47" s="19">
        <f ca="1">INDIRECT("'("&amp;$A$4&amp;")'!H47")</f>
        <v>2</v>
      </c>
      <c r="I47" s="19">
        <f ca="1">INDIRECT("'("&amp;$A$4&amp;")'!I47")</f>
        <v>0</v>
      </c>
      <c r="J47" s="15">
        <f t="shared" ca="1" si="1"/>
        <v>7.407407407407407E-2</v>
      </c>
      <c r="K47" s="19"/>
      <c r="L47" s="14">
        <f t="shared" ca="1" si="9"/>
        <v>45</v>
      </c>
      <c r="M47" s="14">
        <f t="shared" ca="1" si="10"/>
        <v>4</v>
      </c>
      <c r="N47" s="14">
        <f ca="1">INDIRECT("'("&amp;$A$4&amp;")'!N47")</f>
        <v>0</v>
      </c>
      <c r="O47" s="15">
        <f t="shared" ca="1" si="2"/>
        <v>8.1632653061224483E-2</v>
      </c>
      <c r="P47" s="19"/>
      <c r="Q47" s="19">
        <f ca="1">INDIRECT("'("&amp;$A$4&amp;")'!Q47")</f>
        <v>0</v>
      </c>
      <c r="R47" s="19">
        <f ca="1">INDIRECT("'("&amp;$A$4&amp;")'!R47")</f>
        <v>0</v>
      </c>
      <c r="S47" s="19">
        <f ca="1">INDIRECT("'("&amp;$A$4&amp;")'!S47")</f>
        <v>0</v>
      </c>
      <c r="T47" s="15" t="str">
        <f t="shared" ca="1" si="3"/>
        <v>-</v>
      </c>
      <c r="U47" s="19"/>
      <c r="V47" s="19">
        <f ca="1">INDIRECT("'("&amp;$A$4&amp;")'!V47")</f>
        <v>16</v>
      </c>
      <c r="W47" s="19">
        <f ca="1">INDIRECT("'("&amp;$A$4&amp;")'!W47")</f>
        <v>11</v>
      </c>
      <c r="X47" s="19">
        <f ca="1">INDIRECT("'("&amp;$A$4&amp;")'!X47")</f>
        <v>0</v>
      </c>
      <c r="Y47" s="15">
        <f t="shared" ca="1" si="4"/>
        <v>0.40740740740740738</v>
      </c>
      <c r="Z47" s="19"/>
      <c r="AA47" s="14">
        <f t="shared" ca="1" si="6"/>
        <v>61</v>
      </c>
      <c r="AB47" s="14">
        <f t="shared" ca="1" si="7"/>
        <v>15</v>
      </c>
      <c r="AC47" s="14">
        <f ca="1">INDIRECT("'("&amp;$A$4&amp;")'!AC47")</f>
        <v>0</v>
      </c>
      <c r="AD47" s="15">
        <f t="shared" ca="1" si="5"/>
        <v>0.19736842105263158</v>
      </c>
      <c r="AE47" s="16"/>
      <c r="AF47" s="16"/>
      <c r="AG47" s="16"/>
      <c r="AH47" s="16"/>
      <c r="AI47" s="16"/>
      <c r="AJ47" s="16"/>
      <c r="AK47" s="16"/>
      <c r="AL47" s="16"/>
      <c r="AM47" s="16"/>
    </row>
    <row r="48" spans="1:39" s="6" customFormat="1" ht="15" customHeight="1" x14ac:dyDescent="0.3">
      <c r="A48" s="5" t="s">
        <v>50</v>
      </c>
      <c r="B48" s="19">
        <f ca="1">INDIRECT("'("&amp;$A$4&amp;")'!b48")</f>
        <v>0</v>
      </c>
      <c r="C48" s="19">
        <f ca="1">INDIRECT("'("&amp;$A$4&amp;")'!c48")</f>
        <v>0</v>
      </c>
      <c r="D48" s="19">
        <f ca="1">INDIRECT("'("&amp;$A$4&amp;")'!D48")</f>
        <v>0</v>
      </c>
      <c r="E48" s="15" t="str">
        <f t="shared" ca="1" si="8"/>
        <v>-</v>
      </c>
      <c r="F48" s="19"/>
      <c r="G48" s="19">
        <f ca="1">INDIRECT("'("&amp;$A$4&amp;")'!G48")</f>
        <v>4</v>
      </c>
      <c r="H48" s="19">
        <f ca="1">INDIRECT("'("&amp;$A$4&amp;")'!H48")</f>
        <v>1</v>
      </c>
      <c r="I48" s="19">
        <f ca="1">INDIRECT("'("&amp;$A$4&amp;")'!I48")</f>
        <v>0</v>
      </c>
      <c r="J48" s="15">
        <f t="shared" ca="1" si="1"/>
        <v>0.2</v>
      </c>
      <c r="K48" s="19"/>
      <c r="L48" s="14">
        <f t="shared" ref="L48" ca="1" si="11">B48+G48</f>
        <v>4</v>
      </c>
      <c r="M48" s="14">
        <f t="shared" ref="M48" ca="1" si="12">C48+H48</f>
        <v>1</v>
      </c>
      <c r="N48" s="14">
        <f ca="1">INDIRECT("'("&amp;$A$4&amp;")'!N48")</f>
        <v>0</v>
      </c>
      <c r="O48" s="15">
        <f t="shared" ca="1" si="2"/>
        <v>0.2</v>
      </c>
      <c r="P48" s="19"/>
      <c r="Q48" s="19">
        <f ca="1">INDIRECT("'("&amp;$A$4&amp;")'!Q48")</f>
        <v>0</v>
      </c>
      <c r="R48" s="19">
        <f ca="1">INDIRECT("'("&amp;$A$4&amp;")'!R48")</f>
        <v>0</v>
      </c>
      <c r="S48" s="19">
        <f ca="1">INDIRECT("'("&amp;$A$4&amp;")'!S48")</f>
        <v>0</v>
      </c>
      <c r="T48" s="15" t="str">
        <f t="shared" ca="1" si="3"/>
        <v>-</v>
      </c>
      <c r="U48" s="19"/>
      <c r="V48" s="19">
        <f ca="1">INDIRECT("'("&amp;$A$4&amp;")'!V48")</f>
        <v>0</v>
      </c>
      <c r="W48" s="19">
        <f ca="1">INDIRECT("'("&amp;$A$4&amp;")'!W48")</f>
        <v>0</v>
      </c>
      <c r="X48" s="19">
        <f ca="1">INDIRECT("'("&amp;$A$4&amp;")'!X48")</f>
        <v>0</v>
      </c>
      <c r="Y48" s="15" t="str">
        <f t="shared" ca="1" si="4"/>
        <v>-</v>
      </c>
      <c r="Z48" s="19"/>
      <c r="AA48" s="14">
        <f t="shared" ref="AA48" ca="1" si="13">L48+Q48+V48</f>
        <v>4</v>
      </c>
      <c r="AB48" s="14">
        <f t="shared" ref="AB48" ca="1" si="14">M48+R48+W48</f>
        <v>1</v>
      </c>
      <c r="AC48" s="14">
        <f ca="1">INDIRECT("'("&amp;$A$4&amp;")'!AC48")</f>
        <v>0</v>
      </c>
      <c r="AD48" s="15">
        <f t="shared" ca="1" si="5"/>
        <v>0.2</v>
      </c>
      <c r="AE48" s="16"/>
      <c r="AF48" s="16"/>
      <c r="AG48" s="16"/>
      <c r="AH48" s="16"/>
      <c r="AI48" s="16"/>
      <c r="AJ48" s="16"/>
      <c r="AK48" s="16"/>
      <c r="AL48" s="16"/>
      <c r="AM48" s="16"/>
    </row>
    <row r="49" spans="1:39" s="6" customFormat="1" ht="15" customHeight="1" x14ac:dyDescent="0.3">
      <c r="A49" s="22" t="s">
        <v>51</v>
      </c>
      <c r="B49" s="14">
        <f ca="1">SUM(B50:B56)</f>
        <v>487</v>
      </c>
      <c r="C49" s="14">
        <f ca="1">SUM(C50:C56)</f>
        <v>93</v>
      </c>
      <c r="D49" s="14">
        <f ca="1">SUM(D50:D56)</f>
        <v>0</v>
      </c>
      <c r="E49" s="15">
        <f t="shared" ca="1" si="8"/>
        <v>0.16034482758620688</v>
      </c>
      <c r="F49" s="14"/>
      <c r="G49" s="14">
        <f ca="1">SUM(G50:G56)</f>
        <v>69</v>
      </c>
      <c r="H49" s="14">
        <f ca="1">SUM(H50:H56)</f>
        <v>10</v>
      </c>
      <c r="I49" s="14">
        <f ca="1">SUM(I50:I56)</f>
        <v>0</v>
      </c>
      <c r="J49" s="15">
        <f t="shared" ca="1" si="1"/>
        <v>0.12658227848101267</v>
      </c>
      <c r="K49" s="14"/>
      <c r="L49" s="14">
        <f ca="1">B49+G49</f>
        <v>556</v>
      </c>
      <c r="M49" s="14">
        <f ca="1">C49+H49</f>
        <v>103</v>
      </c>
      <c r="N49" s="14">
        <f ca="1">SUM(N50:N56)</f>
        <v>0</v>
      </c>
      <c r="O49" s="15">
        <f t="shared" ca="1" si="2"/>
        <v>0.15629742033383914</v>
      </c>
      <c r="P49" s="14"/>
      <c r="Q49" s="14">
        <f ca="1">SUM(Q50:Q56)</f>
        <v>7</v>
      </c>
      <c r="R49" s="14">
        <f ca="1">SUM(R50:R56)</f>
        <v>18</v>
      </c>
      <c r="S49" s="14">
        <f ca="1">SUM(S50:S56)</f>
        <v>0</v>
      </c>
      <c r="T49" s="15">
        <f t="shared" ca="1" si="3"/>
        <v>0.72</v>
      </c>
      <c r="U49" s="14"/>
      <c r="V49" s="14">
        <f ca="1">SUM(V50:V56)</f>
        <v>111</v>
      </c>
      <c r="W49" s="14">
        <f ca="1">SUM(W50:W56)</f>
        <v>99</v>
      </c>
      <c r="X49" s="14">
        <f ca="1">SUM(X50:X56)</f>
        <v>0</v>
      </c>
      <c r="Y49" s="15">
        <f t="shared" ca="1" si="4"/>
        <v>0.47142857142857142</v>
      </c>
      <c r="Z49" s="14"/>
      <c r="AA49" s="14">
        <f ca="1">SUM(AA50:AA56)</f>
        <v>674</v>
      </c>
      <c r="AB49" s="14">
        <f ca="1">SUM(AB50:AB56)</f>
        <v>220</v>
      </c>
      <c r="AC49" s="14">
        <f ca="1">SUM(AC50:AC56)</f>
        <v>0</v>
      </c>
      <c r="AD49" s="15">
        <f t="shared" ca="1" si="5"/>
        <v>0.24608501118568232</v>
      </c>
      <c r="AE49" s="16"/>
      <c r="AF49" s="16"/>
      <c r="AG49" s="16"/>
      <c r="AH49" s="16"/>
      <c r="AI49" s="16"/>
      <c r="AJ49" s="16"/>
      <c r="AK49" s="16"/>
      <c r="AL49" s="16"/>
      <c r="AM49" s="16"/>
    </row>
    <row r="50" spans="1:39" s="6" customFormat="1" ht="15" customHeight="1" x14ac:dyDescent="0.3">
      <c r="A50" s="5" t="s">
        <v>52</v>
      </c>
      <c r="B50" s="19">
        <f ca="1">INDIRECT("'("&amp;$A$4&amp;")'!b50")</f>
        <v>62</v>
      </c>
      <c r="C50" s="19">
        <f ca="1">INDIRECT("'("&amp;$A$4&amp;")'!c50")</f>
        <v>10</v>
      </c>
      <c r="D50" s="19">
        <f ca="1">INDIRECT("'("&amp;$A$4&amp;")'!D50")</f>
        <v>0</v>
      </c>
      <c r="E50" s="15">
        <f t="shared" ca="1" si="8"/>
        <v>0.1388888888888889</v>
      </c>
      <c r="F50" s="19"/>
      <c r="G50" s="19">
        <f ca="1">INDIRECT("'("&amp;$A$4&amp;")'!G50")</f>
        <v>0</v>
      </c>
      <c r="H50" s="19">
        <f ca="1">INDIRECT("'("&amp;$A$4&amp;")'!H50")</f>
        <v>0</v>
      </c>
      <c r="I50" s="19">
        <f ca="1">INDIRECT("'("&amp;$A$4&amp;")'!I50")</f>
        <v>0</v>
      </c>
      <c r="J50" s="15" t="str">
        <f t="shared" ca="1" si="1"/>
        <v>-</v>
      </c>
      <c r="K50" s="19"/>
      <c r="L50" s="14">
        <f t="shared" ref="L50:M55" ca="1" si="15">B50+G50</f>
        <v>62</v>
      </c>
      <c r="M50" s="14">
        <f t="shared" ca="1" si="15"/>
        <v>10</v>
      </c>
      <c r="N50" s="14">
        <f ca="1">INDIRECT("'("&amp;$A$4&amp;")'!N50")</f>
        <v>0</v>
      </c>
      <c r="O50" s="15">
        <f t="shared" ca="1" si="2"/>
        <v>0.1388888888888889</v>
      </c>
      <c r="P50" s="19"/>
      <c r="Q50" s="19">
        <f ca="1">INDIRECT("'("&amp;$A$4&amp;")'!Q50")</f>
        <v>0</v>
      </c>
      <c r="R50" s="19">
        <f ca="1">INDIRECT("'("&amp;$A$4&amp;")'!R50")</f>
        <v>0</v>
      </c>
      <c r="S50" s="19">
        <f ca="1">INDIRECT("'("&amp;$A$4&amp;")'!S50")</f>
        <v>0</v>
      </c>
      <c r="T50" s="15" t="str">
        <f t="shared" ca="1" si="3"/>
        <v>-</v>
      </c>
      <c r="U50" s="19"/>
      <c r="V50" s="19">
        <f ca="1">INDIRECT("'("&amp;$A$4&amp;")'!V50")</f>
        <v>5</v>
      </c>
      <c r="W50" s="19">
        <f ca="1">INDIRECT("'("&amp;$A$4&amp;")'!W50")</f>
        <v>6</v>
      </c>
      <c r="X50" s="19">
        <f ca="1">INDIRECT("'("&amp;$A$4&amp;")'!X50")</f>
        <v>0</v>
      </c>
      <c r="Y50" s="15">
        <f t="shared" ca="1" si="4"/>
        <v>0.54545454545454541</v>
      </c>
      <c r="Z50" s="19"/>
      <c r="AA50" s="14">
        <f t="shared" ref="AA50:AA55" ca="1" si="16">L50+Q50+V50</f>
        <v>67</v>
      </c>
      <c r="AB50" s="14">
        <f t="shared" ref="AB50:AB55" ca="1" si="17">M50+R50+W50</f>
        <v>16</v>
      </c>
      <c r="AC50" s="14">
        <f ca="1">INDIRECT("'("&amp;$A$4&amp;")'!AC50")</f>
        <v>0</v>
      </c>
      <c r="AD50" s="15">
        <f t="shared" ca="1" si="5"/>
        <v>0.19277108433734941</v>
      </c>
      <c r="AE50" s="16"/>
      <c r="AF50" s="16"/>
      <c r="AG50" s="16"/>
      <c r="AH50" s="16"/>
      <c r="AI50" s="16"/>
      <c r="AJ50" s="16"/>
      <c r="AK50" s="16"/>
      <c r="AL50" s="16"/>
      <c r="AM50" s="16"/>
    </row>
    <row r="51" spans="1:39" s="6" customFormat="1" ht="15" customHeight="1" x14ac:dyDescent="0.3">
      <c r="A51" s="5" t="s">
        <v>53</v>
      </c>
      <c r="B51" s="19">
        <f ca="1">INDIRECT("'("&amp;$A$4&amp;")'!b51")</f>
        <v>55</v>
      </c>
      <c r="C51" s="19">
        <f ca="1">INDIRECT("'("&amp;$A$4&amp;")'!c51")</f>
        <v>4</v>
      </c>
      <c r="D51" s="19">
        <f ca="1">INDIRECT("'("&amp;$A$4&amp;")'!D51")</f>
        <v>0</v>
      </c>
      <c r="E51" s="15">
        <f t="shared" ca="1" si="8"/>
        <v>6.7796610169491525E-2</v>
      </c>
      <c r="F51" s="19"/>
      <c r="G51" s="19">
        <f ca="1">INDIRECT("'("&amp;$A$4&amp;")'!G51")</f>
        <v>34</v>
      </c>
      <c r="H51" s="19">
        <f ca="1">INDIRECT("'("&amp;$A$4&amp;")'!H51")</f>
        <v>3</v>
      </c>
      <c r="I51" s="19">
        <f ca="1">INDIRECT("'("&amp;$A$4&amp;")'!I51")</f>
        <v>0</v>
      </c>
      <c r="J51" s="15">
        <f t="shared" ca="1" si="1"/>
        <v>8.1081081081081086E-2</v>
      </c>
      <c r="K51" s="19"/>
      <c r="L51" s="14">
        <f t="shared" ca="1" si="15"/>
        <v>89</v>
      </c>
      <c r="M51" s="14">
        <f t="shared" ca="1" si="15"/>
        <v>7</v>
      </c>
      <c r="N51" s="14">
        <f ca="1">INDIRECT("'("&amp;$A$4&amp;")'!N51")</f>
        <v>0</v>
      </c>
      <c r="O51" s="15">
        <f t="shared" ca="1" si="2"/>
        <v>7.2916666666666671E-2</v>
      </c>
      <c r="P51" s="19"/>
      <c r="Q51" s="19">
        <f ca="1">INDIRECT("'("&amp;$A$4&amp;")'!Q51")</f>
        <v>0</v>
      </c>
      <c r="R51" s="19">
        <f ca="1">INDIRECT("'("&amp;$A$4&amp;")'!R51")</f>
        <v>4</v>
      </c>
      <c r="S51" s="19">
        <f ca="1">INDIRECT("'("&amp;$A$4&amp;")'!S51")</f>
        <v>0</v>
      </c>
      <c r="T51" s="15">
        <f t="shared" ca="1" si="3"/>
        <v>1</v>
      </c>
      <c r="U51" s="19"/>
      <c r="V51" s="19">
        <f ca="1">INDIRECT("'("&amp;$A$4&amp;")'!V51")</f>
        <v>3</v>
      </c>
      <c r="W51" s="19">
        <f ca="1">INDIRECT("'("&amp;$A$4&amp;")'!W51")</f>
        <v>5</v>
      </c>
      <c r="X51" s="19">
        <f ca="1">INDIRECT("'("&amp;$A$4&amp;")'!X51")</f>
        <v>0</v>
      </c>
      <c r="Y51" s="15">
        <f t="shared" ca="1" si="4"/>
        <v>0.625</v>
      </c>
      <c r="Z51" s="19"/>
      <c r="AA51" s="14">
        <f t="shared" ca="1" si="16"/>
        <v>92</v>
      </c>
      <c r="AB51" s="14">
        <f t="shared" ca="1" si="17"/>
        <v>16</v>
      </c>
      <c r="AC51" s="14">
        <f ca="1">INDIRECT("'("&amp;$A$4&amp;")'!AC51")</f>
        <v>0</v>
      </c>
      <c r="AD51" s="15">
        <f t="shared" ca="1" si="5"/>
        <v>0.14814814814814814</v>
      </c>
      <c r="AE51" s="16"/>
      <c r="AF51" s="16"/>
      <c r="AG51" s="16"/>
      <c r="AH51" s="16"/>
      <c r="AI51" s="16"/>
      <c r="AJ51" s="16"/>
      <c r="AK51" s="16"/>
      <c r="AL51" s="16"/>
      <c r="AM51" s="16"/>
    </row>
    <row r="52" spans="1:39" s="6" customFormat="1" ht="15" customHeight="1" x14ac:dyDescent="0.3">
      <c r="A52" s="5" t="s">
        <v>54</v>
      </c>
      <c r="B52" s="19">
        <f ca="1">INDIRECT("'("&amp;$A$4&amp;")'!b52")</f>
        <v>38</v>
      </c>
      <c r="C52" s="19">
        <f ca="1">INDIRECT("'("&amp;$A$4&amp;")'!c52")</f>
        <v>2</v>
      </c>
      <c r="D52" s="19">
        <f ca="1">INDIRECT("'("&amp;$A$4&amp;")'!D52")</f>
        <v>0</v>
      </c>
      <c r="E52" s="15">
        <f t="shared" ca="1" si="8"/>
        <v>0.05</v>
      </c>
      <c r="F52" s="19"/>
      <c r="G52" s="19">
        <f ca="1">INDIRECT("'("&amp;$A$4&amp;")'!G52")</f>
        <v>16</v>
      </c>
      <c r="H52" s="19">
        <f ca="1">INDIRECT("'("&amp;$A$4&amp;")'!H52")</f>
        <v>3</v>
      </c>
      <c r="I52" s="19">
        <f ca="1">INDIRECT("'("&amp;$A$4&amp;")'!I52")</f>
        <v>0</v>
      </c>
      <c r="J52" s="15">
        <f t="shared" ca="1" si="1"/>
        <v>0.15789473684210525</v>
      </c>
      <c r="K52" s="19"/>
      <c r="L52" s="14">
        <f t="shared" ca="1" si="15"/>
        <v>54</v>
      </c>
      <c r="M52" s="14">
        <f t="shared" ca="1" si="15"/>
        <v>5</v>
      </c>
      <c r="N52" s="14">
        <f ca="1">INDIRECT("'("&amp;$A$4&amp;")'!N52")</f>
        <v>0</v>
      </c>
      <c r="O52" s="15">
        <f t="shared" ca="1" si="2"/>
        <v>8.4745762711864403E-2</v>
      </c>
      <c r="P52" s="19"/>
      <c r="Q52" s="19">
        <f ca="1">INDIRECT("'("&amp;$A$4&amp;")'!Q52")</f>
        <v>1</v>
      </c>
      <c r="R52" s="19">
        <f ca="1">INDIRECT("'("&amp;$A$4&amp;")'!R52")</f>
        <v>0</v>
      </c>
      <c r="S52" s="19">
        <f ca="1">INDIRECT("'("&amp;$A$4&amp;")'!S52")</f>
        <v>0</v>
      </c>
      <c r="T52" s="15">
        <f t="shared" ca="1" si="3"/>
        <v>0</v>
      </c>
      <c r="U52" s="19"/>
      <c r="V52" s="19">
        <f ca="1">INDIRECT("'("&amp;$A$4&amp;")'!V52")</f>
        <v>5</v>
      </c>
      <c r="W52" s="19">
        <f ca="1">INDIRECT("'("&amp;$A$4&amp;")'!W52")</f>
        <v>5</v>
      </c>
      <c r="X52" s="19">
        <f ca="1">INDIRECT("'("&amp;$A$4&amp;")'!X52")</f>
        <v>0</v>
      </c>
      <c r="Y52" s="15">
        <f t="shared" ca="1" si="4"/>
        <v>0.5</v>
      </c>
      <c r="Z52" s="19"/>
      <c r="AA52" s="14">
        <f t="shared" ca="1" si="16"/>
        <v>60</v>
      </c>
      <c r="AB52" s="14">
        <f t="shared" ca="1" si="17"/>
        <v>10</v>
      </c>
      <c r="AC52" s="14">
        <f ca="1">INDIRECT("'("&amp;$A$4&amp;")'!AC52")</f>
        <v>0</v>
      </c>
      <c r="AD52" s="15">
        <f t="shared" ca="1" si="5"/>
        <v>0.14285714285714285</v>
      </c>
      <c r="AE52" s="16"/>
      <c r="AF52" s="16"/>
      <c r="AG52" s="16"/>
      <c r="AH52" s="16"/>
      <c r="AI52" s="16"/>
      <c r="AJ52" s="16"/>
      <c r="AK52" s="16"/>
      <c r="AL52" s="16"/>
      <c r="AM52" s="16"/>
    </row>
    <row r="53" spans="1:39" s="6" customFormat="1" ht="15" customHeight="1" x14ac:dyDescent="0.3">
      <c r="A53" s="2" t="s">
        <v>55</v>
      </c>
      <c r="B53" s="19">
        <f ca="1">INDIRECT("'("&amp;$A$4&amp;")'!b53")</f>
        <v>41</v>
      </c>
      <c r="C53" s="19">
        <f ca="1">INDIRECT("'("&amp;$A$4&amp;")'!c53")</f>
        <v>4</v>
      </c>
      <c r="D53" s="19">
        <f ca="1">INDIRECT("'("&amp;$A$4&amp;")'!D53")</f>
        <v>0</v>
      </c>
      <c r="E53" s="15">
        <f t="shared" ca="1" si="8"/>
        <v>8.8888888888888892E-2</v>
      </c>
      <c r="F53" s="19"/>
      <c r="G53" s="19">
        <f ca="1">INDIRECT("'("&amp;$A$4&amp;")'!G53")</f>
        <v>0</v>
      </c>
      <c r="H53" s="19">
        <f ca="1">INDIRECT("'("&amp;$A$4&amp;")'!H53")</f>
        <v>0</v>
      </c>
      <c r="I53" s="19">
        <f ca="1">INDIRECT("'("&amp;$A$4&amp;")'!I53")</f>
        <v>0</v>
      </c>
      <c r="J53" s="15" t="str">
        <f t="shared" ca="1" si="1"/>
        <v>-</v>
      </c>
      <c r="K53" s="19"/>
      <c r="L53" s="14">
        <f t="shared" ca="1" si="15"/>
        <v>41</v>
      </c>
      <c r="M53" s="14">
        <f t="shared" ca="1" si="15"/>
        <v>4</v>
      </c>
      <c r="N53" s="14">
        <f ca="1">INDIRECT("'("&amp;$A$4&amp;")'!N53")</f>
        <v>0</v>
      </c>
      <c r="O53" s="15">
        <f t="shared" ca="1" si="2"/>
        <v>8.8888888888888892E-2</v>
      </c>
      <c r="P53" s="19"/>
      <c r="Q53" s="19">
        <f ca="1">INDIRECT("'("&amp;$A$4&amp;")'!Q53")</f>
        <v>1</v>
      </c>
      <c r="R53" s="19">
        <f ca="1">INDIRECT("'("&amp;$A$4&amp;")'!R53")</f>
        <v>2</v>
      </c>
      <c r="S53" s="19">
        <f ca="1">INDIRECT("'("&amp;$A$4&amp;")'!S53")</f>
        <v>0</v>
      </c>
      <c r="T53" s="15">
        <f t="shared" ca="1" si="3"/>
        <v>0.66666666666666663</v>
      </c>
      <c r="U53" s="19"/>
      <c r="V53" s="19">
        <f ca="1">INDIRECT("'("&amp;$A$4&amp;")'!V53")</f>
        <v>16</v>
      </c>
      <c r="W53" s="19">
        <f ca="1">INDIRECT("'("&amp;$A$4&amp;")'!W53")</f>
        <v>7</v>
      </c>
      <c r="X53" s="19">
        <f ca="1">INDIRECT("'("&amp;$A$4&amp;")'!X53")</f>
        <v>0</v>
      </c>
      <c r="Y53" s="15">
        <f t="shared" ca="1" si="4"/>
        <v>0.30434782608695654</v>
      </c>
      <c r="Z53" s="19"/>
      <c r="AA53" s="14">
        <f t="shared" ca="1" si="16"/>
        <v>58</v>
      </c>
      <c r="AB53" s="14">
        <f t="shared" ca="1" si="17"/>
        <v>13</v>
      </c>
      <c r="AC53" s="14">
        <f ca="1">INDIRECT("'("&amp;$A$4&amp;")'!AC53")</f>
        <v>0</v>
      </c>
      <c r="AD53" s="15">
        <f t="shared" ca="1" si="5"/>
        <v>0.18309859154929578</v>
      </c>
      <c r="AE53" s="16"/>
      <c r="AF53" s="16"/>
      <c r="AG53" s="16"/>
      <c r="AH53" s="16"/>
      <c r="AI53" s="16"/>
      <c r="AJ53" s="16"/>
      <c r="AK53" s="16"/>
      <c r="AL53" s="16"/>
      <c r="AM53" s="16"/>
    </row>
    <row r="54" spans="1:39" s="6" customFormat="1" ht="15" customHeight="1" x14ac:dyDescent="0.3">
      <c r="A54" s="2" t="s">
        <v>56</v>
      </c>
      <c r="B54" s="19">
        <f ca="1">INDIRECT("'("&amp;$A$4&amp;")'!b54")</f>
        <v>51</v>
      </c>
      <c r="C54" s="19">
        <f ca="1">INDIRECT("'("&amp;$A$4&amp;")'!c54")</f>
        <v>17</v>
      </c>
      <c r="D54" s="19">
        <f ca="1">INDIRECT("'("&amp;$A$4&amp;")'!D54")</f>
        <v>0</v>
      </c>
      <c r="E54" s="15">
        <f t="shared" ca="1" si="8"/>
        <v>0.25</v>
      </c>
      <c r="F54" s="19"/>
      <c r="G54" s="19">
        <f ca="1">INDIRECT("'("&amp;$A$4&amp;")'!G54")</f>
        <v>0</v>
      </c>
      <c r="H54" s="19">
        <f ca="1">INDIRECT("'("&amp;$A$4&amp;")'!H54")</f>
        <v>0</v>
      </c>
      <c r="I54" s="19">
        <f ca="1">INDIRECT("'("&amp;$A$4&amp;")'!I54")</f>
        <v>0</v>
      </c>
      <c r="J54" s="15" t="str">
        <f t="shared" ca="1" si="1"/>
        <v>-</v>
      </c>
      <c r="K54" s="19"/>
      <c r="L54" s="14">
        <f t="shared" ca="1" si="15"/>
        <v>51</v>
      </c>
      <c r="M54" s="14">
        <f t="shared" ca="1" si="15"/>
        <v>17</v>
      </c>
      <c r="N54" s="14">
        <f ca="1">INDIRECT("'("&amp;$A$4&amp;")'!N54")</f>
        <v>0</v>
      </c>
      <c r="O54" s="15">
        <f t="shared" ca="1" si="2"/>
        <v>0.25</v>
      </c>
      <c r="P54" s="19"/>
      <c r="Q54" s="19">
        <f ca="1">INDIRECT("'("&amp;$A$4&amp;")'!Q54")</f>
        <v>1</v>
      </c>
      <c r="R54" s="19">
        <f ca="1">INDIRECT("'("&amp;$A$4&amp;")'!R54")</f>
        <v>7</v>
      </c>
      <c r="S54" s="19">
        <f ca="1">INDIRECT("'("&amp;$A$4&amp;")'!S54")</f>
        <v>0</v>
      </c>
      <c r="T54" s="15">
        <f t="shared" ca="1" si="3"/>
        <v>0.875</v>
      </c>
      <c r="U54" s="19"/>
      <c r="V54" s="19">
        <f ca="1">INDIRECT("'("&amp;$A$4&amp;")'!V54")</f>
        <v>16</v>
      </c>
      <c r="W54" s="19">
        <f ca="1">INDIRECT("'("&amp;$A$4&amp;")'!W54")</f>
        <v>16</v>
      </c>
      <c r="X54" s="19">
        <f ca="1">INDIRECT("'("&amp;$A$4&amp;")'!X54")</f>
        <v>0</v>
      </c>
      <c r="Y54" s="15">
        <f t="shared" ca="1" si="4"/>
        <v>0.5</v>
      </c>
      <c r="Z54" s="19"/>
      <c r="AA54" s="14">
        <f t="shared" ca="1" si="16"/>
        <v>68</v>
      </c>
      <c r="AB54" s="14">
        <f t="shared" ca="1" si="17"/>
        <v>40</v>
      </c>
      <c r="AC54" s="14">
        <f ca="1">INDIRECT("'("&amp;$A$4&amp;")'!AC54")</f>
        <v>0</v>
      </c>
      <c r="AD54" s="15">
        <f t="shared" ca="1" si="5"/>
        <v>0.37037037037037035</v>
      </c>
      <c r="AE54" s="16"/>
      <c r="AF54" s="16"/>
      <c r="AG54" s="16"/>
      <c r="AH54" s="16"/>
      <c r="AI54" s="16"/>
      <c r="AJ54" s="16"/>
      <c r="AK54" s="16"/>
      <c r="AL54" s="16"/>
      <c r="AM54" s="16"/>
    </row>
    <row r="55" spans="1:39" s="6" customFormat="1" ht="15" customHeight="1" x14ac:dyDescent="0.3">
      <c r="A55" s="2" t="s">
        <v>57</v>
      </c>
      <c r="B55" s="19">
        <f ca="1">INDIRECT("'("&amp;$A$4&amp;")'!b55")</f>
        <v>26</v>
      </c>
      <c r="C55" s="19">
        <f ca="1">INDIRECT("'("&amp;$A$4&amp;")'!c55")</f>
        <v>1</v>
      </c>
      <c r="D55" s="19">
        <f ca="1">INDIRECT("'("&amp;$A$4&amp;")'!D55")</f>
        <v>0</v>
      </c>
      <c r="E55" s="15">
        <f t="shared" ca="1" si="8"/>
        <v>3.7037037037037035E-2</v>
      </c>
      <c r="F55" s="19"/>
      <c r="G55" s="19">
        <f ca="1">INDIRECT("'("&amp;$A$4&amp;")'!G55")</f>
        <v>19</v>
      </c>
      <c r="H55" s="19">
        <f ca="1">INDIRECT("'("&amp;$A$4&amp;")'!H55")</f>
        <v>4</v>
      </c>
      <c r="I55" s="19">
        <f ca="1">INDIRECT("'("&amp;$A$4&amp;")'!I55")</f>
        <v>0</v>
      </c>
      <c r="J55" s="15">
        <f t="shared" ca="1" si="1"/>
        <v>0.17391304347826086</v>
      </c>
      <c r="K55" s="19"/>
      <c r="L55" s="14">
        <f t="shared" ca="1" si="15"/>
        <v>45</v>
      </c>
      <c r="M55" s="14">
        <f t="shared" ca="1" si="15"/>
        <v>5</v>
      </c>
      <c r="N55" s="14">
        <f ca="1">INDIRECT("'("&amp;$A$4&amp;")'!N55")</f>
        <v>0</v>
      </c>
      <c r="O55" s="15">
        <f t="shared" ca="1" si="2"/>
        <v>0.1</v>
      </c>
      <c r="P55" s="19"/>
      <c r="Q55" s="19">
        <f ca="1">INDIRECT("'("&amp;$A$4&amp;")'!Q55")</f>
        <v>3</v>
      </c>
      <c r="R55" s="19">
        <f ca="1">INDIRECT("'("&amp;$A$4&amp;")'!R55")</f>
        <v>2</v>
      </c>
      <c r="S55" s="19">
        <f ca="1">INDIRECT("'("&amp;$A$4&amp;")'!S55")</f>
        <v>0</v>
      </c>
      <c r="T55" s="15">
        <f t="shared" ca="1" si="3"/>
        <v>0.4</v>
      </c>
      <c r="U55" s="19"/>
      <c r="V55" s="19">
        <f ca="1">INDIRECT("'("&amp;$A$4&amp;")'!V55")</f>
        <v>15</v>
      </c>
      <c r="W55" s="19">
        <f ca="1">INDIRECT("'("&amp;$A$4&amp;")'!W55")</f>
        <v>10</v>
      </c>
      <c r="X55" s="19">
        <f ca="1">INDIRECT("'("&amp;$A$4&amp;")'!X55")</f>
        <v>0</v>
      </c>
      <c r="Y55" s="15">
        <f t="shared" ca="1" si="4"/>
        <v>0.4</v>
      </c>
      <c r="Z55" s="19"/>
      <c r="AA55" s="14">
        <f t="shared" ca="1" si="16"/>
        <v>63</v>
      </c>
      <c r="AB55" s="14">
        <f t="shared" ca="1" si="17"/>
        <v>17</v>
      </c>
      <c r="AC55" s="14">
        <f ca="1">INDIRECT("'("&amp;$A$4&amp;")'!AC55")</f>
        <v>0</v>
      </c>
      <c r="AD55" s="15">
        <f t="shared" ca="1" si="5"/>
        <v>0.21249999999999999</v>
      </c>
      <c r="AE55" s="16"/>
      <c r="AF55" s="16"/>
      <c r="AG55" s="16"/>
      <c r="AH55" s="16"/>
      <c r="AI55" s="16"/>
      <c r="AJ55" s="16"/>
      <c r="AK55" s="16"/>
      <c r="AL55" s="16"/>
      <c r="AM55" s="16"/>
    </row>
    <row r="56" spans="1:39" s="6" customFormat="1" ht="15" customHeight="1" thickBot="1" x14ac:dyDescent="0.35">
      <c r="A56" s="23" t="s">
        <v>58</v>
      </c>
      <c r="B56" s="24">
        <f ca="1">INDIRECT("'("&amp;$A$4&amp;")'!b56")</f>
        <v>214</v>
      </c>
      <c r="C56" s="24">
        <f ca="1">INDIRECT("'("&amp;$A$4&amp;")'!c56")</f>
        <v>55</v>
      </c>
      <c r="D56" s="24">
        <f ca="1">INDIRECT("'("&amp;$A$4&amp;")'!D56")</f>
        <v>0</v>
      </c>
      <c r="E56" s="26">
        <f t="shared" ca="1" si="8"/>
        <v>0.20446096654275092</v>
      </c>
      <c r="F56" s="24"/>
      <c r="G56" s="24">
        <f ca="1">INDIRECT("'("&amp;$A$4&amp;")'!G56")</f>
        <v>0</v>
      </c>
      <c r="H56" s="24">
        <f ca="1">INDIRECT("'("&amp;$A$4&amp;")'!H56")</f>
        <v>0</v>
      </c>
      <c r="I56" s="24">
        <f ca="1">INDIRECT("'("&amp;$A$4&amp;")'!I56")</f>
        <v>0</v>
      </c>
      <c r="J56" s="26" t="str">
        <f t="shared" ca="1" si="1"/>
        <v>-</v>
      </c>
      <c r="K56" s="24"/>
      <c r="L56" s="25">
        <f t="shared" ref="L56" ca="1" si="18">B56+G56</f>
        <v>214</v>
      </c>
      <c r="M56" s="25">
        <f t="shared" ref="M56" ca="1" si="19">C56+H56</f>
        <v>55</v>
      </c>
      <c r="N56" s="25">
        <f ca="1">INDIRECT("'("&amp;$A$4&amp;")'!N56")</f>
        <v>0</v>
      </c>
      <c r="O56" s="26">
        <f t="shared" ca="1" si="2"/>
        <v>0.20446096654275092</v>
      </c>
      <c r="P56" s="24"/>
      <c r="Q56" s="24">
        <f ca="1">INDIRECT("'("&amp;$A$4&amp;")'!Q56")</f>
        <v>1</v>
      </c>
      <c r="R56" s="24">
        <f ca="1">INDIRECT("'("&amp;$A$4&amp;")'!R56")</f>
        <v>3</v>
      </c>
      <c r="S56" s="24">
        <f ca="1">INDIRECT("'("&amp;$A$4&amp;")'!S56")</f>
        <v>0</v>
      </c>
      <c r="T56" s="26">
        <f t="shared" ca="1" si="3"/>
        <v>0.75</v>
      </c>
      <c r="U56" s="24"/>
      <c r="V56" s="24">
        <f ca="1">INDIRECT("'("&amp;$A$4&amp;")'!V56")</f>
        <v>51</v>
      </c>
      <c r="W56" s="24">
        <f ca="1">INDIRECT("'("&amp;$A$4&amp;")'!W56")</f>
        <v>50</v>
      </c>
      <c r="X56" s="24">
        <f ca="1">INDIRECT("'("&amp;$A$4&amp;")'!X56")</f>
        <v>0</v>
      </c>
      <c r="Y56" s="26">
        <f t="shared" ca="1" si="4"/>
        <v>0.49504950495049505</v>
      </c>
      <c r="Z56" s="24"/>
      <c r="AA56" s="25">
        <f t="shared" ref="AA56" ca="1" si="20">L56+Q56+V56</f>
        <v>266</v>
      </c>
      <c r="AB56" s="25">
        <f t="shared" ref="AB56" ca="1" si="21">M56+R56+W56</f>
        <v>108</v>
      </c>
      <c r="AC56" s="25">
        <f ca="1">INDIRECT("'("&amp;$A$4&amp;")'!AC56")</f>
        <v>0</v>
      </c>
      <c r="AD56" s="26">
        <f t="shared" ca="1" si="5"/>
        <v>0.28877005347593582</v>
      </c>
      <c r="AE56" s="16"/>
      <c r="AF56" s="16"/>
      <c r="AG56" s="16"/>
      <c r="AH56" s="16"/>
      <c r="AI56" s="16"/>
      <c r="AJ56" s="16"/>
      <c r="AK56" s="16"/>
      <c r="AL56" s="16"/>
      <c r="AM56" s="16"/>
    </row>
    <row r="57" spans="1:39" s="6" customFormat="1" ht="15" customHeight="1" x14ac:dyDescent="0.3">
      <c r="A57" s="5"/>
      <c r="B57" s="32"/>
      <c r="C57" s="32"/>
      <c r="D57" s="119"/>
      <c r="E57" s="32"/>
      <c r="F57" s="32"/>
      <c r="G57" s="32"/>
      <c r="H57" s="32"/>
      <c r="I57" s="119"/>
      <c r="J57" s="32"/>
      <c r="K57" s="32"/>
      <c r="L57" s="32"/>
      <c r="M57" s="32"/>
      <c r="N57" s="119"/>
      <c r="O57" s="32"/>
      <c r="P57" s="32"/>
      <c r="Q57" s="32"/>
      <c r="R57" s="32"/>
      <c r="S57" s="119"/>
      <c r="T57" s="32"/>
      <c r="U57" s="32"/>
      <c r="V57" s="32"/>
      <c r="W57" s="32"/>
      <c r="X57" s="119"/>
      <c r="Y57" s="32"/>
      <c r="Z57" s="32"/>
      <c r="AA57" s="32"/>
      <c r="AB57" s="32"/>
      <c r="AC57" s="119"/>
      <c r="AD57" s="32"/>
      <c r="AE57" s="5"/>
      <c r="AF57" s="5"/>
      <c r="AG57" s="16"/>
      <c r="AH57" s="16"/>
      <c r="AI57" s="16"/>
      <c r="AJ57" s="16"/>
      <c r="AK57" s="16"/>
      <c r="AL57" s="16"/>
      <c r="AM57" s="16"/>
    </row>
    <row r="58" spans="1:39" x14ac:dyDescent="0.3">
      <c r="A58" s="32" t="s">
        <v>59</v>
      </c>
      <c r="B58" s="32"/>
      <c r="C58" s="32"/>
      <c r="D58" s="119"/>
      <c r="E58" s="32"/>
      <c r="F58" s="32"/>
      <c r="G58" s="32"/>
      <c r="H58" s="32"/>
      <c r="I58" s="119"/>
      <c r="J58" s="32"/>
      <c r="K58" s="32"/>
      <c r="L58" s="32"/>
      <c r="M58" s="32"/>
      <c r="N58" s="119"/>
      <c r="O58" s="32"/>
      <c r="P58" s="32"/>
      <c r="Q58" s="32"/>
      <c r="R58" s="32"/>
      <c r="S58" s="119"/>
      <c r="T58" s="32"/>
      <c r="U58" s="32"/>
      <c r="V58" s="32"/>
      <c r="W58" s="32"/>
      <c r="X58" s="119"/>
      <c r="Y58" s="32"/>
      <c r="Z58" s="32"/>
      <c r="AA58" s="32"/>
      <c r="AB58" s="32"/>
      <c r="AC58" s="119"/>
      <c r="AD58" s="32"/>
    </row>
    <row r="59" spans="1:39" x14ac:dyDescent="0.3">
      <c r="A59" s="32" t="s">
        <v>69</v>
      </c>
      <c r="B59" s="33"/>
      <c r="C59" s="33"/>
      <c r="D59" s="117"/>
      <c r="E59" s="33"/>
      <c r="F59" s="33"/>
      <c r="G59" s="33"/>
      <c r="H59" s="33"/>
      <c r="I59" s="117"/>
      <c r="J59" s="33"/>
      <c r="K59" s="33"/>
      <c r="L59" s="33"/>
      <c r="M59" s="33"/>
      <c r="N59" s="117"/>
      <c r="O59" s="33"/>
      <c r="P59" s="33"/>
      <c r="Q59" s="33"/>
      <c r="R59" s="33"/>
      <c r="S59" s="117"/>
      <c r="T59" s="33"/>
      <c r="U59" s="33"/>
      <c r="V59" s="33"/>
      <c r="W59" s="33"/>
      <c r="X59" s="117"/>
      <c r="Y59" s="33"/>
      <c r="Z59" s="33"/>
      <c r="AA59" s="33"/>
      <c r="AB59" s="33"/>
      <c r="AC59" s="117"/>
      <c r="AD59" s="33"/>
    </row>
    <row r="60" spans="1:39" x14ac:dyDescent="0.3">
      <c r="A60" s="33"/>
    </row>
    <row r="61" spans="1:39" x14ac:dyDescent="0.3">
      <c r="A61" s="28" t="s">
        <v>60</v>
      </c>
      <c r="B61" s="34"/>
      <c r="C61" s="34"/>
      <c r="D61" s="118"/>
      <c r="E61" s="34"/>
      <c r="F61" s="34"/>
      <c r="G61" s="34"/>
      <c r="H61" s="34"/>
      <c r="I61" s="118"/>
      <c r="J61" s="34"/>
      <c r="K61" s="34"/>
      <c r="L61" s="34"/>
      <c r="M61" s="34"/>
      <c r="N61" s="118"/>
      <c r="O61" s="34"/>
      <c r="P61" s="34"/>
      <c r="Q61" s="34"/>
      <c r="R61" s="34"/>
      <c r="S61" s="118"/>
      <c r="T61" s="34"/>
      <c r="U61" s="34"/>
      <c r="V61" s="34"/>
      <c r="W61" s="34"/>
      <c r="X61" s="118"/>
      <c r="Y61" s="34"/>
      <c r="Z61" s="34"/>
      <c r="AA61" s="34"/>
      <c r="AB61" s="34"/>
      <c r="AC61" s="118"/>
      <c r="AD61" s="34"/>
    </row>
    <row r="62" spans="1:39" ht="15" customHeight="1" x14ac:dyDescent="0.3">
      <c r="A62" s="34" t="s">
        <v>61</v>
      </c>
    </row>
    <row r="63" spans="1:39" x14ac:dyDescent="0.3">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9" x14ac:dyDescent="0.3">
      <c r="A64" s="5" t="s">
        <v>62</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0" x14ac:dyDescent="0.3">
      <c r="A65" s="30" t="s">
        <v>63</v>
      </c>
    </row>
    <row r="66" spans="1:30" x14ac:dyDescent="0.3">
      <c r="B66" s="32"/>
      <c r="C66" s="32"/>
      <c r="D66" s="119"/>
      <c r="E66" s="32"/>
      <c r="F66" s="32"/>
      <c r="G66" s="32"/>
      <c r="H66" s="32"/>
      <c r="I66" s="119"/>
      <c r="J66" s="32"/>
      <c r="K66" s="32"/>
      <c r="L66" s="32"/>
      <c r="M66" s="32"/>
      <c r="N66" s="119"/>
      <c r="O66" s="32"/>
      <c r="P66" s="32"/>
      <c r="Q66" s="32"/>
      <c r="R66" s="32"/>
      <c r="S66" s="119"/>
      <c r="T66" s="32"/>
      <c r="U66" s="32"/>
      <c r="V66" s="32"/>
      <c r="W66" s="32"/>
      <c r="X66" s="119"/>
      <c r="Y66" s="32"/>
      <c r="Z66" s="32"/>
      <c r="AA66" s="32"/>
      <c r="AB66" s="32"/>
      <c r="AC66" s="119"/>
      <c r="AD66" s="32"/>
    </row>
    <row r="67" spans="1:30" x14ac:dyDescent="0.3">
      <c r="A67" s="32" t="s">
        <v>64</v>
      </c>
      <c r="AD67" s="6"/>
    </row>
    <row r="68" spans="1:30" x14ac:dyDescent="0.3">
      <c r="A68" s="30"/>
      <c r="AD68" s="37" t="s">
        <v>66</v>
      </c>
    </row>
    <row r="69" spans="1:30" x14ac:dyDescent="0.3">
      <c r="A69" s="5" t="s">
        <v>65</v>
      </c>
      <c r="AD69" s="31" t="s">
        <v>68</v>
      </c>
    </row>
    <row r="70" spans="1:30" x14ac:dyDescent="0.3">
      <c r="A70" s="30" t="s">
        <v>67</v>
      </c>
    </row>
  </sheetData>
  <mergeCells count="8">
    <mergeCell ref="A4:O4"/>
    <mergeCell ref="A1:AD1"/>
    <mergeCell ref="B6:E6"/>
    <mergeCell ref="G6:J6"/>
    <mergeCell ref="L6:O6"/>
    <mergeCell ref="Q6:T6"/>
    <mergeCell ref="V6:Y6"/>
    <mergeCell ref="AA6:AD6"/>
  </mergeCells>
  <hyperlinks>
    <hyperlink ref="A65" r:id="rId1" xr:uid="{00000000-0004-0000-0200-000000000000}"/>
    <hyperlink ref="A70" r:id="rId2" xr:uid="{00000000-0004-0000-0200-000001000000}"/>
    <hyperlink ref="AD68" r:id="rId3" xr:uid="{00000000-0004-0000-02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Cover_sheet</vt:lpstr>
      <vt:lpstr>Contents</vt:lpstr>
      <vt:lpstr>raw</vt:lpstr>
      <vt:lpstr>(2016-17)</vt:lpstr>
      <vt:lpstr>(2017-18)</vt:lpstr>
      <vt:lpstr>(2018-19)</vt:lpstr>
      <vt:lpstr>(2019-20)</vt:lpstr>
      <vt:lpstr>(2020-21)</vt:lpstr>
      <vt:lpstr>FIRE1120_raw</vt:lpstr>
      <vt:lpstr>FIRE1120</vt:lpstr>
      <vt:lpstr>QA</vt:lpstr>
      <vt:lpstr>macro</vt:lpstr>
      <vt:lpstr>stats release</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FIRE1120: Staff joining fire authorities, by fire and rescue authority, gender and role</dc:title>
  <dc:creator/>
  <cp:keywords>data tables, gender, role, 2021</cp:keywords>
  <cp:lastModifiedBy/>
  <dcterms:created xsi:type="dcterms:W3CDTF">2021-10-19T11:45:05Z</dcterms:created>
  <dcterms:modified xsi:type="dcterms:W3CDTF">2021-10-19T11:46:39Z</dcterms:modified>
</cp:coreProperties>
</file>